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Nextcloud\Documents partagés C+FOR\0.VF Dossier LBC\CNPF C+for n° 182 Saint-Berthevin (La Poste n° 31)\"/>
    </mc:Choice>
  </mc:AlternateContent>
  <bookViews>
    <workbookView xWindow="0" yWindow="0" windowWidth="11748" windowHeight="5316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5" i="1" l="1"/>
  <c r="D94" i="1"/>
  <c r="B94" i="1"/>
  <c r="B93" i="1"/>
  <c r="D92" i="1"/>
  <c r="B92" i="1"/>
  <c r="B91" i="1"/>
  <c r="D90" i="1"/>
  <c r="B90" i="1"/>
  <c r="B89" i="1"/>
  <c r="B69" i="1"/>
  <c r="D68" i="1"/>
  <c r="B68" i="1"/>
  <c r="B67" i="1"/>
  <c r="D66" i="1"/>
  <c r="B66" i="1"/>
  <c r="B65" i="1"/>
  <c r="D64" i="1"/>
  <c r="B64" i="1"/>
  <c r="B63" i="1"/>
  <c r="D129" i="1" l="1"/>
  <c r="B129" i="1"/>
  <c r="D128" i="1"/>
  <c r="B128" i="1"/>
  <c r="B127" i="1"/>
  <c r="D126" i="1"/>
  <c r="B126" i="1"/>
  <c r="B125" i="1"/>
  <c r="D124" i="1"/>
  <c r="B124" i="1"/>
  <c r="B123" i="1"/>
  <c r="D122" i="1"/>
  <c r="B122" i="1"/>
  <c r="B121" i="1"/>
  <c r="D120" i="1"/>
  <c r="B120" i="1"/>
  <c r="B119" i="1"/>
  <c r="D118" i="1"/>
  <c r="B118" i="1"/>
  <c r="B117" i="1"/>
  <c r="B116" i="1"/>
  <c r="B115" i="1"/>
  <c r="B114" i="1"/>
  <c r="D116" i="1"/>
  <c r="D237" i="1" l="1"/>
  <c r="B237" i="1"/>
  <c r="D236" i="1"/>
  <c r="B236" i="1"/>
  <c r="B235" i="1"/>
  <c r="D234" i="1"/>
  <c r="B234" i="1"/>
  <c r="B233" i="1"/>
  <c r="D232" i="1"/>
  <c r="B232" i="1"/>
  <c r="B231" i="1"/>
  <c r="D230" i="1"/>
  <c r="B230" i="1"/>
  <c r="B229" i="1"/>
  <c r="D228" i="1"/>
  <c r="B228" i="1"/>
  <c r="B227" i="1"/>
  <c r="D226" i="1"/>
  <c r="B226" i="1"/>
  <c r="B225" i="1"/>
  <c r="D224" i="1"/>
  <c r="B224" i="1"/>
  <c r="B223" i="1"/>
  <c r="D222" i="1"/>
  <c r="B222" i="1"/>
  <c r="B221" i="1"/>
  <c r="D220" i="1"/>
  <c r="B220" i="1"/>
  <c r="B219" i="1"/>
  <c r="B218" i="1"/>
  <c r="D204" i="1"/>
  <c r="B204" i="1"/>
  <c r="B203" i="1"/>
  <c r="D202" i="1"/>
  <c r="B202" i="1"/>
  <c r="B201" i="1"/>
  <c r="D200" i="1"/>
  <c r="B200" i="1"/>
  <c r="B199" i="1"/>
  <c r="D198" i="1"/>
  <c r="B198" i="1"/>
  <c r="B197" i="1"/>
  <c r="D196" i="1"/>
  <c r="B196" i="1"/>
  <c r="B195" i="1"/>
  <c r="D194" i="1"/>
  <c r="B194" i="1"/>
  <c r="B193" i="1"/>
  <c r="B192" i="1"/>
  <c r="D146" i="1" l="1"/>
  <c r="D145" i="1"/>
  <c r="D144" i="1"/>
  <c r="D143" i="1"/>
  <c r="D142" i="1"/>
  <c r="D141" i="1"/>
  <c r="B146" i="1"/>
  <c r="B145" i="1"/>
  <c r="B144" i="1"/>
  <c r="B143" i="1"/>
  <c r="B142" i="1"/>
  <c r="B141" i="1"/>
  <c r="B140" i="1"/>
  <c r="B185" i="1" l="1"/>
  <c r="D185" i="1" s="1"/>
  <c r="D184" i="1"/>
  <c r="B184" i="1"/>
  <c r="D183" i="1"/>
  <c r="B183" i="1"/>
  <c r="D182" i="1"/>
  <c r="B182" i="1"/>
  <c r="D181" i="1"/>
  <c r="B181" i="1"/>
  <c r="B180" i="1"/>
  <c r="D179" i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B167" i="1"/>
  <c r="B166" i="1"/>
  <c r="B289" i="1" l="1"/>
  <c r="D289" i="1" s="1"/>
  <c r="D288" i="1"/>
  <c r="B288" i="1"/>
  <c r="B287" i="1"/>
  <c r="D286" i="1"/>
  <c r="B286" i="1"/>
  <c r="B285" i="1"/>
  <c r="D284" i="1"/>
  <c r="B284" i="1"/>
  <c r="B283" i="1"/>
  <c r="D282" i="1"/>
  <c r="B282" i="1"/>
  <c r="B281" i="1"/>
  <c r="D280" i="1"/>
  <c r="B280" i="1"/>
  <c r="B279" i="1"/>
  <c r="D278" i="1"/>
  <c r="B278" i="1"/>
  <c r="B277" i="1"/>
  <c r="D276" i="1"/>
  <c r="B276" i="1"/>
  <c r="B275" i="1"/>
  <c r="D274" i="1"/>
  <c r="B274" i="1"/>
  <c r="B273" i="1"/>
  <c r="D272" i="1"/>
  <c r="B272" i="1"/>
  <c r="B271" i="1"/>
  <c r="B270" i="1"/>
  <c r="B263" i="1" l="1"/>
  <c r="D263" i="1" s="1"/>
  <c r="B262" i="1"/>
  <c r="D261" i="1"/>
  <c r="B261" i="1"/>
  <c r="B260" i="1"/>
  <c r="D259" i="1"/>
  <c r="B259" i="1"/>
  <c r="B258" i="1"/>
  <c r="D257" i="1"/>
  <c r="B257" i="1"/>
  <c r="B256" i="1"/>
  <c r="D255" i="1"/>
  <c r="B255" i="1"/>
  <c r="B254" i="1"/>
  <c r="D253" i="1"/>
  <c r="B253" i="1"/>
  <c r="B252" i="1"/>
  <c r="D251" i="1"/>
  <c r="B251" i="1"/>
  <c r="B250" i="1"/>
  <c r="D249" i="1"/>
  <c r="B249" i="1"/>
  <c r="B248" i="1"/>
  <c r="D247" i="1"/>
  <c r="B247" i="1"/>
  <c r="B246" i="1"/>
  <c r="B245" i="1"/>
  <c r="B244" i="1"/>
  <c r="B42" i="1" l="1"/>
  <c r="D42" i="1" s="1"/>
  <c r="D41" i="1"/>
  <c r="B41" i="1"/>
  <c r="D40" i="1"/>
  <c r="B40" i="1"/>
  <c r="D39" i="1"/>
  <c r="B39" i="1"/>
  <c r="D38" i="1"/>
  <c r="B38" i="1"/>
  <c r="D37" i="1"/>
  <c r="B37" i="1"/>
  <c r="D36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HI7" i="2"/>
  <c r="EW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G10" i="2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C20" i="2"/>
  <c r="HG20" i="2"/>
  <c r="HH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HI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B22" i="2"/>
  <c r="HH22" i="2"/>
  <c r="HG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HI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G38" i="2"/>
  <c r="HH38" i="2"/>
  <c r="HI38" i="2"/>
  <c r="FS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G44" i="2"/>
  <c r="HH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G57" i="2"/>
  <c r="HI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R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HH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HG85" i="2"/>
  <c r="HH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HG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HI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HH122" i="2"/>
  <c r="FS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HH130" i="2"/>
  <c r="HG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HH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FR140" i="2"/>
  <c r="EX140" i="2"/>
  <c r="EB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B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HH144" i="2"/>
  <c r="HG144" i="2"/>
  <c r="FR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A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H149" i="2"/>
  <c r="HG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H150" i="2"/>
  <c r="HI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Y154" i="2"/>
  <c r="DI154" i="2"/>
  <c r="HJ154" i="2"/>
  <c r="AC154" i="2"/>
  <c r="HH155" i="2"/>
  <c r="HG155" i="2"/>
  <c r="EW155" i="2"/>
  <c r="EA155" i="2"/>
  <c r="ED155" i="2" s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EX156" i="2"/>
  <c r="DH156" i="2"/>
  <c r="EB156" i="2"/>
  <c r="HH156" i="2"/>
  <c r="HG156" i="2"/>
  <c r="HI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CN156" i="2"/>
  <c r="EC157" i="2"/>
  <c r="HH157" i="2"/>
  <c r="HG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DG160" i="2"/>
  <c r="ED159" i="2"/>
  <c r="HI160" i="2"/>
  <c r="HH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X161" i="2"/>
  <c r="ED160" i="2"/>
  <c r="HH161" i="2"/>
  <c r="HG161" i="2"/>
  <c r="EA161" i="2"/>
  <c r="ED161" i="2" s="1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DI161" i="2"/>
  <c r="EB162" i="2"/>
  <c r="HG162" i="2"/>
  <c r="HH162" i="2"/>
  <c r="EW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HG163" i="2"/>
  <c r="HI163" i="2"/>
  <c r="EV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V164" i="2" l="1"/>
  <c r="EY163" i="2"/>
  <c r="DI163" i="2"/>
  <c r="EA164" i="2"/>
  <c r="HH164" i="2"/>
  <c r="HG164" i="2"/>
  <c r="FR164" i="2"/>
  <c r="FS164" i="2"/>
  <c r="EX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X165" i="2"/>
  <c r="HG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X167" i="2"/>
  <c r="EC167" i="2"/>
  <c r="HI167" i="2"/>
  <c r="HH167" i="2"/>
  <c r="FR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HH168" i="2"/>
  <c r="HI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HG172" i="2"/>
  <c r="HI172" i="2"/>
  <c r="EW172" i="2"/>
  <c r="EV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FQ178" i="2"/>
  <c r="EW178" i="2"/>
  <c r="ED177" i="2"/>
  <c r="HH178" i="2"/>
  <c r="HG178" i="2"/>
  <c r="EA178" i="2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B179" i="2"/>
  <c r="HH179" i="2"/>
  <c r="HG179" i="2"/>
  <c r="HI179" i="2"/>
  <c r="EV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G185" i="2"/>
  <c r="HI185" i="2"/>
  <c r="HH185" i="2"/>
  <c r="EV185" i="2"/>
  <c r="EW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ED185" i="2"/>
  <c r="HH186" i="2"/>
  <c r="HG186" i="2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Y188" i="2"/>
  <c r="HH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V190" i="2"/>
  <c r="EY189" i="2"/>
  <c r="HH190" i="2"/>
  <c r="HG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G191" i="2"/>
  <c r="HH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HH192" i="2"/>
  <c r="HG192" i="2"/>
  <c r="HI192" i="2"/>
  <c r="EV192" i="2"/>
  <c r="EB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EA193" i="2"/>
  <c r="HI193" i="2"/>
  <c r="FQ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B194" i="2"/>
  <c r="EA194" i="2"/>
  <c r="HI194" i="2"/>
  <c r="HG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DH195" i="2"/>
  <c r="HG195" i="2"/>
  <c r="HI195" i="2"/>
  <c r="EX195" i="2"/>
  <c r="EY194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HH197" i="2"/>
  <c r="HG197" i="2"/>
  <c r="FS197" i="2"/>
  <c r="EY196" i="2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Y198" i="2"/>
  <c r="EV199" i="2"/>
  <c r="EW199" i="2"/>
  <c r="HH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Y200" i="2"/>
  <c r="DI200" i="2"/>
  <c r="ED200" i="2"/>
  <c r="HH201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I202" i="2"/>
  <c r="HH202" i="2"/>
  <c r="FS202" i="2"/>
  <c r="FR202" i="2"/>
  <c r="EX202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EI29" i="2" a="1"/>
  <c r="EI29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AH151" i="2" a="1"/>
  <c r="AH151" i="2" s="1"/>
  <c r="DN103" i="2" a="1"/>
  <c r="DN103" i="2" s="1"/>
  <c r="DN114" i="2" a="1"/>
  <c r="DN114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165" i="2" a="1"/>
  <c r="EI165" i="2" s="1"/>
  <c r="EI34" i="2" a="1"/>
  <c r="EI34" i="2" s="1"/>
  <c r="EI113" i="2" a="1"/>
  <c r="EI113" i="2" s="1"/>
  <c r="EI67" i="2" a="1"/>
  <c r="EI67" i="2" s="1"/>
  <c r="EI139" i="2" a="1"/>
  <c r="EI139" i="2" s="1"/>
  <c r="EI35" i="2" a="1"/>
  <c r="EI3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DN187" i="2" a="1"/>
  <c r="DN187" i="2" s="1"/>
  <c r="HJ202" i="2"/>
  <c r="AX200" i="2"/>
  <c r="AH90" i="2" l="1" a="1"/>
  <c r="AH90" i="2" s="1"/>
  <c r="AH62" i="2" a="1"/>
  <c r="AH62" i="2" s="1"/>
  <c r="AH199" i="2" a="1"/>
  <c r="AH199" i="2" s="1"/>
  <c r="AH166" i="2" a="1"/>
  <c r="AH166" i="2" s="1"/>
  <c r="AH19" i="2" a="1"/>
  <c r="AH19" i="2" s="1"/>
  <c r="HH203" i="2"/>
  <c r="FD194" i="2" a="1"/>
  <c r="FD194" i="2" s="1"/>
  <c r="FD43" i="2" a="1"/>
  <c r="FD43" i="2" s="1"/>
  <c r="FD19" i="2" a="1"/>
  <c r="FD19" i="2" s="1"/>
  <c r="FD160" i="2" a="1"/>
  <c r="FD160" i="2" s="1"/>
  <c r="FD189" i="2" a="1"/>
  <c r="FD189" i="2" s="1"/>
  <c r="FD137" i="2" a="1"/>
  <c r="FD137" i="2" s="1"/>
  <c r="FD14" i="2" a="1"/>
  <c r="FD14" i="2" s="1"/>
  <c r="FD159" i="2" a="1"/>
  <c r="FD159" i="2" s="1"/>
  <c r="FD48" i="2" a="1"/>
  <c r="FD48" i="2" s="1"/>
  <c r="FR203" i="2"/>
  <c r="FD64" i="2" a="1"/>
  <c r="FD64" i="2" s="1"/>
  <c r="FD82" i="2" a="1"/>
  <c r="FD82" i="2" s="1"/>
  <c r="FD107" i="2" a="1"/>
  <c r="FD107" i="2" s="1"/>
  <c r="FD44" i="2" a="1"/>
  <c r="FD44" i="2" s="1"/>
  <c r="FD167" i="2" a="1"/>
  <c r="FD167" i="2" s="1"/>
  <c r="FD188" i="2" a="1"/>
  <c r="FD188" i="2" s="1"/>
  <c r="FD59" i="2" a="1"/>
  <c r="FD59" i="2" s="1"/>
  <c r="FD187" i="2" a="1"/>
  <c r="FD187" i="2" s="1"/>
  <c r="FD131" i="2" a="1"/>
  <c r="FD131" i="2" s="1"/>
  <c r="FD60" i="2" a="1"/>
  <c r="FD60" i="2" s="1"/>
  <c r="FD144" i="2" a="1"/>
  <c r="FD144" i="2" s="1"/>
  <c r="EI145" i="2" a="1"/>
  <c r="EI145" i="2" s="1"/>
  <c r="EI128" i="2" a="1"/>
  <c r="EI128" i="2" s="1"/>
  <c r="EI109" i="2" a="1"/>
  <c r="EI109" i="2" s="1"/>
  <c r="EI162" i="2" a="1"/>
  <c r="EI162" i="2" s="1"/>
  <c r="EI37" i="2" a="1"/>
  <c r="EI37" i="2" s="1"/>
  <c r="EI20" i="2" a="1"/>
  <c r="EI20" i="2" s="1"/>
  <c r="EI38" i="2" a="1"/>
  <c r="EI38" i="2" s="1"/>
  <c r="EI150" i="2" a="1"/>
  <c r="EI150" i="2" s="1"/>
  <c r="EI71" i="2" a="1"/>
  <c r="EI71" i="2" s="1"/>
  <c r="EI170" i="2" a="1"/>
  <c r="EI170" i="2" s="1"/>
  <c r="EI57" i="2" a="1"/>
  <c r="EI57" i="2" s="1"/>
  <c r="EI142" i="2" a="1"/>
  <c r="EI142" i="2" s="1"/>
  <c r="EI166" i="2" a="1"/>
  <c r="EI166" i="2" s="1"/>
  <c r="EI153" i="2" a="1"/>
  <c r="EI153" i="2" s="1"/>
  <c r="EI16" i="2" a="1"/>
  <c r="EI16" i="2" s="1"/>
  <c r="EI36" i="2" a="1"/>
  <c r="EI36" i="2" s="1"/>
  <c r="EI195" i="2" a="1"/>
  <c r="EI195" i="2" s="1"/>
  <c r="EI178" i="2" a="1"/>
  <c r="EI178" i="2" s="1"/>
  <c r="EI198" i="2" a="1"/>
  <c r="EI198" i="2" s="1"/>
  <c r="EY202" i="2"/>
  <c r="BX107" i="2" a="1"/>
  <c r="BX107" i="2" s="1"/>
  <c r="CS56" i="2" a="1"/>
  <c r="CS56" i="2" s="1"/>
  <c r="CS72" i="2" a="1"/>
  <c r="CS72" i="2" s="1"/>
  <c r="CS185" i="2" a="1"/>
  <c r="CS185" i="2" s="1"/>
  <c r="CS134" i="2" a="1"/>
  <c r="CS134" i="2" s="1"/>
  <c r="CS38" i="2" a="1"/>
  <c r="CS38" i="2" s="1"/>
  <c r="CS161" i="2" a="1"/>
  <c r="CS161" i="2" s="1"/>
  <c r="CS120" i="2" a="1"/>
  <c r="CS120" i="2" s="1"/>
  <c r="CS24" i="2" a="1"/>
  <c r="CS24" i="2" s="1"/>
  <c r="CS129" i="2" a="1"/>
  <c r="CS129" i="2" s="1"/>
  <c r="CS137" i="2" a="1"/>
  <c r="CS137" i="2" s="1"/>
  <c r="CS52" i="2" a="1"/>
  <c r="CS52" i="2" s="1"/>
  <c r="CS114" i="2" a="1"/>
  <c r="CS114" i="2" s="1"/>
  <c r="CS116" i="2" a="1"/>
  <c r="CS116" i="2" s="1"/>
  <c r="CS66" i="2" a="1"/>
  <c r="CS66" i="2" s="1"/>
  <c r="CS105" i="2" a="1"/>
  <c r="CS105" i="2" s="1"/>
  <c r="CS77" i="2" a="1"/>
  <c r="CS77" i="2" s="1"/>
  <c r="FY109" i="2" a="1"/>
  <c r="FY109" i="2" s="1"/>
  <c r="FY79" i="2" a="1"/>
  <c r="FY7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CN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CY100" i="2" l="1"/>
  <c r="CY178" i="2"/>
  <c r="CY98" i="2"/>
  <c r="CY125" i="2"/>
  <c r="CY137" i="2"/>
  <c r="CY57" i="2"/>
  <c r="CY20" i="2"/>
  <c r="CY9" i="2"/>
  <c r="CY144" i="2"/>
  <c r="CY96" i="2"/>
  <c r="CY62" i="2"/>
  <c r="CY117" i="2"/>
  <c r="CY88" i="2"/>
  <c r="CY27" i="2"/>
  <c r="CY170" i="2"/>
  <c r="CY157" i="2"/>
  <c r="CY175" i="2"/>
  <c r="CY108" i="2"/>
  <c r="CY19" i="2"/>
  <c r="CY123" i="2"/>
  <c r="CY36" i="2"/>
  <c r="CY39" i="2"/>
  <c r="CY193" i="2"/>
  <c r="CY148" i="2"/>
  <c r="CY6" i="2"/>
  <c r="CY143" i="2"/>
  <c r="CY184" i="2"/>
  <c r="CY28" i="2"/>
  <c r="CY46" i="2"/>
  <c r="CY94" i="2"/>
  <c r="CY7" i="2"/>
  <c r="CY150" i="2"/>
  <c r="CY37" i="2"/>
  <c r="CY153" i="2"/>
  <c r="CY173" i="2"/>
  <c r="CY16" i="2"/>
  <c r="CY55" i="2"/>
  <c r="CY43" i="2"/>
  <c r="CY147" i="2"/>
  <c r="CY112" i="2"/>
  <c r="CY70" i="2"/>
  <c r="CY177" i="2"/>
  <c r="CY146" i="2"/>
  <c r="CY87" i="2"/>
  <c r="CY152" i="2"/>
  <c r="CY176" i="2"/>
  <c r="CY149" i="2"/>
  <c r="CY40" i="2"/>
  <c r="CY174" i="2"/>
  <c r="CY61" i="2"/>
  <c r="CY10" i="2"/>
  <c r="CY198" i="2"/>
  <c r="CY29" i="2"/>
  <c r="CY160" i="2"/>
  <c r="CY23" i="2"/>
  <c r="CY95" i="2"/>
  <c r="CY116" i="2"/>
  <c r="CY163" i="2"/>
  <c r="CY31" i="2"/>
  <c r="CY192" i="2"/>
  <c r="CY101" i="2"/>
  <c r="CY141" i="2"/>
  <c r="CY142" i="2"/>
  <c r="CY42" i="2"/>
  <c r="CY4" i="2"/>
  <c r="CY109" i="2"/>
  <c r="CY72" i="2"/>
  <c r="CY138" i="2"/>
  <c r="CY99" i="2"/>
  <c r="CY67" i="2"/>
  <c r="CY102" i="2"/>
  <c r="CY21" i="2"/>
  <c r="CY154" i="2"/>
  <c r="CY115" i="2"/>
  <c r="CY194" i="2"/>
  <c r="CY54" i="2"/>
  <c r="CY188" i="2"/>
  <c r="CY105" i="2"/>
  <c r="CY49" i="2"/>
  <c r="CY14" i="2"/>
  <c r="CY33" i="2"/>
  <c r="CY50" i="2"/>
  <c r="CY134" i="2"/>
  <c r="CY130" i="2"/>
  <c r="CY8" i="2"/>
  <c r="CY122" i="2"/>
  <c r="CY73" i="2"/>
  <c r="CY103" i="2"/>
  <c r="CY68" i="2"/>
  <c r="CY167" i="2"/>
  <c r="CY24" i="2"/>
  <c r="CY164" i="2"/>
  <c r="CY32" i="2"/>
  <c r="CY17" i="2"/>
  <c r="CY183" i="2"/>
  <c r="CY145" i="2"/>
  <c r="CY200" i="2"/>
  <c r="CY165" i="2"/>
  <c r="CY203" i="2"/>
  <c r="CY110" i="2"/>
  <c r="CY56" i="2"/>
  <c r="CY71" i="2"/>
  <c r="CY121" i="2"/>
  <c r="CY126" i="2"/>
  <c r="CY45" i="2"/>
  <c r="CY60" i="2"/>
  <c r="CY44" i="2"/>
  <c r="CY186" i="2"/>
  <c r="CY179" i="2"/>
  <c r="CY124" i="2"/>
  <c r="CY18" i="2"/>
  <c r="CY119" i="2"/>
  <c r="CY161" i="2"/>
  <c r="CY97" i="2"/>
  <c r="CY166" i="2"/>
  <c r="CY52" i="2"/>
  <c r="CY181" i="2"/>
  <c r="CY201" i="2"/>
  <c r="CY132" i="2"/>
  <c r="CY172" i="2"/>
  <c r="CY199" i="2"/>
  <c r="CY182" i="2"/>
  <c r="CY76" i="2"/>
  <c r="CY22" i="2"/>
  <c r="CY191" i="2"/>
  <c r="CY127" i="2"/>
  <c r="CY66" i="2"/>
  <c r="CY83" i="2"/>
  <c r="CY106" i="2"/>
  <c r="CY91" i="2"/>
  <c r="CY74" i="2"/>
  <c r="CY168" i="2"/>
  <c r="CY35" i="2"/>
  <c r="CY189" i="2"/>
  <c r="CY128" i="2"/>
  <c r="CY159" i="2"/>
  <c r="CY63" i="2"/>
  <c r="CY25" i="2"/>
  <c r="CY169" i="2"/>
  <c r="CY155" i="2"/>
  <c r="CY59" i="2"/>
  <c r="CY78" i="2"/>
  <c r="CY185" i="2"/>
  <c r="CY104" i="2"/>
  <c r="CY158" i="2"/>
  <c r="CY11" i="2"/>
  <c r="CY190" i="2"/>
  <c r="CY12" i="2"/>
  <c r="CY135" i="2"/>
  <c r="CY65" i="2"/>
  <c r="CY107" i="2"/>
  <c r="CY89" i="2"/>
  <c r="CY69" i="2"/>
  <c r="CY53" i="2"/>
  <c r="CY82" i="2"/>
  <c r="CY81" i="2"/>
  <c r="CY196" i="2"/>
  <c r="CY151" i="2"/>
  <c r="CY129" i="2"/>
  <c r="CY41" i="2"/>
  <c r="CY133" i="2"/>
  <c r="CY195" i="2"/>
  <c r="CY118" i="2"/>
  <c r="CY30" i="2"/>
  <c r="CY75" i="2"/>
  <c r="CY187" i="2"/>
  <c r="CY38" i="2"/>
  <c r="CY84" i="2"/>
  <c r="CY85" i="2"/>
  <c r="CY80" i="2"/>
  <c r="CY79" i="2"/>
  <c r="CY26" i="2"/>
  <c r="CY93" i="2"/>
  <c r="CY131" i="2"/>
  <c r="CY139" i="2"/>
  <c r="CY15" i="2"/>
  <c r="CY51" i="2"/>
  <c r="CY5" i="2"/>
  <c r="CY162" i="2"/>
  <c r="CY120" i="2"/>
  <c r="CY111" i="2"/>
  <c r="CY77" i="2"/>
  <c r="CY171" i="2"/>
  <c r="CY58" i="2"/>
  <c r="CY197" i="2"/>
  <c r="CY86" i="2"/>
  <c r="CY140" i="2"/>
  <c r="CY64" i="2"/>
  <c r="CY113" i="2"/>
  <c r="CY114" i="2"/>
  <c r="CY90" i="2"/>
  <c r="CY92" i="2"/>
  <c r="CY202" i="2"/>
  <c r="CY156" i="2"/>
  <c r="CY3" i="2"/>
  <c r="C10" i="4" s="1"/>
  <c r="E10" i="4" s="1"/>
  <c r="F10" i="4" s="1"/>
  <c r="G10" i="4" s="1"/>
  <c r="L10" i="4" s="1"/>
  <c r="CY34" i="2"/>
  <c r="CY47" i="2"/>
  <c r="CY180" i="2"/>
  <c r="CY13" i="2"/>
  <c r="CY136" i="2"/>
  <c r="CY48" i="2"/>
  <c r="FE114" i="2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Z180" i="2" l="1"/>
  <c r="GZ42" i="2"/>
  <c r="GZ153" i="2"/>
  <c r="GZ142" i="2"/>
  <c r="GZ147" i="2"/>
  <c r="GZ104" i="2"/>
  <c r="GZ48" i="2"/>
  <c r="GZ5" i="2"/>
  <c r="GZ150" i="2"/>
  <c r="GZ68" i="2"/>
  <c r="GZ157" i="2"/>
  <c r="GZ11" i="2"/>
  <c r="GZ184" i="2"/>
  <c r="GZ10" i="2"/>
  <c r="GZ186" i="2"/>
  <c r="GZ156" i="2"/>
  <c r="GZ90" i="2"/>
  <c r="GZ47" i="2"/>
  <c r="GZ148" i="2"/>
  <c r="GZ35" i="2"/>
  <c r="GZ107" i="2"/>
  <c r="GZ144" i="2"/>
  <c r="GZ119" i="2"/>
  <c r="GZ70" i="2"/>
  <c r="GZ160" i="2"/>
  <c r="GZ166" i="2"/>
  <c r="GZ122" i="2"/>
  <c r="GZ145" i="2"/>
  <c r="GZ87" i="2"/>
  <c r="GZ173" i="2"/>
  <c r="GZ154" i="2"/>
  <c r="GZ72" i="2"/>
  <c r="GZ44" i="2"/>
  <c r="GZ112" i="2"/>
  <c r="GZ188" i="2"/>
  <c r="GZ168" i="2"/>
  <c r="GZ81" i="2"/>
  <c r="GZ77" i="2"/>
  <c r="GZ185" i="2"/>
  <c r="GZ162" i="2"/>
  <c r="GZ200" i="2"/>
  <c r="GZ53" i="2"/>
  <c r="GZ152" i="2"/>
  <c r="GZ101" i="2"/>
  <c r="GZ191" i="2"/>
  <c r="GZ123" i="2"/>
  <c r="GZ201" i="2"/>
  <c r="GZ187" i="2"/>
  <c r="GZ99" i="2"/>
  <c r="GZ114" i="2"/>
  <c r="GZ19" i="2"/>
  <c r="GZ111" i="2"/>
  <c r="GZ146" i="2"/>
  <c r="GZ139" i="2"/>
  <c r="GZ64" i="2"/>
  <c r="GZ143" i="2"/>
  <c r="GZ40" i="2"/>
  <c r="GZ176" i="2"/>
  <c r="GZ20" i="2"/>
  <c r="GZ105" i="2"/>
  <c r="GZ78" i="2"/>
  <c r="GZ199" i="2"/>
  <c r="GZ120" i="2"/>
  <c r="GZ65" i="2"/>
  <c r="GZ94" i="2"/>
  <c r="GZ106" i="2"/>
  <c r="GZ52" i="2"/>
  <c r="GZ96" i="2"/>
  <c r="GZ126" i="2"/>
  <c r="GZ34" i="2"/>
  <c r="GZ92" i="2"/>
  <c r="GZ28" i="2"/>
  <c r="GZ179" i="2"/>
  <c r="GZ100" i="2"/>
  <c r="GZ192" i="2"/>
  <c r="GZ137" i="2"/>
  <c r="GZ171" i="2"/>
  <c r="GZ86" i="2"/>
  <c r="GZ195" i="2"/>
  <c r="GZ124" i="2"/>
  <c r="GZ161" i="2"/>
  <c r="GZ63" i="2"/>
  <c r="GZ155" i="2"/>
  <c r="GZ84" i="2"/>
  <c r="GZ50" i="2"/>
  <c r="GZ193" i="2"/>
  <c r="GZ12" i="2"/>
  <c r="GZ74" i="2"/>
  <c r="GZ165" i="2"/>
  <c r="GZ32" i="2"/>
  <c r="GZ172" i="2"/>
  <c r="GZ23" i="2"/>
  <c r="GZ164" i="2"/>
  <c r="GZ37" i="2"/>
  <c r="GZ66" i="2"/>
  <c r="GZ116" i="2"/>
  <c r="GZ140" i="2"/>
  <c r="GZ17" i="2"/>
  <c r="GZ174" i="2"/>
  <c r="GZ131" i="2"/>
  <c r="GZ98" i="2"/>
  <c r="GZ6" i="2"/>
  <c r="GZ109" i="2"/>
  <c r="GZ58" i="2"/>
  <c r="GZ75" i="2"/>
  <c r="GZ62" i="2"/>
  <c r="GZ8" i="2"/>
  <c r="GZ69" i="2"/>
  <c r="GZ13" i="2"/>
  <c r="GZ83" i="2"/>
  <c r="GZ85" i="2"/>
  <c r="GZ80" i="2"/>
  <c r="GZ203" i="2"/>
  <c r="GZ190" i="2"/>
  <c r="GZ132" i="2"/>
  <c r="GZ121" i="2"/>
  <c r="GZ110" i="2"/>
  <c r="GZ158" i="2"/>
  <c r="GZ175" i="2"/>
  <c r="GZ76" i="2"/>
  <c r="GZ103" i="2"/>
  <c r="GZ54" i="2"/>
  <c r="GZ138" i="2"/>
  <c r="GZ88" i="2"/>
  <c r="GZ196" i="2"/>
  <c r="GZ36" i="2"/>
  <c r="GZ31" i="2"/>
  <c r="GZ178" i="2"/>
  <c r="GZ45" i="2"/>
  <c r="GZ14" i="2"/>
  <c r="GZ30" i="2"/>
  <c r="GZ89" i="2"/>
  <c r="GZ16" i="2"/>
  <c r="GZ24" i="2"/>
  <c r="GZ197" i="2"/>
  <c r="GZ134" i="2"/>
  <c r="GZ39" i="2"/>
  <c r="GZ133" i="2"/>
  <c r="GZ27" i="2"/>
  <c r="GZ149" i="2"/>
  <c r="GZ29" i="2"/>
  <c r="GZ183" i="2"/>
  <c r="GZ33" i="2"/>
  <c r="GZ71" i="2"/>
  <c r="GZ57" i="2"/>
  <c r="GZ97" i="2"/>
  <c r="GZ151" i="2"/>
  <c r="GZ167" i="2"/>
  <c r="GZ73" i="2"/>
  <c r="GZ170" i="2"/>
  <c r="GZ38" i="2"/>
  <c r="GZ125" i="2"/>
  <c r="GZ41" i="2"/>
  <c r="GZ130" i="2"/>
  <c r="GZ7" i="2"/>
  <c r="GZ49" i="2"/>
  <c r="GZ141" i="2"/>
  <c r="GZ15" i="2"/>
  <c r="GZ159" i="2"/>
  <c r="GZ55" i="2"/>
  <c r="GZ129" i="2"/>
  <c r="GZ79" i="2"/>
  <c r="GZ82" i="2"/>
  <c r="GZ60" i="2"/>
  <c r="GZ108" i="2"/>
  <c r="GZ115" i="2"/>
  <c r="GZ46" i="2"/>
  <c r="GZ118" i="2"/>
  <c r="GZ189" i="2"/>
  <c r="GZ128" i="2"/>
  <c r="GZ182" i="2"/>
  <c r="GZ43" i="2"/>
  <c r="GZ26" i="2"/>
  <c r="GZ117" i="2"/>
  <c r="GZ95" i="2"/>
  <c r="GZ25" i="2"/>
  <c r="GZ22" i="2"/>
  <c r="GZ9" i="2"/>
  <c r="GZ127" i="2"/>
  <c r="GZ4" i="2"/>
  <c r="GZ177" i="2"/>
  <c r="GZ102" i="2"/>
  <c r="GZ181" i="2"/>
  <c r="GZ18" i="2"/>
  <c r="GZ194" i="2"/>
  <c r="GZ135" i="2"/>
  <c r="GZ169" i="2"/>
  <c r="GZ113" i="2"/>
  <c r="GZ136" i="2"/>
  <c r="GZ51" i="2"/>
  <c r="GZ91" i="2"/>
  <c r="GZ56" i="2"/>
  <c r="GZ93" i="2"/>
  <c r="GZ202" i="2"/>
  <c r="GZ198" i="2"/>
  <c r="GZ61" i="2"/>
  <c r="GZ67" i="2"/>
  <c r="GZ21" i="2"/>
  <c r="GZ163" i="2"/>
  <c r="GZ59" i="2"/>
  <c r="GZ3" i="2"/>
  <c r="C15" i="4" s="1"/>
  <c r="E15" i="4" s="1"/>
  <c r="F15" i="4" s="1"/>
  <c r="G15" i="4" s="1"/>
  <c r="L15" i="4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E145" i="2" l="1"/>
  <c r="GE191" i="2"/>
  <c r="GE173" i="2"/>
  <c r="GE4" i="2"/>
  <c r="GE129" i="2"/>
  <c r="GE180" i="2"/>
  <c r="GE80" i="2"/>
  <c r="GE23" i="2"/>
  <c r="GE33" i="2"/>
  <c r="GE200" i="2"/>
  <c r="GE12" i="2"/>
  <c r="GE51" i="2"/>
  <c r="GE106" i="2"/>
  <c r="GE162" i="2"/>
  <c r="GE73" i="2"/>
  <c r="GE97" i="2"/>
  <c r="GE101" i="2"/>
  <c r="GE109" i="2"/>
  <c r="GE70" i="2"/>
  <c r="GE139" i="2"/>
  <c r="GE17" i="2"/>
  <c r="GE202" i="2"/>
  <c r="GE131" i="2"/>
  <c r="GE68" i="2"/>
  <c r="GE49" i="2"/>
  <c r="GE18" i="2"/>
  <c r="GE134" i="2"/>
  <c r="GE159" i="2"/>
  <c r="GE40" i="2"/>
  <c r="GE9" i="2"/>
  <c r="GE151" i="2"/>
  <c r="GE141" i="2"/>
  <c r="GE160" i="2"/>
  <c r="GE172" i="2"/>
  <c r="GE143" i="2"/>
  <c r="GE114" i="2"/>
  <c r="GE126" i="2"/>
  <c r="GE166" i="2"/>
  <c r="GE184" i="2"/>
  <c r="GE41" i="2"/>
  <c r="GE53" i="2"/>
  <c r="GE112" i="2"/>
  <c r="GE60" i="2"/>
  <c r="GE7" i="2"/>
  <c r="GE57" i="2"/>
  <c r="GE157" i="2"/>
  <c r="GE135" i="2"/>
  <c r="GE25" i="2"/>
  <c r="GE148" i="2"/>
  <c r="GE36" i="2"/>
  <c r="GE50" i="2"/>
  <c r="GE79" i="2"/>
  <c r="GE187" i="2"/>
  <c r="GE198" i="2"/>
  <c r="GE108" i="2"/>
  <c r="GE155" i="2"/>
  <c r="GE47" i="2"/>
  <c r="GE88" i="2"/>
  <c r="GE176" i="2"/>
  <c r="GE54" i="2"/>
  <c r="GE99" i="2"/>
  <c r="GE178" i="2"/>
  <c r="GE89" i="2"/>
  <c r="GE195" i="2"/>
  <c r="GE56" i="2"/>
  <c r="GE77" i="2"/>
  <c r="GE38" i="2"/>
  <c r="GE35" i="2"/>
  <c r="GE161" i="2"/>
  <c r="GE158" i="2"/>
  <c r="GE164" i="2"/>
  <c r="GE92" i="2"/>
  <c r="GE113" i="2"/>
  <c r="GE193" i="2"/>
  <c r="GE83" i="2"/>
  <c r="GE117" i="2"/>
  <c r="GE90" i="2"/>
  <c r="GE78" i="2"/>
  <c r="GE130" i="2"/>
  <c r="GE152" i="2"/>
  <c r="GE115" i="2"/>
  <c r="GE71" i="2"/>
  <c r="GE119" i="2"/>
  <c r="GE15" i="2"/>
  <c r="GE64" i="2"/>
  <c r="GE142" i="2"/>
  <c r="GE171" i="2"/>
  <c r="GE6" i="2"/>
  <c r="GE167" i="2"/>
  <c r="GE26" i="2"/>
  <c r="GE147" i="2"/>
  <c r="GE165" i="2"/>
  <c r="GE177" i="2"/>
  <c r="GE194" i="2"/>
  <c r="GE34" i="2"/>
  <c r="GE81" i="2"/>
  <c r="GE8" i="2"/>
  <c r="GE137" i="2"/>
  <c r="GE13" i="2"/>
  <c r="GE32" i="2"/>
  <c r="GE31" i="2"/>
  <c r="GE132" i="2"/>
  <c r="GE186" i="2"/>
  <c r="GE124" i="2"/>
  <c r="GE201" i="2"/>
  <c r="GE122" i="2"/>
  <c r="GE3" i="2"/>
  <c r="C14" i="4" s="1"/>
  <c r="E14" i="4" s="1"/>
  <c r="F14" i="4" s="1"/>
  <c r="G14" i="4" s="1"/>
  <c r="L14" i="4" s="1"/>
  <c r="GE192" i="2"/>
  <c r="GE138" i="2"/>
  <c r="GE182" i="2"/>
  <c r="GE170" i="2"/>
  <c r="GE59" i="2"/>
  <c r="GE116" i="2"/>
  <c r="GE58" i="2"/>
  <c r="GE74" i="2"/>
  <c r="GE37" i="2"/>
  <c r="GE146" i="2"/>
  <c r="GE61" i="2"/>
  <c r="GE203" i="2"/>
  <c r="GE98" i="2"/>
  <c r="GE136" i="2"/>
  <c r="GE87" i="2"/>
  <c r="GE19" i="2"/>
  <c r="GE62" i="2"/>
  <c r="GE197" i="2"/>
  <c r="GE42" i="2"/>
  <c r="GE29" i="2"/>
  <c r="GE185" i="2"/>
  <c r="GE96" i="2"/>
  <c r="GE43" i="2"/>
  <c r="GE67" i="2"/>
  <c r="GE133" i="2"/>
  <c r="GE163" i="2"/>
  <c r="GE123" i="2"/>
  <c r="GE52" i="2"/>
  <c r="GE48" i="2"/>
  <c r="GE95" i="2"/>
  <c r="GE183" i="2"/>
  <c r="GE14" i="2"/>
  <c r="GE94" i="2"/>
  <c r="GE10" i="2"/>
  <c r="GE21" i="2"/>
  <c r="GE127" i="2"/>
  <c r="GE11" i="2"/>
  <c r="GE189" i="2"/>
  <c r="GE150" i="2"/>
  <c r="GE196" i="2"/>
  <c r="GE169" i="2"/>
  <c r="GE140" i="2"/>
  <c r="GE103" i="2"/>
  <c r="GE69" i="2"/>
  <c r="GE156" i="2"/>
  <c r="GE102" i="2"/>
  <c r="GE179" i="2"/>
  <c r="GE107" i="2"/>
  <c r="GE16" i="2"/>
  <c r="GE45" i="2"/>
  <c r="GE120" i="2"/>
  <c r="GE65" i="2"/>
  <c r="GE84" i="2"/>
  <c r="GE44" i="2"/>
  <c r="GE100" i="2"/>
  <c r="GE111" i="2"/>
  <c r="GE82" i="2"/>
  <c r="GE39" i="2"/>
  <c r="GE22" i="2"/>
  <c r="GE27" i="2"/>
  <c r="GE149" i="2"/>
  <c r="GE28" i="2"/>
  <c r="GE110" i="2"/>
  <c r="GE55" i="2"/>
  <c r="GE20" i="2"/>
  <c r="GE125" i="2"/>
  <c r="GE168" i="2"/>
  <c r="GE174" i="2"/>
  <c r="GE118" i="2"/>
  <c r="GE188" i="2"/>
  <c r="GE190" i="2"/>
  <c r="GE91" i="2"/>
  <c r="GE199" i="2"/>
  <c r="GE86" i="2"/>
  <c r="GE5" i="2"/>
  <c r="GE76" i="2"/>
  <c r="GE72" i="2"/>
  <c r="GE153" i="2"/>
  <c r="GE104" i="2"/>
  <c r="GE105" i="2"/>
  <c r="GE128" i="2"/>
  <c r="GE30" i="2"/>
  <c r="GE154" i="2"/>
  <c r="GE93" i="2"/>
  <c r="GE24" i="2"/>
  <c r="GE63" i="2"/>
  <c r="GE46" i="2"/>
  <c r="GE175" i="2"/>
  <c r="GE121" i="2"/>
  <c r="GE144" i="2"/>
  <c r="GE181" i="2"/>
  <c r="GE85" i="2"/>
  <c r="GE66" i="2"/>
  <c r="GE75" i="2"/>
  <c r="FJ77" i="2"/>
  <c r="FJ96" i="2"/>
  <c r="FJ135" i="2"/>
  <c r="FJ142" i="2"/>
  <c r="FJ203" i="2"/>
  <c r="FJ15" i="2"/>
  <c r="FJ137" i="2"/>
  <c r="FJ188" i="2"/>
  <c r="FJ123" i="2"/>
  <c r="FJ151" i="2"/>
  <c r="FJ11" i="2"/>
  <c r="FJ182" i="2"/>
  <c r="FJ12" i="2"/>
  <c r="FJ92" i="2"/>
  <c r="FJ98" i="2"/>
  <c r="FJ73" i="2"/>
  <c r="FJ164" i="2"/>
  <c r="FJ178" i="2"/>
  <c r="FJ104" i="2"/>
  <c r="FJ100" i="2"/>
  <c r="FJ186" i="2"/>
  <c r="FJ42" i="2"/>
  <c r="FJ59" i="2"/>
  <c r="FJ13" i="2"/>
  <c r="FJ81" i="2"/>
  <c r="FJ22" i="2"/>
  <c r="FJ183" i="2"/>
  <c r="FJ132" i="2"/>
  <c r="FJ61" i="2"/>
  <c r="FJ33" i="2"/>
  <c r="FJ46" i="2"/>
  <c r="FJ161" i="2"/>
  <c r="FJ198" i="2"/>
  <c r="FJ165" i="2"/>
  <c r="FJ14" i="2"/>
  <c r="FJ47" i="2"/>
  <c r="FJ107" i="2"/>
  <c r="FJ171" i="2"/>
  <c r="FJ114" i="2"/>
  <c r="FJ34" i="2"/>
  <c r="FJ3" i="2"/>
  <c r="C13" i="4" s="1"/>
  <c r="E13" i="4" s="1"/>
  <c r="F13" i="4" s="1"/>
  <c r="G13" i="4" s="1"/>
  <c r="L13" i="4" s="1"/>
  <c r="FJ37" i="2"/>
  <c r="FJ148" i="2"/>
  <c r="FJ86" i="2"/>
  <c r="FJ174" i="2"/>
  <c r="FJ106" i="2"/>
  <c r="FJ38" i="2"/>
  <c r="FJ65" i="2"/>
  <c r="FJ74" i="2"/>
  <c r="FJ16" i="2"/>
  <c r="FJ23" i="2"/>
  <c r="FJ156" i="2"/>
  <c r="FJ17" i="2"/>
  <c r="FJ32" i="2"/>
  <c r="FJ119" i="2"/>
  <c r="FJ195" i="2"/>
  <c r="FJ36" i="2"/>
  <c r="FJ25" i="2"/>
  <c r="FJ84" i="2"/>
  <c r="FJ18" i="2"/>
  <c r="FJ173" i="2"/>
  <c r="FJ105" i="2"/>
  <c r="FJ76" i="2"/>
  <c r="FJ163" i="2"/>
  <c r="FJ127" i="2"/>
  <c r="FJ24" i="2"/>
  <c r="FJ82" i="2"/>
  <c r="FJ5" i="2"/>
  <c r="FJ157" i="2"/>
  <c r="FJ129" i="2"/>
  <c r="FJ181" i="2"/>
  <c r="FJ94" i="2"/>
  <c r="FJ116" i="2"/>
  <c r="FJ56" i="2"/>
  <c r="FJ70" i="2"/>
  <c r="FJ51" i="2"/>
  <c r="FJ144" i="2"/>
  <c r="FJ176" i="2"/>
  <c r="FJ180" i="2"/>
  <c r="FJ27" i="2"/>
  <c r="FJ28" i="2"/>
  <c r="FJ21" i="2"/>
  <c r="FJ149" i="2"/>
  <c r="FJ55" i="2"/>
  <c r="FJ50" i="2"/>
  <c r="FJ118" i="2"/>
  <c r="FJ134" i="2"/>
  <c r="FJ143" i="2"/>
  <c r="FJ19" i="2"/>
  <c r="FJ145" i="2"/>
  <c r="FJ147" i="2"/>
  <c r="FJ126" i="2"/>
  <c r="FJ194" i="2"/>
  <c r="FJ133" i="2"/>
  <c r="FJ80" i="2"/>
  <c r="FJ54" i="2"/>
  <c r="FJ131" i="2"/>
  <c r="FJ93" i="2"/>
  <c r="FJ175" i="2"/>
  <c r="FJ197" i="2"/>
  <c r="FJ193" i="2"/>
  <c r="FJ201" i="2"/>
  <c r="FJ184" i="2"/>
  <c r="FJ53" i="2"/>
  <c r="FJ97" i="2"/>
  <c r="FJ10" i="2"/>
  <c r="FJ9" i="2"/>
  <c r="FJ45" i="2"/>
  <c r="FJ140" i="2"/>
  <c r="FJ130" i="2"/>
  <c r="FJ91" i="2"/>
  <c r="FJ71" i="2"/>
  <c r="FJ8" i="2"/>
  <c r="FJ124" i="2"/>
  <c r="FJ139" i="2"/>
  <c r="FJ40" i="2"/>
  <c r="FJ30" i="2"/>
  <c r="FJ72" i="2"/>
  <c r="FJ6" i="2"/>
  <c r="FJ152" i="2"/>
  <c r="FJ128" i="2"/>
  <c r="FJ146" i="2"/>
  <c r="FJ60" i="2"/>
  <c r="FJ99" i="2"/>
  <c r="FJ168" i="2"/>
  <c r="FJ7" i="2"/>
  <c r="FJ49" i="2"/>
  <c r="FJ41" i="2"/>
  <c r="FJ68" i="2"/>
  <c r="FJ58" i="2"/>
  <c r="FJ111" i="2"/>
  <c r="FJ108" i="2"/>
  <c r="FJ20" i="2"/>
  <c r="FJ109" i="2"/>
  <c r="FJ90" i="2"/>
  <c r="FJ115" i="2"/>
  <c r="FJ48" i="2"/>
  <c r="FJ196" i="2"/>
  <c r="FJ162" i="2"/>
  <c r="FJ43" i="2"/>
  <c r="FJ136" i="2"/>
  <c r="FJ103" i="2"/>
  <c r="FJ62" i="2"/>
  <c r="FJ35" i="2"/>
  <c r="FJ200" i="2"/>
  <c r="FJ63" i="2"/>
  <c r="FJ177" i="2"/>
  <c r="FJ169" i="2"/>
  <c r="FJ172" i="2"/>
  <c r="FJ101" i="2"/>
  <c r="FJ121" i="2"/>
  <c r="FJ167" i="2"/>
  <c r="FJ159" i="2"/>
  <c r="FJ179" i="2"/>
  <c r="FJ83" i="2"/>
  <c r="FJ75" i="2"/>
  <c r="FJ29" i="2"/>
  <c r="FJ95" i="2"/>
  <c r="FJ202" i="2"/>
  <c r="FJ85" i="2"/>
  <c r="FJ160" i="2"/>
  <c r="FJ52" i="2"/>
  <c r="FJ89" i="2"/>
  <c r="FJ122" i="2"/>
  <c r="FJ120" i="2"/>
  <c r="FJ153" i="2"/>
  <c r="FJ192" i="2"/>
  <c r="FJ190" i="2"/>
  <c r="FJ102" i="2"/>
  <c r="FJ150" i="2"/>
  <c r="FJ187" i="2"/>
  <c r="FJ166" i="2"/>
  <c r="FJ189" i="2"/>
  <c r="FJ154" i="2"/>
  <c r="FJ66" i="2"/>
  <c r="FJ44" i="2"/>
  <c r="FJ26" i="2"/>
  <c r="FJ112" i="2"/>
  <c r="FJ64" i="2"/>
  <c r="FJ155" i="2"/>
  <c r="FJ88" i="2"/>
  <c r="FJ158" i="2"/>
  <c r="FJ125" i="2"/>
  <c r="FJ141" i="2"/>
  <c r="FJ79" i="2"/>
  <c r="FJ185" i="2"/>
  <c r="FJ78" i="2"/>
  <c r="FJ113" i="2"/>
  <c r="FJ199" i="2"/>
  <c r="FJ191" i="2"/>
  <c r="FJ138" i="2"/>
  <c r="FJ31" i="2"/>
  <c r="FJ117" i="2"/>
  <c r="FJ110" i="2"/>
  <c r="FJ57" i="2"/>
  <c r="FJ69" i="2"/>
  <c r="FJ4" i="2"/>
  <c r="FJ87" i="2"/>
  <c r="FJ39" i="2"/>
  <c r="FJ170" i="2"/>
  <c r="FJ6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8" i="2" l="1"/>
  <c r="BI190" i="2"/>
  <c r="BI37" i="2"/>
  <c r="BI23" i="2"/>
  <c r="BI126" i="2"/>
  <c r="BI154" i="2"/>
  <c r="BI159" i="2"/>
  <c r="BI88" i="2"/>
  <c r="BI179" i="2"/>
  <c r="BI57" i="2"/>
  <c r="BI170" i="2"/>
  <c r="BI165" i="2"/>
  <c r="BI153" i="2"/>
  <c r="BI98" i="2"/>
  <c r="BI137" i="2"/>
  <c r="BI56" i="2"/>
  <c r="BI113" i="2"/>
  <c r="BI80" i="2"/>
  <c r="BI38" i="2"/>
  <c r="BI128" i="2"/>
  <c r="BI130" i="2"/>
  <c r="BI33" i="2"/>
  <c r="BI84" i="2"/>
  <c r="BI24" i="2"/>
  <c r="BI121" i="2"/>
  <c r="BI116" i="2"/>
  <c r="BI99" i="2"/>
  <c r="BI151" i="2"/>
  <c r="BI103" i="2"/>
  <c r="BI82" i="2"/>
  <c r="BI120" i="2"/>
  <c r="BI77" i="2"/>
  <c r="BI167" i="2"/>
  <c r="BI20" i="2"/>
  <c r="BI152" i="2"/>
  <c r="BI72" i="2"/>
  <c r="BI43" i="2"/>
  <c r="BI196" i="2"/>
  <c r="BI182" i="2"/>
  <c r="BI8" i="2"/>
  <c r="BI173" i="2"/>
  <c r="BI199" i="2"/>
  <c r="BI64" i="2"/>
  <c r="BI85" i="2"/>
  <c r="BI114" i="2"/>
  <c r="BI171" i="2"/>
  <c r="BI21" i="2"/>
  <c r="BI70" i="2"/>
  <c r="BI60" i="2"/>
  <c r="BI41" i="2"/>
  <c r="BI39" i="2"/>
  <c r="BI119" i="2"/>
  <c r="BI95" i="2"/>
  <c r="BI189" i="2"/>
  <c r="BI147" i="2"/>
  <c r="BI52" i="2"/>
  <c r="BI47" i="2"/>
  <c r="BI123" i="2"/>
  <c r="BI45" i="2"/>
  <c r="BI27" i="2"/>
  <c r="BI133" i="2"/>
  <c r="BI91" i="2"/>
  <c r="BI34" i="2"/>
  <c r="BI109" i="2"/>
  <c r="BI104" i="2"/>
  <c r="BI100" i="2"/>
  <c r="BI17" i="2"/>
  <c r="BI68" i="2"/>
  <c r="BI40" i="2"/>
  <c r="BI180" i="2"/>
  <c r="BI73" i="2"/>
  <c r="BI163" i="2"/>
  <c r="BI86" i="2"/>
  <c r="BI105" i="2"/>
  <c r="BI7" i="2"/>
  <c r="BI106" i="2"/>
  <c r="BI62" i="2"/>
  <c r="BI10" i="2"/>
  <c r="BI79" i="2"/>
  <c r="BI4" i="2"/>
  <c r="BI175" i="2"/>
  <c r="BI176" i="2"/>
  <c r="BI35" i="2"/>
  <c r="BI69" i="2"/>
  <c r="BI157" i="2"/>
  <c r="BI5" i="2"/>
  <c r="BI178" i="2"/>
  <c r="BI14" i="2"/>
  <c r="BI150" i="2"/>
  <c r="BI74" i="2"/>
  <c r="BI143" i="2"/>
  <c r="BI61" i="2"/>
  <c r="BI93" i="2"/>
  <c r="BI50" i="2"/>
  <c r="BI3" i="2"/>
  <c r="C8" i="4" s="1"/>
  <c r="E8" i="4" s="1"/>
  <c r="F8" i="4" s="1"/>
  <c r="G8" i="4" s="1"/>
  <c r="L8" i="4" s="1"/>
  <c r="BI94" i="2"/>
  <c r="BI115" i="2"/>
  <c r="BI31" i="2"/>
  <c r="BI187" i="2"/>
  <c r="BI131" i="2"/>
  <c r="BI90" i="2"/>
  <c r="BI161" i="2"/>
  <c r="BI66" i="2"/>
  <c r="BI144" i="2"/>
  <c r="BI141" i="2"/>
  <c r="BI97" i="2"/>
  <c r="BI9" i="2"/>
  <c r="BI36" i="2"/>
  <c r="BI75" i="2"/>
  <c r="BI139" i="2"/>
  <c r="BI25" i="2"/>
  <c r="BI184" i="2"/>
  <c r="BI177" i="2"/>
  <c r="BI142" i="2"/>
  <c r="BI172" i="2"/>
  <c r="BI13" i="2"/>
  <c r="BI112" i="2"/>
  <c r="BI162" i="2"/>
  <c r="BI59" i="2"/>
  <c r="BI197" i="2"/>
  <c r="BI125" i="2"/>
  <c r="BI118" i="2"/>
  <c r="BI26" i="2"/>
  <c r="BI202" i="2"/>
  <c r="BI132" i="2"/>
  <c r="BI15" i="2"/>
  <c r="BI42" i="2"/>
  <c r="BI185" i="2"/>
  <c r="BI29" i="2"/>
  <c r="BI11" i="2"/>
  <c r="BI193" i="2"/>
  <c r="BI168" i="2"/>
  <c r="BI51" i="2"/>
  <c r="BI135" i="2"/>
  <c r="BI16" i="2"/>
  <c r="BI186" i="2"/>
  <c r="BI49" i="2"/>
  <c r="BI78" i="2"/>
  <c r="BI194" i="2"/>
  <c r="BI136" i="2"/>
  <c r="BI102" i="2"/>
  <c r="BI96" i="2"/>
  <c r="BI81" i="2"/>
  <c r="BI111" i="2"/>
  <c r="BI200" i="2"/>
  <c r="BI198" i="2"/>
  <c r="BI122" i="2"/>
  <c r="BI55" i="2"/>
  <c r="BI166" i="2"/>
  <c r="BI28" i="2"/>
  <c r="BI83" i="2"/>
  <c r="BI53" i="2"/>
  <c r="BI101" i="2"/>
  <c r="BI169" i="2"/>
  <c r="BI32" i="2"/>
  <c r="BI65" i="2"/>
  <c r="BI63" i="2"/>
  <c r="BI188" i="2"/>
  <c r="BI108" i="2"/>
  <c r="BI46" i="2"/>
  <c r="BI140" i="2"/>
  <c r="BI12" i="2"/>
  <c r="BI195" i="2"/>
  <c r="BI48" i="2"/>
  <c r="BI127" i="2"/>
  <c r="BI92" i="2"/>
  <c r="BI156" i="2"/>
  <c r="BI58" i="2"/>
  <c r="BI192" i="2"/>
  <c r="BI110" i="2"/>
  <c r="BI30" i="2"/>
  <c r="BI134" i="2"/>
  <c r="BI148" i="2"/>
  <c r="BI67" i="2"/>
  <c r="BI44" i="2"/>
  <c r="BI203" i="2"/>
  <c r="BI160" i="2"/>
  <c r="BI6" i="2"/>
  <c r="BI191" i="2"/>
  <c r="BI19" i="2"/>
  <c r="BI183" i="2"/>
  <c r="BI76" i="2"/>
  <c r="BI146" i="2"/>
  <c r="BI117" i="2"/>
  <c r="BI129" i="2"/>
  <c r="BI155" i="2"/>
  <c r="BI87" i="2"/>
  <c r="BI89" i="2"/>
  <c r="BI124" i="2"/>
  <c r="BI164" i="2"/>
  <c r="BI145" i="2"/>
  <c r="BI107" i="2"/>
  <c r="BI18" i="2"/>
  <c r="BI201" i="2"/>
  <c r="BI71" i="2"/>
  <c r="BI174" i="2"/>
  <c r="BI181" i="2"/>
  <c r="BI54" i="2"/>
  <c r="BI22" i="2"/>
  <c r="BI149" i="2"/>
  <c r="BI138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<sst xmlns="http://schemas.openxmlformats.org/spreadsheetml/2006/main" count="1190" uniqueCount="332">
  <si>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</si>
  <si>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</si>
  <si>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</si>
  <si>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</si>
  <si>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</si>
  <si>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</si>
  <si>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</si>
  <si>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</si>
  <si>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</si>
  <si>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</si>
  <si>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</si>
  <si>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</si>
  <si>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</si>
  <si>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</si>
  <si>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</si>
  <si>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</si>
  <si>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</si>
  <si>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</si>
  <si>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</si>
  <si>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</si>
  <si>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</si>
  <si>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</si>
  <si>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</si>
  <si>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</si>
  <si>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</si>
  <si>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</si>
  <si>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</si>
  <si>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</si>
  <si>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</si>
  <si>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</si>
  <si>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</si>
  <si>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</si>
  <si>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</si>
  <si>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</si>
  <si>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</si>
  <si>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</si>
  <si>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</si>
  <si>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</si>
  <si>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</si>
  <si>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</si>
  <si>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</si>
  <si>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</si>
  <si>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</si>
  <si>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</si>
  <si>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</si>
  <si>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</si>
  <si>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</si>
  <si>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</si>
  <si>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</si>
  <si>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</si>
  <si>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</si>
  <si>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</si>
  <si>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</si>
  <si>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</si>
  <si>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</si>
  <si>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</si>
  <si>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</si>
  <si>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</si>
  <si>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</si>
  <si>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</si>
  <si>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</si>
  <si>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</si>
  <si>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</si>
  <si>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</si>
  <si>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</si>
  <si>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</si>
  <si>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</si>
  <si>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</si>
  <si>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</si>
  <si>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</si>
  <si>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</si>
  <si>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</si>
  <si>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</si>
  <si>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</si>
  <si>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</si>
  <si>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</si>
  <si>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</si>
  <si>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</si>
  <si>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</si>
  <si>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</si>
  <si>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</si>
  <si>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</si>
  <si>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</si>
  <si>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</si>
  <si>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</si>
  <si>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</si>
  <si>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</si>
  <si>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</si>
  <si>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</si>
  <si>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</si>
  <si>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</si>
  <si>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</si>
  <si>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</si>
  <si>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</si>
  <si>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</si>
  <si>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</si>
  <si>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</si>
  <si>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</si>
  <si>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</si>
  <si>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</si>
  <si>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</si>
  <si>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</si>
  <si>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</si>
  <si>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</si>
  <si>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</si>
  <si>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</si>
  <si>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</si>
  <si>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</si>
  <si>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</si>
  <si>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</si>
  <si>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</si>
  <si>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</si>
  <si>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</si>
  <si>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</si>
  <si>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</si>
  <si>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</si>
  <si>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</si>
  <si>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</si>
  <si>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</si>
  <si>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</si>
  <si>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</si>
  <si>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</si>
  <si>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</si>
  <si>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</si>
  <si>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</si>
  <si>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</si>
  <si>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</si>
  <si>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</si>
  <si>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</si>
  <si>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</si>
  <si>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</si>
  <si>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</si>
  <si>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</si>
  <si>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</si>
  <si>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</si>
  <si>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</si>
  <si>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</si>
  <si>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</si>
  <si>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</si>
  <si>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</si>
  <si>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</si>
  <si>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</si>
  <si>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</si>
  <si>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</si>
  <si>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</si>
  <si>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</si>
  <si>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</si>
  <si>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</si>
  <si>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</si>
  <si>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</si>
  <si>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</si>
  <si>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</si>
  <si>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</si>
  <si>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</si>
  <si>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</si>
  <si>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</si>
  <si>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</si>
  <si>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</si>
  <si>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</si>
  <si>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</si>
  <si>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</si>
  <si>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</si>
  <si>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</si>
  <si>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</si>
  <si>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</si>
  <si>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</si>
  <si>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</si>
  <si>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</si>
  <si>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</si>
  <si>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</si>
  <si>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</si>
  <si>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</si>
  <si>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</si>
  <si>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</si>
  <si>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</si>
  <si>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</si>
  <si>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</si>
  <si>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</si>
  <si>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</si>
  <si>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</si>
  <si>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</si>
  <si>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</si>
  <si>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</si>
  <si>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</si>
  <si>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</si>
  <si>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</si>
  <si>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</si>
  <si>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</si>
  <si>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</si>
  <si>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</si>
  <si>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</si>
  <si>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</si>
  <si>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</si>
  <si>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</si>
  <si>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</si>
  <si>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</si>
  <si>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</si>
  <si>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</si>
  <si>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</si>
  <si>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</si>
  <si>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</si>
  <si>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</si>
  <si>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</si>
  <si>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</si>
  <si>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</si>
  <si>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</si>
  <si>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</si>
  <si>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</si>
  <si>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</si>
  <si>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</si>
  <si>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</si>
  <si>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</si>
  <si>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</si>
  <si>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</si>
  <si>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</si>
  <si>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</si>
  <si>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</si>
  <si>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</si>
  <si>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</si>
  <si>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</si>
  <si>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</si>
  <si>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</si>
  <si>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</si>
  <si>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</si>
  <si>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</si>
  <si>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</si>
  <si>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</si>
  <si>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</si>
  <si>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</si>
  <si>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</si>
  <si>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</si>
  <si>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</si>
  <si>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</si>
  <si>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</si>
  <si>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</si>
  <si>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</si>
  <si>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</si>
  <si>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</si>
  <si>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</si>
  <si>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</si>
  <si>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</si>
  <si>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</si>
  <si>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</si>
  <si>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</si>
  <si>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</si>
  <si>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</si>
  <si>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</si>
  <si>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</si>
  <si>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</si>
  <si>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</si>
  <si>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</si>
  <si>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</si>
  <si>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</si>
  <si>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</si>
  <si>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</si>
  <si>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</si>
  <si>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</si>
  <si>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</si>
  <si>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</si>
  <si>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</si>
  <si>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</si>
  <si>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</si>
  <si>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</si>
  <si>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</si>
  <si>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</si>
  <si>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</si>
  <si>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</si>
  <si>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</si>
  <si>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</si>
  <si>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</si>
  <si>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</si>
  <si>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</si>
  <si>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</si>
  <si>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</si>
  <si>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</si>
  <si>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</si>
  <si>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</si>
  <si>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</si>
  <si>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</si>
  <si>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</si>
  <si>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</si>
  <si>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</si>
  <si>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</si>
  <si>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</si>
  <si>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</si>
  <si>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</si>
  <si>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</si>
  <si>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</si>
  <si>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</si>
  <si>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</si>
  <si>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</si>
  <si>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</si>
  <si>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</si>
  <si>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</si>
  <si>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</si>
  <si>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</si>
  <si>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</si>
  <si>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</si>
  <si>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</si>
  <si>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</si>
  <si>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</si>
  <si>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</si>
  <si>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</si>
  <si>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</si>
  <si>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</si>
  <si>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</si>
  <si>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</si>
  <si>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</si>
  <si>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</si>
  <si>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</si>
  <si>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</si>
  <si>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</si>
  <si>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</si>
  <si>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</si>
  <si>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</si>
  <si>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</si>
  <si>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</si>
  <si>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</si>
  <si>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</si>
  <si>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</si>
  <si>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</si>
  <si>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</si>
  <si>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</si>
  <si>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</si>
  <si>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[2/3]</t>
  </si>
  <si>
    <t>[3/5]</t>
  </si>
  <si>
    <t>[7/7]</t>
  </si>
  <si>
    <t>4 [3/4/5/6]</t>
  </si>
  <si>
    <t>2 [1/2/3]</t>
  </si>
  <si>
    <t>2 [12/3]</t>
  </si>
  <si>
    <t>4 [4/6/8/10/12]</t>
  </si>
  <si>
    <t>3 [5/4/3/2/1]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</si>
</sst>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29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0" fillId="0" borderId="7" xfId="0" applyFont="1" applyBorder="1" applyAlignment="1" applyProtection="1">
      <protection hidden="1"/>
    </xf>
    <xf numFmtId="0" fontId="30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0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233.44601669739703</c:v>
                </c:pt>
                <c:pt idx="31">
                  <c:v>251.84750488432181</c:v>
                </c:pt>
                <c:pt idx="32">
                  <c:v>270.21853171878513</c:v>
                </c:pt>
                <c:pt idx="33">
                  <c:v>288.56145919537863</c:v>
                </c:pt>
                <c:pt idx="34">
                  <c:v>306.87832443749215</c:v>
                </c:pt>
                <c:pt idx="35">
                  <c:v>325.17090151429107</c:v>
                </c:pt>
                <c:pt idx="36">
                  <c:v>343.44074860711908</c:v>
                </c:pt>
                <c:pt idx="37">
                  <c:v>277.64048093700978</c:v>
                </c:pt>
                <c:pt idx="38">
                  <c:v>294.48954060352384</c:v>
                </c:pt>
                <c:pt idx="39">
                  <c:v>311.31709651831665</c:v>
                </c:pt>
                <c:pt idx="40">
                  <c:v>328.12447444010144</c:v>
                </c:pt>
                <c:pt idx="41">
                  <c:v>344.91285322325461</c:v>
                </c:pt>
                <c:pt idx="42">
                  <c:v>361.6832876036994</c:v>
                </c:pt>
                <c:pt idx="43">
                  <c:v>378.43672653622252</c:v>
                </c:pt>
                <c:pt idx="44">
                  <c:v>395.17402811417611</c:v>
                </c:pt>
                <c:pt idx="45">
                  <c:v>327.74099980495697</c:v>
                </c:pt>
                <c:pt idx="46">
                  <c:v>342.57632901037942</c:v>
                </c:pt>
                <c:pt idx="47">
                  <c:v>357.39754063727128</c:v>
                </c:pt>
                <c:pt idx="48">
                  <c:v>372.2053025492678</c:v>
                </c:pt>
                <c:pt idx="49">
                  <c:v>387.00022513459527</c:v>
                </c:pt>
                <c:pt idx="50">
                  <c:v>401.78286830651933</c:v>
                </c:pt>
                <c:pt idx="51">
                  <c:v>416.55374741966574</c:v>
                </c:pt>
                <c:pt idx="52">
                  <c:v>431.31333830337053</c:v>
                </c:pt>
                <c:pt idx="53">
                  <c:v>365.99122063055853</c:v>
                </c:pt>
                <c:pt idx="54">
                  <c:v>379.3298971194522</c:v>
                </c:pt>
                <c:pt idx="55">
                  <c:v>392.65837013825052</c:v>
                </c:pt>
                <c:pt idx="56">
                  <c:v>405.97703483483957</c:v>
                </c:pt>
                <c:pt idx="57">
                  <c:v>419.28625831464296</c:v>
                </c:pt>
                <c:pt idx="58">
                  <c:v>432.5863824764233</c:v>
                </c:pt>
                <c:pt idx="59">
                  <c:v>445.87772648114247</c:v>
                </c:pt>
                <c:pt idx="60">
                  <c:v>459.16058891110282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942928"/>
        <c:axId val="2006946192"/>
      </c:scatterChart>
      <c:valAx>
        <c:axId val="2006942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46192"/>
        <c:crosses val="autoZero"/>
        <c:crossBetween val="midCat"/>
      </c:valAx>
      <c:valAx>
        <c:axId val="200694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42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2.2007158170150634</c:v>
                </c:pt>
                <c:pt idx="2">
                  <c:v>2.7962519094118723</c:v>
                </c:pt>
                <c:pt idx="3">
                  <c:v>3.5535861505858075</c:v>
                </c:pt>
                <c:pt idx="4">
                  <c:v>4.5168406960899965</c:v>
                </c:pt>
                <c:pt idx="5">
                  <c:v>5.7422116394973726</c:v>
                </c:pt>
                <c:pt idx="6">
                  <c:v>7.3012836732651438</c:v>
                </c:pt>
                <c:pt idx="7">
                  <c:v>9.2852574241869252</c:v>
                </c:pt>
                <c:pt idx="8">
                  <c:v>11.810341445786392</c:v>
                </c:pt>
                <c:pt idx="9">
                  <c:v>15.024630592214445</c:v>
                </c:pt>
                <c:pt idx="10">
                  <c:v>19.116881586433095</c:v>
                </c:pt>
                <c:pt idx="11">
                  <c:v>24.327710406972969</c:v>
                </c:pt>
                <c:pt idx="12">
                  <c:v>30.963881526939787</c:v>
                </c:pt>
                <c:pt idx="13">
                  <c:v>39.416544835762807</c:v>
                </c:pt>
                <c:pt idx="14">
                  <c:v>50.184513497177107</c:v>
                </c:pt>
                <c:pt idx="15">
                  <c:v>63.903979417585994</c:v>
                </c:pt>
                <c:pt idx="16">
                  <c:v>74.968706876518851</c:v>
                </c:pt>
                <c:pt idx="17">
                  <c:v>85.991728436661262</c:v>
                </c:pt>
                <c:pt idx="18">
                  <c:v>96.979158932691703</c:v>
                </c:pt>
                <c:pt idx="19">
                  <c:v>107.93560770449947</c:v>
                </c:pt>
                <c:pt idx="20">
                  <c:v>118.86466834612668</c:v>
                </c:pt>
                <c:pt idx="21">
                  <c:v>130.33262503284615</c:v>
                </c:pt>
                <c:pt idx="22">
                  <c:v>141.77618935167845</c:v>
                </c:pt>
                <c:pt idx="23">
                  <c:v>153.19760973996208</c:v>
                </c:pt>
                <c:pt idx="24">
                  <c:v>164.59877136682616</c:v>
                </c:pt>
                <c:pt idx="25">
                  <c:v>175.98127648998829</c:v>
                </c:pt>
                <c:pt idx="26">
                  <c:v>133.89951586726025</c:v>
                </c:pt>
                <c:pt idx="27">
                  <c:v>145.14865683159067</c:v>
                </c:pt>
                <c:pt idx="28">
                  <c:v>156.3769455749574</c:v>
                </c:pt>
                <c:pt idx="29">
                  <c:v>167.58609180073498</c:v>
                </c:pt>
                <c:pt idx="30">
                  <c:v>178.77755746583179</c:v>
                </c:pt>
                <c:pt idx="31">
                  <c:v>189.20809090709827</c:v>
                </c:pt>
                <c:pt idx="32">
                  <c:v>199.62522507053666</c:v>
                </c:pt>
                <c:pt idx="33">
                  <c:v>210.02975834863889</c:v>
                </c:pt>
                <c:pt idx="34">
                  <c:v>220.42240348483696</c:v>
                </c:pt>
                <c:pt idx="35">
                  <c:v>230.80380045507431</c:v>
                </c:pt>
                <c:pt idx="36">
                  <c:v>195.34832747549947</c:v>
                </c:pt>
                <c:pt idx="37">
                  <c:v>205.38638702588551</c:v>
                </c:pt>
                <c:pt idx="38">
                  <c:v>215.41310599520918</c:v>
                </c:pt>
                <c:pt idx="39">
                  <c:v>225.42908712953158</c:v>
                </c:pt>
                <c:pt idx="40">
                  <c:v>235.4348751848737</c:v>
                </c:pt>
                <c:pt idx="41">
                  <c:v>244.50579602361998</c:v>
                </c:pt>
                <c:pt idx="42">
                  <c:v>253.56907009189914</c:v>
                </c:pt>
                <c:pt idx="43">
                  <c:v>262.62500950142402</c:v>
                </c:pt>
                <c:pt idx="44">
                  <c:v>271.67390306099725</c:v>
                </c:pt>
                <c:pt idx="45">
                  <c:v>280.71601875158382</c:v>
                </c:pt>
                <c:pt idx="46">
                  <c:v>243.95065658009185</c:v>
                </c:pt>
                <c:pt idx="47">
                  <c:v>252.45968154773985</c:v>
                </c:pt>
                <c:pt idx="48">
                  <c:v>260.96221015972293</c:v>
                </c:pt>
                <c:pt idx="49">
                  <c:v>269.45848413939967</c:v>
                </c:pt>
                <c:pt idx="50">
                  <c:v>277.94872870657525</c:v>
                </c:pt>
                <c:pt idx="51">
                  <c:v>286.06438440827776</c:v>
                </c:pt>
                <c:pt idx="52">
                  <c:v>294.17488861011532</c:v>
                </c:pt>
                <c:pt idx="53">
                  <c:v>302.28040350881963</c:v>
                </c:pt>
                <c:pt idx="54">
                  <c:v>310.38108188437286</c:v>
                </c:pt>
                <c:pt idx="55">
                  <c:v>318.47706788363627</c:v>
                </c:pt>
                <c:pt idx="56">
                  <c:v>282.7449756396457</c:v>
                </c:pt>
                <c:pt idx="57">
                  <c:v>290.30459825765917</c:v>
                </c:pt>
                <c:pt idx="58">
                  <c:v>297.85982268054408</c:v>
                </c:pt>
                <c:pt idx="59">
                  <c:v>305.41077632123785</c:v>
                </c:pt>
                <c:pt idx="60">
                  <c:v>312.95757977167301</c:v>
                </c:pt>
                <c:pt idx="61">
                  <c:v>319.76464216080774</c:v>
                </c:pt>
                <c:pt idx="62">
                  <c:v>326.56849772007598</c:v>
                </c:pt>
                <c:pt idx="63">
                  <c:v>333.36922275846945</c:v>
                </c:pt>
                <c:pt idx="64">
                  <c:v>340.16689021425316</c:v>
                </c:pt>
                <c:pt idx="65">
                  <c:v>346.96156986974069</c:v>
                </c:pt>
                <c:pt idx="66">
                  <c:v>314.06164885604733</c:v>
                </c:pt>
                <c:pt idx="67">
                  <c:v>320.68426777479954</c:v>
                </c:pt>
                <c:pt idx="68">
                  <c:v>327.30386083487946</c:v>
                </c:pt>
                <c:pt idx="69">
                  <c:v>333.9204979335957</c:v>
                </c:pt>
                <c:pt idx="70">
                  <c:v>340.53424596920644</c:v>
                </c:pt>
                <c:pt idx="71">
                  <c:v>346.59436515417241</c:v>
                </c:pt>
                <c:pt idx="72">
                  <c:v>352.65215800851342</c:v>
                </c:pt>
                <c:pt idx="73">
                  <c:v>358.7076701751036</c:v>
                </c:pt>
                <c:pt idx="74">
                  <c:v>364.76094562839216</c:v>
                </c:pt>
                <c:pt idx="75">
                  <c:v>370.81202676268725</c:v>
                </c:pt>
                <c:pt idx="76">
                  <c:v>342.0035819124044</c:v>
                </c:pt>
                <c:pt idx="77">
                  <c:v>348.06313285395299</c:v>
                </c:pt>
                <c:pt idx="78">
                  <c:v>354.12036868801255</c:v>
                </c:pt>
                <c:pt idx="79">
                  <c:v>360.17533464453709</c:v>
                </c:pt>
                <c:pt idx="80">
                  <c:v>366.22807430704444</c:v>
                </c:pt>
                <c:pt idx="81">
                  <c:v>371.72866839180887</c:v>
                </c:pt>
                <c:pt idx="82">
                  <c:v>377.22748782234959</c:v>
                </c:pt>
                <c:pt idx="83">
                  <c:v>382.72456214571093</c:v>
                </c:pt>
                <c:pt idx="84">
                  <c:v>388.21991999001642</c:v>
                </c:pt>
                <c:pt idx="85">
                  <c:v>393.71358910594313</c:v>
                </c:pt>
                <c:pt idx="86">
                  <c:v>364.94434375313602</c:v>
                </c:pt>
                <c:pt idx="87">
                  <c:v>370.07867787425289</c:v>
                </c:pt>
                <c:pt idx="88">
                  <c:v>375.2114582000915</c:v>
                </c:pt>
                <c:pt idx="89">
                  <c:v>380.34270900980033</c:v>
                </c:pt>
                <c:pt idx="90">
                  <c:v>385.4724538732321</c:v>
                </c:pt>
                <c:pt idx="91">
                  <c:v>390.60071568104081</c:v>
                </c:pt>
                <c:pt idx="92">
                  <c:v>395.72751667311633</c:v>
                </c:pt>
                <c:pt idx="93">
                  <c:v>400.85287846546549</c:v>
                </c:pt>
                <c:pt idx="94">
                  <c:v>405.97682207564702</c:v>
                </c:pt>
                <c:pt idx="95">
                  <c:v>411.09936794685399</c:v>
                </c:pt>
                <c:pt idx="96">
                  <c:v>383.82377013249379</c:v>
                </c:pt>
                <c:pt idx="97">
                  <c:v>388.58621683386582</c:v>
                </c:pt>
                <c:pt idx="98">
                  <c:v>393.34739649249155</c:v>
                </c:pt>
                <c:pt idx="99">
                  <c:v>398.107326626516</c:v>
                </c:pt>
                <c:pt idx="100">
                  <c:v>402.86602430053154</c:v>
                </c:pt>
                <c:pt idx="101">
                  <c:v>407.25758879520464</c:v>
                </c:pt>
                <c:pt idx="102">
                  <c:v>411.64813007939955</c:v>
                </c:pt>
                <c:pt idx="103">
                  <c:v>416.03766061861705</c:v>
                </c:pt>
                <c:pt idx="104">
                  <c:v>420.42619259356724</c:v>
                </c:pt>
                <c:pt idx="105">
                  <c:v>424.81373790964727</c:v>
                </c:pt>
                <c:pt idx="106">
                  <c:v>399.93773989825144</c:v>
                </c:pt>
                <c:pt idx="107">
                  <c:v>404.32999360363397</c:v>
                </c:pt>
                <c:pt idx="108">
                  <c:v>408.72121562510921</c:v>
                </c:pt>
                <c:pt idx="109">
                  <c:v>413.11141862351934</c:v>
                </c:pt>
                <c:pt idx="110">
                  <c:v>417.50061496835565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950000"/>
        <c:axId val="2006950544"/>
      </c:scatterChart>
      <c:valAx>
        <c:axId val="2006950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50544"/>
        <c:crosses val="autoZero"/>
        <c:crossBetween val="midCat"/>
      </c:valAx>
      <c:valAx>
        <c:axId val="200695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5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940208"/>
        <c:axId val="2006933680"/>
      </c:scatterChart>
      <c:valAx>
        <c:axId val="2006940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33680"/>
        <c:crosses val="autoZero"/>
        <c:crossBetween val="midCat"/>
      </c:valAx>
      <c:valAx>
        <c:axId val="200693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40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934224"/>
        <c:axId val="2006948912"/>
      </c:scatterChart>
      <c:valAx>
        <c:axId val="2006934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48912"/>
        <c:crosses val="autoZero"/>
        <c:crossBetween val="midCat"/>
      </c:valAx>
      <c:valAx>
        <c:axId val="200694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34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2.5983166838350953</c:v>
                </c:pt>
                <c:pt idx="2">
                  <c:v>3.2463174463232147</c:v>
                </c:pt>
                <c:pt idx="3">
                  <c:v>4.0565513374209239</c:v>
                </c:pt>
                <c:pt idx="4">
                  <c:v>5.0697828618695446</c:v>
                </c:pt>
                <c:pt idx="5">
                  <c:v>6.3370542463297648</c:v>
                </c:pt>
                <c:pt idx="6">
                  <c:v>7.9222848506989054</c:v>
                </c:pt>
                <c:pt idx="7">
                  <c:v>9.9055299174053317</c:v>
                </c:pt>
                <c:pt idx="8">
                  <c:v>12.387066341894517</c:v>
                </c:pt>
                <c:pt idx="9">
                  <c:v>15.492515895586982</c:v>
                </c:pt>
                <c:pt idx="10">
                  <c:v>19.379270002357259</c:v>
                </c:pt>
                <c:pt idx="11">
                  <c:v>24.244547556933963</c:v>
                </c:pt>
                <c:pt idx="12">
                  <c:v>30.335501891424943</c:v>
                </c:pt>
                <c:pt idx="13">
                  <c:v>37.961899258450863</c:v>
                </c:pt>
                <c:pt idx="14">
                  <c:v>47.512024652827165</c:v>
                </c:pt>
                <c:pt idx="15">
                  <c:v>59.472638408851729</c:v>
                </c:pt>
                <c:pt idx="16">
                  <c:v>67.408662492679099</c:v>
                </c:pt>
                <c:pt idx="17">
                  <c:v>75.320599808628302</c:v>
                </c:pt>
                <c:pt idx="18">
                  <c:v>83.211344052224632</c:v>
                </c:pt>
                <c:pt idx="19">
                  <c:v>91.083193034949701</c:v>
                </c:pt>
                <c:pt idx="20">
                  <c:v>98.938013551923461</c:v>
                </c:pt>
                <c:pt idx="21">
                  <c:v>107.13333833929822</c:v>
                </c:pt>
                <c:pt idx="22">
                  <c:v>115.31321791037726</c:v>
                </c:pt>
                <c:pt idx="23">
                  <c:v>123.47890428692084</c:v>
                </c:pt>
                <c:pt idx="24">
                  <c:v>131.63146998500227</c:v>
                </c:pt>
                <c:pt idx="25">
                  <c:v>139.7718435296224</c:v>
                </c:pt>
                <c:pt idx="26">
                  <c:v>123.83362931472313</c:v>
                </c:pt>
                <c:pt idx="27">
                  <c:v>130.92304770905506</c:v>
                </c:pt>
                <c:pt idx="28">
                  <c:v>138.00319162665042</c:v>
                </c:pt>
                <c:pt idx="29">
                  <c:v>145.07460486529592</c:v>
                </c:pt>
                <c:pt idx="30">
                  <c:v>152.13777377111359</c:v>
                </c:pt>
                <c:pt idx="31">
                  <c:v>160.60330678698656</c:v>
                </c:pt>
                <c:pt idx="32">
                  <c:v>169.05827270884916</c:v>
                </c:pt>
                <c:pt idx="33">
                  <c:v>177.5032752566774</c:v>
                </c:pt>
                <c:pt idx="34">
                  <c:v>185.93885592329801</c:v>
                </c:pt>
                <c:pt idx="35">
                  <c:v>194.36550298334643</c:v>
                </c:pt>
                <c:pt idx="36">
                  <c:v>169.41034278527815</c:v>
                </c:pt>
                <c:pt idx="37">
                  <c:v>177.85494234060414</c:v>
                </c:pt>
                <c:pt idx="38">
                  <c:v>186.29014136595831</c:v>
                </c:pt>
                <c:pt idx="39">
                  <c:v>194.71642608832349</c:v>
                </c:pt>
                <c:pt idx="40">
                  <c:v>203.13423715529458</c:v>
                </c:pt>
                <c:pt idx="41">
                  <c:v>211.5439756614193</c:v>
                </c:pt>
                <c:pt idx="42">
                  <c:v>219.94600816465757</c:v>
                </c:pt>
                <c:pt idx="43">
                  <c:v>228.34067089512379</c:v>
                </c:pt>
                <c:pt idx="44">
                  <c:v>236.72827331171041</c:v>
                </c:pt>
                <c:pt idx="45">
                  <c:v>245.10910112764864</c:v>
                </c:pt>
                <c:pt idx="46">
                  <c:v>216.44607557160018</c:v>
                </c:pt>
                <c:pt idx="47">
                  <c:v>224.49401164296523</c:v>
                </c:pt>
                <c:pt idx="48">
                  <c:v>232.53533626130948</c:v>
                </c:pt>
                <c:pt idx="49">
                  <c:v>240.57031057620057</c:v>
                </c:pt>
                <c:pt idx="50">
                  <c:v>248.59917684690126</c:v>
                </c:pt>
                <c:pt idx="51">
                  <c:v>256.27345444267445</c:v>
                </c:pt>
                <c:pt idx="52">
                  <c:v>263.94253392620135</c:v>
                </c:pt>
                <c:pt idx="53">
                  <c:v>271.60658781037904</c:v>
                </c:pt>
                <c:pt idx="54">
                  <c:v>279.26577806642058</c:v>
                </c:pt>
                <c:pt idx="55">
                  <c:v>286.9202570458869</c:v>
                </c:pt>
                <c:pt idx="56">
                  <c:v>255.92473775915406</c:v>
                </c:pt>
                <c:pt idx="57">
                  <c:v>263.24555506532818</c:v>
                </c:pt>
                <c:pt idx="58">
                  <c:v>270.56177945365772</c:v>
                </c:pt>
                <c:pt idx="59">
                  <c:v>277.87355278777545</c:v>
                </c:pt>
                <c:pt idx="60">
                  <c:v>285.18100884727511</c:v>
                </c:pt>
                <c:pt idx="61">
                  <c:v>292.13659270097298</c:v>
                </c:pt>
                <c:pt idx="62">
                  <c:v>299.08847869495395</c:v>
                </c:pt>
                <c:pt idx="63">
                  <c:v>306.03676500452571</c:v>
                </c:pt>
                <c:pt idx="64">
                  <c:v>312.98154497816944</c:v>
                </c:pt>
                <c:pt idx="65">
                  <c:v>319.92290747907691</c:v>
                </c:pt>
                <c:pt idx="66">
                  <c:v>288.65926934113514</c:v>
                </c:pt>
                <c:pt idx="67">
                  <c:v>295.61299167710996</c:v>
                </c:pt>
                <c:pt idx="68">
                  <c:v>302.56306586704608</c:v>
                </c:pt>
                <c:pt idx="69">
                  <c:v>309.50958762804521</c:v>
                </c:pt>
                <c:pt idx="70">
                  <c:v>316.45264802528953</c:v>
                </c:pt>
                <c:pt idx="71">
                  <c:v>322.6985146909015</c:v>
                </c:pt>
                <c:pt idx="72">
                  <c:v>328.94170839365825</c:v>
                </c:pt>
                <c:pt idx="73">
                  <c:v>335.18228708152941</c:v>
                </c:pt>
                <c:pt idx="74">
                  <c:v>341.42030636615868</c:v>
                </c:pt>
                <c:pt idx="75">
                  <c:v>347.65581965898053</c:v>
                </c:pt>
                <c:pt idx="76">
                  <c:v>315.75849524236122</c:v>
                </c:pt>
                <c:pt idx="77">
                  <c:v>322.00466258727687</c:v>
                </c:pt>
                <c:pt idx="78">
                  <c:v>328.24815038016726</c:v>
                </c:pt>
                <c:pt idx="79">
                  <c:v>334.48901683747783</c:v>
                </c:pt>
                <c:pt idx="80">
                  <c:v>340.7273178235244</c:v>
                </c:pt>
                <c:pt idx="81">
                  <c:v>346.27036394506968</c:v>
                </c:pt>
                <c:pt idx="82">
                  <c:v>351.81146173661563</c:v>
                </c:pt>
                <c:pt idx="83">
                  <c:v>357.35064625082185</c:v>
                </c:pt>
                <c:pt idx="84">
                  <c:v>362.88795136374142</c:v>
                </c:pt>
                <c:pt idx="85">
                  <c:v>368.42340983207026</c:v>
                </c:pt>
                <c:pt idx="86">
                  <c:v>337.26190853958701</c:v>
                </c:pt>
                <c:pt idx="87">
                  <c:v>342.45973119739142</c:v>
                </c:pt>
                <c:pt idx="88">
                  <c:v>347.65581965898036</c:v>
                </c:pt>
                <c:pt idx="89">
                  <c:v>352.85020353381975</c:v>
                </c:pt>
                <c:pt idx="90">
                  <c:v>358.04291148739202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934768"/>
        <c:axId val="2006945648"/>
      </c:scatterChart>
      <c:valAx>
        <c:axId val="2006934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45648"/>
        <c:crosses val="autoZero"/>
        <c:crossBetween val="midCat"/>
      </c:valAx>
      <c:valAx>
        <c:axId val="200694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34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119.55269284122029</c:v>
                </c:pt>
                <c:pt idx="32">
                  <c:v>130.19985837355313</c:v>
                </c:pt>
                <c:pt idx="33">
                  <c:v>140.82597594357108</c:v>
                </c:pt>
                <c:pt idx="34">
                  <c:v>151.43285943489818</c:v>
                </c:pt>
                <c:pt idx="35">
                  <c:v>162.02204740767968</c:v>
                </c:pt>
                <c:pt idx="36">
                  <c:v>172.59486055735832</c:v>
                </c:pt>
                <c:pt idx="37">
                  <c:v>183.15244431920306</c:v>
                </c:pt>
                <c:pt idx="38">
                  <c:v>193.69580111200079</c:v>
                </c:pt>
                <c:pt idx="39">
                  <c:v>204.22581517936158</c:v>
                </c:pt>
                <c:pt idx="40">
                  <c:v>214.74327203018319</c:v>
                </c:pt>
                <c:pt idx="41">
                  <c:v>225.2488738650726</c:v>
                </c:pt>
                <c:pt idx="42">
                  <c:v>235.74325197003046</c:v>
                </c:pt>
                <c:pt idx="43">
                  <c:v>246.22697678490542</c:v>
                </c:pt>
                <c:pt idx="44">
                  <c:v>256.70056616536107</c:v>
                </c:pt>
                <c:pt idx="45">
                  <c:v>267.16449222449438</c:v>
                </c:pt>
                <c:pt idx="46">
                  <c:v>277.6191870455084</c:v>
                </c:pt>
                <c:pt idx="47">
                  <c:v>288.06504748811147</c:v>
                </c:pt>
                <c:pt idx="48">
                  <c:v>298.50243926074967</c:v>
                </c:pt>
                <c:pt idx="49">
                  <c:v>308.93170039309683</c:v>
                </c:pt>
                <c:pt idx="50">
                  <c:v>319.3531442148153</c:v>
                </c:pt>
                <c:pt idx="51">
                  <c:v>329.76706192494242</c:v>
                </c:pt>
                <c:pt idx="52">
                  <c:v>240.1837679169943</c:v>
                </c:pt>
                <c:pt idx="53">
                  <c:v>250.99537742731059</c:v>
                </c:pt>
                <c:pt idx="54">
                  <c:v>261.79643245856937</c:v>
                </c:pt>
                <c:pt idx="55">
                  <c:v>272.58743011366198</c:v>
                </c:pt>
                <c:pt idx="56">
                  <c:v>283.36882489648752</c:v>
                </c:pt>
                <c:pt idx="57">
                  <c:v>294.14103387936183</c:v>
                </c:pt>
                <c:pt idx="58">
                  <c:v>304.90444107330802</c:v>
                </c:pt>
                <c:pt idx="59">
                  <c:v>315.65940114857386</c:v>
                </c:pt>
                <c:pt idx="60">
                  <c:v>326.40624262128694</c:v>
                </c:pt>
                <c:pt idx="61">
                  <c:v>337.14527059827407</c:v>
                </c:pt>
                <c:pt idx="62">
                  <c:v>347.87676915371691</c:v>
                </c:pt>
                <c:pt idx="63">
                  <c:v>358.60100339709624</c:v>
                </c:pt>
                <c:pt idx="64">
                  <c:v>260.16574342755501</c:v>
                </c:pt>
                <c:pt idx="65">
                  <c:v>270.03856838682219</c:v>
                </c:pt>
                <c:pt idx="66">
                  <c:v>279.90327150057965</c:v>
                </c:pt>
                <c:pt idx="67">
                  <c:v>289.76017957093461</c:v>
                </c:pt>
                <c:pt idx="68">
                  <c:v>299.60959533432191</c:v>
                </c:pt>
                <c:pt idx="69">
                  <c:v>309.45179998376187</c:v>
                </c:pt>
                <c:pt idx="70">
                  <c:v>319.28705535324531</c:v>
                </c:pt>
                <c:pt idx="71">
                  <c:v>329.11560581873823</c:v>
                </c:pt>
                <c:pt idx="72">
                  <c:v>338.93767996010905</c:v>
                </c:pt>
                <c:pt idx="73">
                  <c:v>348.75349202024876</c:v>
                </c:pt>
                <c:pt idx="74">
                  <c:v>358.56324319126094</c:v>
                </c:pt>
                <c:pt idx="75">
                  <c:v>368.36712275248783</c:v>
                </c:pt>
                <c:pt idx="76">
                  <c:v>291.98679373574402</c:v>
                </c:pt>
                <c:pt idx="77">
                  <c:v>301.01220487244677</c:v>
                </c:pt>
                <c:pt idx="78">
                  <c:v>310.03159182793178</c:v>
                </c:pt>
                <c:pt idx="79">
                  <c:v>319.04515470328198</c:v>
                </c:pt>
                <c:pt idx="80">
                  <c:v>328.05308136180139</c:v>
                </c:pt>
                <c:pt idx="81">
                  <c:v>337.05554850027039</c:v>
                </c:pt>
                <c:pt idx="82">
                  <c:v>346.0527225997069</c:v>
                </c:pt>
                <c:pt idx="83">
                  <c:v>355.04476077203117</c:v>
                </c:pt>
                <c:pt idx="84">
                  <c:v>364.03181151643622</c:v>
                </c:pt>
                <c:pt idx="85">
                  <c:v>373.01401539713157</c:v>
                </c:pt>
                <c:pt idx="86">
                  <c:v>381.9915056523692</c:v>
                </c:pt>
                <c:pt idx="87">
                  <c:v>390.9644087432045</c:v>
                </c:pt>
                <c:pt idx="88">
                  <c:v>316.25819110098644</c:v>
                </c:pt>
                <c:pt idx="89">
                  <c:v>324.40452195701022</c:v>
                </c:pt>
                <c:pt idx="90">
                  <c:v>332.54633237194355</c:v>
                </c:pt>
                <c:pt idx="91">
                  <c:v>340.68374872160183</c:v>
                </c:pt>
                <c:pt idx="92">
                  <c:v>348.81689084712207</c:v>
                </c:pt>
                <c:pt idx="93">
                  <c:v>356.94587254069364</c:v>
                </c:pt>
                <c:pt idx="94">
                  <c:v>365.07080198470538</c:v>
                </c:pt>
                <c:pt idx="95">
                  <c:v>373.1917821497359</c:v>
                </c:pt>
                <c:pt idx="96">
                  <c:v>381.30891115607596</c:v>
                </c:pt>
                <c:pt idx="97">
                  <c:v>389.42228260284531</c:v>
                </c:pt>
                <c:pt idx="98">
                  <c:v>397.53198586823669</c:v>
                </c:pt>
                <c:pt idx="99">
                  <c:v>405.63810638397212</c:v>
                </c:pt>
                <c:pt idx="100">
                  <c:v>212.56848233940408</c:v>
                </c:pt>
                <c:pt idx="101">
                  <c:v>218.27904148126359</c:v>
                </c:pt>
                <c:pt idx="102">
                  <c:v>223.98616720918014</c:v>
                </c:pt>
                <c:pt idx="103">
                  <c:v>229.68995950268194</c:v>
                </c:pt>
                <c:pt idx="104">
                  <c:v>235.39051296187935</c:v>
                </c:pt>
                <c:pt idx="105">
                  <c:v>241.08791722313921</c:v>
                </c:pt>
                <c:pt idx="106">
                  <c:v>246.7822573333568</c:v>
                </c:pt>
                <c:pt idx="107">
                  <c:v>252.47361408782783</c:v>
                </c:pt>
                <c:pt idx="108">
                  <c:v>258.16206433602173</c:v>
                </c:pt>
                <c:pt idx="109">
                  <c:v>263.84768125895937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944560"/>
        <c:axId val="2006935312"/>
      </c:scatterChart>
      <c:valAx>
        <c:axId val="2006944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35312"/>
        <c:crosses val="autoZero"/>
        <c:crossBetween val="midCat"/>
      </c:valAx>
      <c:valAx>
        <c:axId val="200693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44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85.095907314816401</c:v>
                </c:pt>
                <c:pt idx="17">
                  <c:v>98.377811836935564</c:v>
                </c:pt>
                <c:pt idx="18">
                  <c:v>111.61512570313762</c:v>
                </c:pt>
                <c:pt idx="19">
                  <c:v>124.81389250757191</c:v>
                </c:pt>
                <c:pt idx="20">
                  <c:v>137.97876857105169</c:v>
                </c:pt>
                <c:pt idx="21">
                  <c:v>152.8626230482474</c:v>
                </c:pt>
                <c:pt idx="22">
                  <c:v>167.71198305973977</c:v>
                </c:pt>
                <c:pt idx="23">
                  <c:v>182.53033488053475</c:v>
                </c:pt>
                <c:pt idx="24">
                  <c:v>197.32055161106871</c:v>
                </c:pt>
                <c:pt idx="25">
                  <c:v>212.08503993201154</c:v>
                </c:pt>
                <c:pt idx="26">
                  <c:v>227.40345702308142</c:v>
                </c:pt>
                <c:pt idx="27">
                  <c:v>242.69825965817117</c:v>
                </c:pt>
                <c:pt idx="28">
                  <c:v>257.97114577920252</c:v>
                </c:pt>
                <c:pt idx="29">
                  <c:v>273.22359576358815</c:v>
                </c:pt>
                <c:pt idx="30">
                  <c:v>288.45691115019287</c:v>
                </c:pt>
                <c:pt idx="31">
                  <c:v>240.39105366248293</c:v>
                </c:pt>
                <c:pt idx="32">
                  <c:v>255.66714821510956</c:v>
                </c:pt>
                <c:pt idx="33">
                  <c:v>270.92259547869656</c:v>
                </c:pt>
                <c:pt idx="34">
                  <c:v>286.15872187513997</c:v>
                </c:pt>
                <c:pt idx="35">
                  <c:v>301.37670100579004</c:v>
                </c:pt>
                <c:pt idx="36">
                  <c:v>316.00425931230865</c:v>
                </c:pt>
                <c:pt idx="37">
                  <c:v>330.61681894119141</c:v>
                </c:pt>
                <c:pt idx="38">
                  <c:v>345.21513616565261</c:v>
                </c:pt>
                <c:pt idx="39">
                  <c:v>359.79989807187752</c:v>
                </c:pt>
                <c:pt idx="40">
                  <c:v>374.3717314954622</c:v>
                </c:pt>
                <c:pt idx="41">
                  <c:v>338.34706882980078</c:v>
                </c:pt>
                <c:pt idx="42">
                  <c:v>352.36618279610326</c:v>
                </c:pt>
                <c:pt idx="43">
                  <c:v>366.37307423131756</c:v>
                </c:pt>
                <c:pt idx="44">
                  <c:v>380.3682762367792</c:v>
                </c:pt>
                <c:pt idx="45">
                  <c:v>394.35227948231795</c:v>
                </c:pt>
                <c:pt idx="46">
                  <c:v>407.75540484100776</c:v>
                </c:pt>
                <c:pt idx="47">
                  <c:v>421.14901471610159</c:v>
                </c:pt>
                <c:pt idx="48">
                  <c:v>434.53345434246239</c:v>
                </c:pt>
                <c:pt idx="49">
                  <c:v>447.90904595354408</c:v>
                </c:pt>
                <c:pt idx="50">
                  <c:v>461.27609096941552</c:v>
                </c:pt>
                <c:pt idx="51">
                  <c:v>419.72460434236359</c:v>
                </c:pt>
                <c:pt idx="52">
                  <c:v>432.25588530441445</c:v>
                </c:pt>
                <c:pt idx="53">
                  <c:v>444.77936519493966</c:v>
                </c:pt>
                <c:pt idx="54">
                  <c:v>457.2952946141495</c:v>
                </c:pt>
                <c:pt idx="55">
                  <c:v>469.80390932615688</c:v>
                </c:pt>
                <c:pt idx="56">
                  <c:v>481.45327595412624</c:v>
                </c:pt>
                <c:pt idx="57">
                  <c:v>493.09665437546749</c:v>
                </c:pt>
                <c:pt idx="58">
                  <c:v>504.73420591215864</c:v>
                </c:pt>
                <c:pt idx="59">
                  <c:v>516.3660838407244</c:v>
                </c:pt>
                <c:pt idx="60">
                  <c:v>527.99243396951181</c:v>
                </c:pt>
                <c:pt idx="61">
                  <c:v>485.14571936914029</c:v>
                </c:pt>
                <c:pt idx="62">
                  <c:v>496.21948974271317</c:v>
                </c:pt>
                <c:pt idx="63">
                  <c:v>507.28802580021755</c:v>
                </c:pt>
                <c:pt idx="64">
                  <c:v>518.35145784639667</c:v>
                </c:pt>
                <c:pt idx="65">
                  <c:v>529.40991017019905</c:v>
                </c:pt>
                <c:pt idx="66">
                  <c:v>540.18013580779473</c:v>
                </c:pt>
                <c:pt idx="67">
                  <c:v>550.94585148491763</c:v>
                </c:pt>
                <c:pt idx="68">
                  <c:v>561.70715774350776</c:v>
                </c:pt>
                <c:pt idx="69">
                  <c:v>572.4641509593182</c:v>
                </c:pt>
                <c:pt idx="70">
                  <c:v>583.21692359125188</c:v>
                </c:pt>
                <c:pt idx="71">
                  <c:v>542.16362979037569</c:v>
                </c:pt>
                <c:pt idx="72">
                  <c:v>552.07882650510749</c:v>
                </c:pt>
                <c:pt idx="73">
                  <c:v>561.99029135597004</c:v>
                </c:pt>
                <c:pt idx="74">
                  <c:v>571.89809943666535</c:v>
                </c:pt>
                <c:pt idx="75">
                  <c:v>581.80232302690615</c:v>
                </c:pt>
                <c:pt idx="76">
                  <c:v>591.42020251323834</c:v>
                </c:pt>
                <c:pt idx="77">
                  <c:v>601.03482666056914</c:v>
                </c:pt>
                <c:pt idx="78">
                  <c:v>610.64625488100796</c:v>
                </c:pt>
                <c:pt idx="79">
                  <c:v>620.25454456407806</c:v>
                </c:pt>
                <c:pt idx="80">
                  <c:v>629.85975117650617</c:v>
                </c:pt>
                <c:pt idx="81">
                  <c:v>589.15746715790237</c:v>
                </c:pt>
                <c:pt idx="82">
                  <c:v>597.92456551950988</c:v>
                </c:pt>
                <c:pt idx="83">
                  <c:v>606.68899129254567</c:v>
                </c:pt>
                <c:pt idx="84">
                  <c:v>615.45078852910217</c:v>
                </c:pt>
                <c:pt idx="85">
                  <c:v>624.20999992474549</c:v>
                </c:pt>
                <c:pt idx="86">
                  <c:v>632.68423305275508</c:v>
                </c:pt>
                <c:pt idx="87">
                  <c:v>641.15611967114364</c:v>
                </c:pt>
                <c:pt idx="88">
                  <c:v>649.62569515483597</c:v>
                </c:pt>
                <c:pt idx="89">
                  <c:v>658.09299388120962</c:v>
                </c:pt>
                <c:pt idx="90">
                  <c:v>666.5580492709729</c:v>
                </c:pt>
                <c:pt idx="91">
                  <c:v>627.59997706387446</c:v>
                </c:pt>
                <c:pt idx="92">
                  <c:v>635.22604379249128</c:v>
                </c:pt>
                <c:pt idx="93">
                  <c:v>642.8502185444828</c:v>
                </c:pt>
                <c:pt idx="94">
                  <c:v>650.47252692274378</c:v>
                </c:pt>
                <c:pt idx="95">
                  <c:v>658.09299388120962</c:v>
                </c:pt>
                <c:pt idx="96">
                  <c:v>665.71164374879129</c:v>
                </c:pt>
                <c:pt idx="97">
                  <c:v>673.32850025215942</c:v>
                </c:pt>
                <c:pt idx="98">
                  <c:v>680.943586537442</c:v>
                </c:pt>
                <c:pt idx="99">
                  <c:v>688.55692519090269</c:v>
                </c:pt>
                <c:pt idx="100">
                  <c:v>696.16853825865599</c:v>
                </c:pt>
                <c:pt idx="101">
                  <c:v>658.09299388120962</c:v>
                </c:pt>
                <c:pt idx="102">
                  <c:v>665.14736110281672</c:v>
                </c:pt>
                <c:pt idx="103">
                  <c:v>672.20018932008873</c:v>
                </c:pt>
                <c:pt idx="104">
                  <c:v>679.25149695725497</c:v>
                </c:pt>
                <c:pt idx="105">
                  <c:v>686.30130202483861</c:v>
                </c:pt>
                <c:pt idx="106">
                  <c:v>693.34962213319204</c:v>
                </c:pt>
                <c:pt idx="107">
                  <c:v>700.39647450545351</c:v>
                </c:pt>
                <c:pt idx="108">
                  <c:v>707.44187598995484</c:v>
                </c:pt>
                <c:pt idx="109">
                  <c:v>714.48584307211024</c:v>
                </c:pt>
                <c:pt idx="110">
                  <c:v>721.52839188581265</c:v>
                </c:pt>
                <c:pt idx="111">
                  <c:v>685.59638862873953</c:v>
                </c:pt>
                <c:pt idx="112">
                  <c:v>691.94007607607489</c:v>
                </c:pt>
                <c:pt idx="113">
                  <c:v>698.28257189646683</c:v>
                </c:pt>
                <c:pt idx="114">
                  <c:v>704.62388843962435</c:v>
                </c:pt>
                <c:pt idx="115">
                  <c:v>710.96403781484867</c:v>
                </c:pt>
                <c:pt idx="116">
                  <c:v>717.30303189786616</c:v>
                </c:pt>
                <c:pt idx="117">
                  <c:v>723.64088233740028</c:v>
                </c:pt>
                <c:pt idx="118">
                  <c:v>729.97760056150412</c:v>
                </c:pt>
                <c:pt idx="119">
                  <c:v>736.31319778366208</c:v>
                </c:pt>
                <c:pt idx="120">
                  <c:v>742.64768500866955</c:v>
                </c:pt>
                <c:pt idx="121">
                  <c:v>708.99167125142458</c:v>
                </c:pt>
                <c:pt idx="122">
                  <c:v>714.76757214919553</c:v>
                </c:pt>
                <c:pt idx="123">
                  <c:v>720.54251983862753</c:v>
                </c:pt>
                <c:pt idx="124">
                  <c:v>726.31652303665248</c:v>
                </c:pt>
                <c:pt idx="125">
                  <c:v>732.08959031030997</c:v>
                </c:pt>
                <c:pt idx="126">
                  <c:v>737.86173008051219</c:v>
                </c:pt>
                <c:pt idx="127">
                  <c:v>743.63295062568523</c:v>
                </c:pt>
                <c:pt idx="128">
                  <c:v>749.40326008529053</c:v>
                </c:pt>
                <c:pt idx="129">
                  <c:v>755.17266646323208</c:v>
                </c:pt>
                <c:pt idx="130">
                  <c:v>760.94117763115719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946736"/>
        <c:axId val="2006948368"/>
      </c:scatterChart>
      <c:valAx>
        <c:axId val="2006946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48368"/>
        <c:crosses val="autoZero"/>
        <c:crossBetween val="midCat"/>
      </c:valAx>
      <c:valAx>
        <c:axId val="200694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46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51.452977619505397</c:v>
                </c:pt>
                <c:pt idx="22">
                  <c:v>66.244820001279194</c:v>
                </c:pt>
                <c:pt idx="23">
                  <c:v>80.950986488725476</c:v>
                </c:pt>
                <c:pt idx="24">
                  <c:v>95.589333040289148</c:v>
                </c:pt>
                <c:pt idx="25">
                  <c:v>110.1717474820732</c:v>
                </c:pt>
                <c:pt idx="26">
                  <c:v>124.32474628741488</c:v>
                </c:pt>
                <c:pt idx="27">
                  <c:v>138.43860238853472</c:v>
                </c:pt>
                <c:pt idx="28">
                  <c:v>152.51787303662658</c:v>
                </c:pt>
                <c:pt idx="29">
                  <c:v>166.56620334791356</c:v>
                </c:pt>
                <c:pt idx="30">
                  <c:v>180.58657218998465</c:v>
                </c:pt>
                <c:pt idx="31">
                  <c:v>134.24638938649051</c:v>
                </c:pt>
                <c:pt idx="32">
                  <c:v>146.81397834828738</c:v>
                </c:pt>
                <c:pt idx="33">
                  <c:v>159.35586286360197</c:v>
                </c:pt>
                <c:pt idx="34">
                  <c:v>171.87435267338171</c:v>
                </c:pt>
                <c:pt idx="35">
                  <c:v>184.37139305479852</c:v>
                </c:pt>
                <c:pt idx="36">
                  <c:v>194.95936423701301</c:v>
                </c:pt>
                <c:pt idx="37">
                  <c:v>205.53397529366748</c:v>
                </c:pt>
                <c:pt idx="38">
                  <c:v>216.09601105321735</c:v>
                </c:pt>
                <c:pt idx="39">
                  <c:v>226.64617327952342</c:v>
                </c:pt>
                <c:pt idx="40">
                  <c:v>237.18509300501162</c:v>
                </c:pt>
                <c:pt idx="41">
                  <c:v>193.82559249840713</c:v>
                </c:pt>
                <c:pt idx="42">
                  <c:v>203.26907123098991</c:v>
                </c:pt>
                <c:pt idx="43">
                  <c:v>212.70239804910193</c:v>
                </c:pt>
                <c:pt idx="44">
                  <c:v>222.12608711761615</c:v>
                </c:pt>
                <c:pt idx="45">
                  <c:v>231.54060536306474</c:v>
                </c:pt>
                <c:pt idx="46">
                  <c:v>239.44202608060968</c:v>
                </c:pt>
                <c:pt idx="47">
                  <c:v>247.3375095024121</c:v>
                </c:pt>
                <c:pt idx="48">
                  <c:v>255.22727211134475</c:v>
                </c:pt>
                <c:pt idx="49">
                  <c:v>263.11151589765069</c:v>
                </c:pt>
                <c:pt idx="50">
                  <c:v>270.99042974399339</c:v>
                </c:pt>
                <c:pt idx="51">
                  <c:v>230.41133295181569</c:v>
                </c:pt>
                <c:pt idx="52">
                  <c:v>236.80889001154424</c:v>
                </c:pt>
                <c:pt idx="53">
                  <c:v>243.20250692836794</c:v>
                </c:pt>
                <c:pt idx="54">
                  <c:v>249.59230205465974</c:v>
                </c:pt>
                <c:pt idx="55">
                  <c:v>255.97838717928323</c:v>
                </c:pt>
                <c:pt idx="56">
                  <c:v>261.98552595095452</c:v>
                </c:pt>
                <c:pt idx="57">
                  <c:v>267.98955571724849</c:v>
                </c:pt>
                <c:pt idx="58">
                  <c:v>273.99055606211817</c:v>
                </c:pt>
                <c:pt idx="59">
                  <c:v>279.98860279382745</c:v>
                </c:pt>
                <c:pt idx="60">
                  <c:v>285.98376820295493</c:v>
                </c:pt>
                <c:pt idx="61">
                  <c:v>260.85942671475146</c:v>
                </c:pt>
                <c:pt idx="62">
                  <c:v>265.73840375453756</c:v>
                </c:pt>
                <c:pt idx="63">
                  <c:v>270.61536157536972</c:v>
                </c:pt>
                <c:pt idx="64">
                  <c:v>275.49034176419678</c:v>
                </c:pt>
                <c:pt idx="65">
                  <c:v>280.36338431358672</c:v>
                </c:pt>
                <c:pt idx="66">
                  <c:v>284.48524314677434</c:v>
                </c:pt>
                <c:pt idx="67">
                  <c:v>288.60576477216398</c:v>
                </c:pt>
                <c:pt idx="68">
                  <c:v>292.72497100977245</c:v>
                </c:pt>
                <c:pt idx="69">
                  <c:v>296.84288301434077</c:v>
                </c:pt>
                <c:pt idx="70">
                  <c:v>300.95952130477946</c:v>
                </c:pt>
                <c:pt idx="71">
                  <c:v>280.73815459645272</c:v>
                </c:pt>
                <c:pt idx="72">
                  <c:v>284.85989094555725</c:v>
                </c:pt>
                <c:pt idx="73">
                  <c:v>288.98029209880133</c:v>
                </c:pt>
                <c:pt idx="74">
                  <c:v>293.09937981445779</c:v>
                </c:pt>
                <c:pt idx="75">
                  <c:v>297.21717518827501</c:v>
                </c:pt>
                <c:pt idx="76">
                  <c:v>300.58533356518427</c:v>
                </c:pt>
                <c:pt idx="77">
                  <c:v>303.95265143464201</c:v>
                </c:pt>
                <c:pt idx="78">
                  <c:v>307.3191394396128</c:v>
                </c:pt>
                <c:pt idx="79">
                  <c:v>310.68480797043929</c:v>
                </c:pt>
                <c:pt idx="80">
                  <c:v>314.04966717357314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932592"/>
        <c:axId val="2006947824"/>
      </c:scatterChart>
      <c:valAx>
        <c:axId val="2006932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47824"/>
        <c:crosses val="autoZero"/>
        <c:crossBetween val="midCat"/>
      </c:valAx>
      <c:valAx>
        <c:axId val="200694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32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3.0420346989866704</c:v>
                </c:pt>
                <c:pt idx="2">
                  <c:v>3.8157728974545706</c:v>
                </c:pt>
                <c:pt idx="3">
                  <c:v>4.7870700055510769</c:v>
                </c:pt>
                <c:pt idx="4">
                  <c:v>6.0065514344902446</c:v>
                </c:pt>
                <c:pt idx="5">
                  <c:v>7.5378593378781131</c:v>
                </c:pt>
                <c:pt idx="6">
                  <c:v>9.4610098992627645</c:v>
                </c:pt>
                <c:pt idx="7">
                  <c:v>11.876619016734798</c:v>
                </c:pt>
                <c:pt idx="8">
                  <c:v>14.911221593210763</c:v>
                </c:pt>
                <c:pt idx="9">
                  <c:v>18.723968185473154</c:v>
                </c:pt>
                <c:pt idx="10">
                  <c:v>23.515056561317763</c:v>
                </c:pt>
                <c:pt idx="11">
                  <c:v>29.536348743362321</c:v>
                </c:pt>
                <c:pt idx="12">
                  <c:v>37.104741402260892</c:v>
                </c:pt>
                <c:pt idx="13">
                  <c:v>46.619005336897253</c:v>
                </c:pt>
                <c:pt idx="14">
                  <c:v>58.580996237948476</c:v>
                </c:pt>
                <c:pt idx="15">
                  <c:v>73.622374059447182</c:v>
                </c:pt>
                <c:pt idx="16">
                  <c:v>86.027026900724209</c:v>
                </c:pt>
                <c:pt idx="17">
                  <c:v>98.386606823813551</c:v>
                </c:pt>
                <c:pt idx="18">
                  <c:v>110.70758759686305</c:v>
                </c:pt>
                <c:pt idx="19">
                  <c:v>122.99487803223985</c:v>
                </c:pt>
                <c:pt idx="20">
                  <c:v>135.25232276388536</c:v>
                </c:pt>
                <c:pt idx="21">
                  <c:v>148.01421375954016</c:v>
                </c:pt>
                <c:pt idx="22">
                  <c:v>160.74983504965459</c:v>
                </c:pt>
                <c:pt idx="23">
                  <c:v>173.46156278083515</c:v>
                </c:pt>
                <c:pt idx="24">
                  <c:v>186.1513958594079</c:v>
                </c:pt>
                <c:pt idx="25">
                  <c:v>198.82103804994404</c:v>
                </c:pt>
                <c:pt idx="26">
                  <c:v>156.24214880368183</c:v>
                </c:pt>
                <c:pt idx="27">
                  <c:v>169.22684490502496</c:v>
                </c:pt>
                <c:pt idx="28">
                  <c:v>182.18806689822361</c:v>
                </c:pt>
                <c:pt idx="29">
                  <c:v>195.12772108945578</c:v>
                </c:pt>
                <c:pt idx="30">
                  <c:v>208.04744001071947</c:v>
                </c:pt>
                <c:pt idx="31">
                  <c:v>220.68552368043743</c:v>
                </c:pt>
                <c:pt idx="32">
                  <c:v>233.30699569911027</c:v>
                </c:pt>
                <c:pt idx="33">
                  <c:v>245.9128817487364</c:v>
                </c:pt>
                <c:pt idx="34">
                  <c:v>258.50409369643472</c:v>
                </c:pt>
                <c:pt idx="35">
                  <c:v>271.0814472717563</c:v>
                </c:pt>
                <c:pt idx="36">
                  <c:v>229.1016182515626</c:v>
                </c:pt>
                <c:pt idx="37">
                  <c:v>240.92485492099104</c:v>
                </c:pt>
                <c:pt idx="38">
                  <c:v>252.73488898992335</c:v>
                </c:pt>
                <c:pt idx="39">
                  <c:v>264.53242465514222</c:v>
                </c:pt>
                <c:pt idx="40">
                  <c:v>276.31809813367369</c:v>
                </c:pt>
                <c:pt idx="41">
                  <c:v>287.83095256623977</c:v>
                </c:pt>
                <c:pt idx="42">
                  <c:v>299.33351098507438</c:v>
                </c:pt>
                <c:pt idx="43">
                  <c:v>310.8262249693355</c:v>
                </c:pt>
                <c:pt idx="44">
                  <c:v>322.30950996229876</c:v>
                </c:pt>
                <c:pt idx="45">
                  <c:v>333.78374937501832</c:v>
                </c:pt>
                <c:pt idx="46">
                  <c:v>287.04631762262659</c:v>
                </c:pt>
                <c:pt idx="47">
                  <c:v>297.76556965124479</c:v>
                </c:pt>
                <c:pt idx="48">
                  <c:v>308.47622271912411</c:v>
                </c:pt>
                <c:pt idx="49">
                  <c:v>319.17861763286845</c:v>
                </c:pt>
                <c:pt idx="50">
                  <c:v>329.87307046604047</c:v>
                </c:pt>
                <c:pt idx="51">
                  <c:v>339.7781670611667</c:v>
                </c:pt>
                <c:pt idx="52">
                  <c:v>349.67691259476118</c:v>
                </c:pt>
                <c:pt idx="53">
                  <c:v>359.56951229543256</c:v>
                </c:pt>
                <c:pt idx="54">
                  <c:v>369.45615917184494</c:v>
                </c:pt>
                <c:pt idx="55">
                  <c:v>379.33703505493219</c:v>
                </c:pt>
                <c:pt idx="56">
                  <c:v>331.69818048501043</c:v>
                </c:pt>
                <c:pt idx="57">
                  <c:v>341.34154369544399</c:v>
                </c:pt>
                <c:pt idx="58">
                  <c:v>350.97891730211518</c:v>
                </c:pt>
                <c:pt idx="59">
                  <c:v>360.61048905039712</c:v>
                </c:pt>
                <c:pt idx="60">
                  <c:v>370.23643583282006</c:v>
                </c:pt>
                <c:pt idx="61">
                  <c:v>379.3370350549323</c:v>
                </c:pt>
                <c:pt idx="62">
                  <c:v>388.4328841840873</c:v>
                </c:pt>
                <c:pt idx="63">
                  <c:v>397.52411019447635</c:v>
                </c:pt>
                <c:pt idx="64">
                  <c:v>406.61083377583185</c:v>
                </c:pt>
                <c:pt idx="65">
                  <c:v>415.69316978100875</c:v>
                </c:pt>
                <c:pt idx="66">
                  <c:v>367.37524535104586</c:v>
                </c:pt>
                <c:pt idx="67">
                  <c:v>376.21737131771482</c:v>
                </c:pt>
                <c:pt idx="68">
                  <c:v>385.05497224896385</c:v>
                </c:pt>
                <c:pt idx="69">
                  <c:v>393.88816670507435</c:v>
                </c:pt>
                <c:pt idx="70">
                  <c:v>402.7170674919883</c:v>
                </c:pt>
                <c:pt idx="71">
                  <c:v>410.76329650784623</c:v>
                </c:pt>
                <c:pt idx="72">
                  <c:v>418.80612334095326</c:v>
                </c:pt>
                <c:pt idx="73">
                  <c:v>426.84562257899665</c:v>
                </c:pt>
                <c:pt idx="74">
                  <c:v>434.88186576924096</c:v>
                </c:pt>
                <c:pt idx="75">
                  <c:v>442.91492159758701</c:v>
                </c:pt>
                <c:pt idx="76">
                  <c:v>396.22564203021716</c:v>
                </c:pt>
                <c:pt idx="77">
                  <c:v>404.01507966776506</c:v>
                </c:pt>
                <c:pt idx="78">
                  <c:v>411.80127018050945</c:v>
                </c:pt>
                <c:pt idx="79">
                  <c:v>419.58428366133921</c:v>
                </c:pt>
                <c:pt idx="80">
                  <c:v>427.3641873890769</c:v>
                </c:pt>
                <c:pt idx="81">
                  <c:v>434.88186576924096</c:v>
                </c:pt>
                <c:pt idx="82">
                  <c:v>442.39675481769376</c:v>
                </c:pt>
                <c:pt idx="83">
                  <c:v>449.90890862564248</c:v>
                </c:pt>
                <c:pt idx="84">
                  <c:v>457.41837932963108</c:v>
                </c:pt>
                <c:pt idx="85">
                  <c:v>464.92521721380871</c:v>
                </c:pt>
                <c:pt idx="86">
                  <c:v>420.36241288637984</c:v>
                </c:pt>
                <c:pt idx="87">
                  <c:v>427.62346471808149</c:v>
                </c:pt>
                <c:pt idx="88">
                  <c:v>434.88186576924096</c:v>
                </c:pt>
                <c:pt idx="89">
                  <c:v>442.13766655057469</c:v>
                </c:pt>
                <c:pt idx="90">
                  <c:v>449.39091577872478</c:v>
                </c:pt>
                <c:pt idx="91">
                  <c:v>456.12383221540227</c:v>
                </c:pt>
                <c:pt idx="92">
                  <c:v>462.85462553575684</c:v>
                </c:pt>
                <c:pt idx="93">
                  <c:v>469.58333098744288</c:v>
                </c:pt>
                <c:pt idx="94">
                  <c:v>476.30998272499346</c:v>
                </c:pt>
                <c:pt idx="95">
                  <c:v>483.03461385901966</c:v>
                </c:pt>
                <c:pt idx="96">
                  <c:v>441.61948025110092</c:v>
                </c:pt>
                <c:pt idx="97">
                  <c:v>448.095877722669</c:v>
                </c:pt>
                <c:pt idx="98">
                  <c:v>454.57027201710929</c:v>
                </c:pt>
                <c:pt idx="99">
                  <c:v>461.04269570891194</c:v>
                </c:pt>
                <c:pt idx="100">
                  <c:v>467.51318038276719</c:v>
                </c:pt>
                <c:pt idx="101">
                  <c:v>473.72304989047893</c:v>
                </c:pt>
                <c:pt idx="102">
                  <c:v>479.93118696287434</c:v>
                </c:pt>
                <c:pt idx="103">
                  <c:v>486.13761718470818</c:v>
                </c:pt>
                <c:pt idx="104">
                  <c:v>492.34236543378728</c:v>
                </c:pt>
                <c:pt idx="105">
                  <c:v>498.54545590936368</c:v>
                </c:pt>
                <c:pt idx="106">
                  <c:v>504.7469121590421</c:v>
                </c:pt>
                <c:pt idx="107">
                  <c:v>510.94675710429465</c:v>
                </c:pt>
                <c:pt idx="108">
                  <c:v>517.14501306467344</c:v>
                </c:pt>
                <c:pt idx="109">
                  <c:v>523.34170178080001</c:v>
                </c:pt>
                <c:pt idx="110">
                  <c:v>529.5368444362108</c:v>
                </c:pt>
                <c:pt idx="111">
                  <c:v>467.90134847617452</c:v>
                </c:pt>
                <c:pt idx="112">
                  <c:v>473.46434009613796</c:v>
                </c:pt>
                <c:pt idx="113">
                  <c:v>479.02594054825886</c:v>
                </c:pt>
                <c:pt idx="114">
                  <c:v>484.58616827417518</c:v>
                </c:pt>
                <c:pt idx="115">
                  <c:v>490.14504125750909</c:v>
                </c:pt>
                <c:pt idx="116">
                  <c:v>495.70257704042325</c:v>
                </c:pt>
                <c:pt idx="117">
                  <c:v>501.2587927393958</c:v>
                </c:pt>
                <c:pt idx="118">
                  <c:v>506.81370506025837</c:v>
                </c:pt>
                <c:pt idx="119">
                  <c:v>512.36733031254118</c:v>
                </c:pt>
                <c:pt idx="120">
                  <c:v>517.91968442316272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949456"/>
        <c:axId val="2006947280"/>
      </c:scatterChart>
      <c:valAx>
        <c:axId val="2006949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47280"/>
        <c:crosses val="autoZero"/>
        <c:crossBetween val="midCat"/>
      </c:valAx>
      <c:valAx>
        <c:axId val="200694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49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3.1628863339481534</c:v>
                </c:pt>
                <c:pt idx="2">
                  <c:v>3.6628992871920438</c:v>
                </c:pt>
                <c:pt idx="3">
                  <c:v>4.2422409244936503</c:v>
                </c:pt>
                <c:pt idx="4">
                  <c:v>4.9135393564650593</c:v>
                </c:pt>
                <c:pt idx="5">
                  <c:v>5.6914392471718847</c:v>
                </c:pt>
                <c:pt idx="6">
                  <c:v>6.5929247726706288</c:v>
                </c:pt>
                <c:pt idx="7">
                  <c:v>7.6376944418802752</c:v>
                </c:pt>
                <c:pt idx="8">
                  <c:v>8.8485961287004873</c:v>
                </c:pt>
                <c:pt idx="9">
                  <c:v>10.252132011350932</c:v>
                </c:pt>
                <c:pt idx="10">
                  <c:v>11.879044679757373</c:v>
                </c:pt>
                <c:pt idx="11">
                  <c:v>13.764997489727833</c:v>
                </c:pt>
                <c:pt idx="12">
                  <c:v>15.951364354646456</c:v>
                </c:pt>
                <c:pt idx="13">
                  <c:v>18.486146619119001</c:v>
                </c:pt>
                <c:pt idx="14">
                  <c:v>21.425037509820857</c:v>
                </c:pt>
                <c:pt idx="15">
                  <c:v>24.832657971109484</c:v>
                </c:pt>
                <c:pt idx="16">
                  <c:v>28.783991541603669</c:v>
                </c:pt>
                <c:pt idx="17">
                  <c:v>33.366050399895471</c:v>
                </c:pt>
                <c:pt idx="18">
                  <c:v>38.679809903968007</c:v>
                </c:pt>
                <c:pt idx="19">
                  <c:v>44.842454987298908</c:v>
                </c:pt>
                <c:pt idx="20">
                  <c:v>51.989988791691758</c:v>
                </c:pt>
                <c:pt idx="21">
                  <c:v>59.194676379503932</c:v>
                </c:pt>
                <c:pt idx="22">
                  <c:v>66.376471349621667</c:v>
                </c:pt>
                <c:pt idx="23">
                  <c:v>73.538207482585321</c:v>
                </c:pt>
                <c:pt idx="24">
                  <c:v>80.682119006165934</c:v>
                </c:pt>
                <c:pt idx="25">
                  <c:v>87.810010625275268</c:v>
                </c:pt>
                <c:pt idx="26">
                  <c:v>96.344409983623464</c:v>
                </c:pt>
                <c:pt idx="27">
                  <c:v>104.85998913171427</c:v>
                </c:pt>
                <c:pt idx="28">
                  <c:v>113.3584947279664</c:v>
                </c:pt>
                <c:pt idx="29">
                  <c:v>121.84138944928242</c:v>
                </c:pt>
                <c:pt idx="30">
                  <c:v>130.30991517841125</c:v>
                </c:pt>
                <c:pt idx="31">
                  <c:v>138.76513884586331</c:v>
                </c:pt>
                <c:pt idx="32">
                  <c:v>147.20798647794683</c:v>
                </c:pt>
                <c:pt idx="33">
                  <c:v>155.63926900235728</c:v>
                </c:pt>
                <c:pt idx="34">
                  <c:v>164.05970215478595</c:v>
                </c:pt>
                <c:pt idx="35">
                  <c:v>172.4699220751078</c:v>
                </c:pt>
                <c:pt idx="36">
                  <c:v>142.04989216192445</c:v>
                </c:pt>
                <c:pt idx="37">
                  <c:v>151.42502661477829</c:v>
                </c:pt>
                <c:pt idx="38">
                  <c:v>160.78633625957769</c:v>
                </c:pt>
                <c:pt idx="39">
                  <c:v>170.13474046014426</c:v>
                </c:pt>
                <c:pt idx="40">
                  <c:v>179.47104913917383</c:v>
                </c:pt>
                <c:pt idx="41">
                  <c:v>188.32999436925604</c:v>
                </c:pt>
                <c:pt idx="42">
                  <c:v>197.17922416826374</c:v>
                </c:pt>
                <c:pt idx="43">
                  <c:v>206.01923654428722</c:v>
                </c:pt>
                <c:pt idx="44">
                  <c:v>214.85048322218776</c:v>
                </c:pt>
                <c:pt idx="45">
                  <c:v>223.6733757126764</c:v>
                </c:pt>
                <c:pt idx="46">
                  <c:v>190.65965977632126</c:v>
                </c:pt>
                <c:pt idx="47">
                  <c:v>199.50641766256544</c:v>
                </c:pt>
                <c:pt idx="48">
                  <c:v>208.34408122016089</c:v>
                </c:pt>
                <c:pt idx="49">
                  <c:v>217.17309104815993</c:v>
                </c:pt>
                <c:pt idx="50">
                  <c:v>225.9938489517518</c:v>
                </c:pt>
                <c:pt idx="51">
                  <c:v>235.27034637020085</c:v>
                </c:pt>
                <c:pt idx="52">
                  <c:v>244.53850101874687</c:v>
                </c:pt>
                <c:pt idx="53">
                  <c:v>253.79867396956936</c:v>
                </c:pt>
                <c:pt idx="54">
                  <c:v>263.05119776940052</c:v>
                </c:pt>
                <c:pt idx="55">
                  <c:v>272.29637963914479</c:v>
                </c:pt>
                <c:pt idx="56">
                  <c:v>237.12463272796342</c:v>
                </c:pt>
                <c:pt idx="57">
                  <c:v>245.92802736230567</c:v>
                </c:pt>
                <c:pt idx="58">
                  <c:v>254.72426530340337</c:v>
                </c:pt>
                <c:pt idx="59">
                  <c:v>263.51362878037509</c:v>
                </c:pt>
                <c:pt idx="60">
                  <c:v>272.29637963914473</c:v>
                </c:pt>
                <c:pt idx="61">
                  <c:v>281.07276143896291</c:v>
                </c:pt>
                <c:pt idx="62">
                  <c:v>289.84300127315146</c:v>
                </c:pt>
                <c:pt idx="63">
                  <c:v>298.60731135776933</c:v>
                </c:pt>
                <c:pt idx="64">
                  <c:v>307.36589042386942</c:v>
                </c:pt>
                <c:pt idx="65">
                  <c:v>316.1189249426497</c:v>
                </c:pt>
                <c:pt idx="66">
                  <c:v>278.301946435746</c:v>
                </c:pt>
                <c:pt idx="67">
                  <c:v>286.61256112608555</c:v>
                </c:pt>
                <c:pt idx="68">
                  <c:v>294.91778523157933</c:v>
                </c:pt>
                <c:pt idx="69">
                  <c:v>303.21779210740073</c:v>
                </c:pt>
                <c:pt idx="70">
                  <c:v>311.51274483481546</c:v>
                </c:pt>
                <c:pt idx="71">
                  <c:v>319.34236469301567</c:v>
                </c:pt>
                <c:pt idx="72">
                  <c:v>327.16773590634534</c:v>
                </c:pt>
                <c:pt idx="73">
                  <c:v>334.98897452037232</c:v>
                </c:pt>
                <c:pt idx="74">
                  <c:v>342.80619071488059</c:v>
                </c:pt>
                <c:pt idx="75">
                  <c:v>350.61948923031787</c:v>
                </c:pt>
                <c:pt idx="76">
                  <c:v>312.43410102603713</c:v>
                </c:pt>
                <c:pt idx="77">
                  <c:v>320.26321481869581</c:v>
                </c:pt>
                <c:pt idx="78">
                  <c:v>328.08809393827681</c:v>
                </c:pt>
                <c:pt idx="79">
                  <c:v>335.90885371669873</c:v>
                </c:pt>
                <c:pt idx="80">
                  <c:v>343.72560367250861</c:v>
                </c:pt>
                <c:pt idx="81">
                  <c:v>350.61948923031787</c:v>
                </c:pt>
                <c:pt idx="82">
                  <c:v>357.51040237087665</c:v>
                </c:pt>
                <c:pt idx="83">
                  <c:v>364.39840852244924</c:v>
                </c:pt>
                <c:pt idx="84">
                  <c:v>371.28357043570492</c:v>
                </c:pt>
                <c:pt idx="85">
                  <c:v>378.1659483420201</c:v>
                </c:pt>
                <c:pt idx="86">
                  <c:v>344.18528987135369</c:v>
                </c:pt>
                <c:pt idx="87">
                  <c:v>351.53844793236181</c:v>
                </c:pt>
                <c:pt idx="88">
                  <c:v>358.8882341147721</c:v>
                </c:pt>
                <c:pt idx="89">
                  <c:v>366.23472727218899</c:v>
                </c:pt>
                <c:pt idx="90">
                  <c:v>373.57800283389633</c:v>
                </c:pt>
                <c:pt idx="91">
                  <c:v>380.00078636560312</c:v>
                </c:pt>
                <c:pt idx="92">
                  <c:v>386.42120824586385</c:v>
                </c:pt>
                <c:pt idx="93">
                  <c:v>392.83931328480293</c:v>
                </c:pt>
                <c:pt idx="94">
                  <c:v>399.25514470759913</c:v>
                </c:pt>
                <c:pt idx="95">
                  <c:v>405.66874423568089</c:v>
                </c:pt>
                <c:pt idx="96">
                  <c:v>371.28357043570492</c:v>
                </c:pt>
                <c:pt idx="97">
                  <c:v>378.1659483420201</c:v>
                </c:pt>
                <c:pt idx="98">
                  <c:v>385.04560009964825</c:v>
                </c:pt>
                <c:pt idx="99">
                  <c:v>391.92258132889066</c:v>
                </c:pt>
                <c:pt idx="100">
                  <c:v>398.79694553728069</c:v>
                </c:pt>
                <c:pt idx="101">
                  <c:v>405.21070313365345</c:v>
                </c:pt>
                <c:pt idx="102">
                  <c:v>411.62226629649246</c:v>
                </c:pt>
                <c:pt idx="103">
                  <c:v>418.03167405681643</c:v>
                </c:pt>
                <c:pt idx="104">
                  <c:v>424.43896415017315</c:v>
                </c:pt>
                <c:pt idx="105">
                  <c:v>430.8441730789794</c:v>
                </c:pt>
                <c:pt idx="106">
                  <c:v>396.50577836169577</c:v>
                </c:pt>
                <c:pt idx="107">
                  <c:v>403.37842662539197</c:v>
                </c:pt>
                <c:pt idx="108">
                  <c:v>410.2485426639725</c:v>
                </c:pt>
                <c:pt idx="109">
                  <c:v>417.11617489634546</c:v>
                </c:pt>
                <c:pt idx="110">
                  <c:v>423.98137001578169</c:v>
                </c:pt>
                <c:pt idx="111">
                  <c:v>430.8441730789794</c:v>
                </c:pt>
                <c:pt idx="112">
                  <c:v>437.70462758915534</c:v>
                </c:pt>
                <c:pt idx="113">
                  <c:v>444.5627755736532</c:v>
                </c:pt>
                <c:pt idx="114">
                  <c:v>451.41865765651147</c:v>
                </c:pt>
                <c:pt idx="115">
                  <c:v>458.27231312639066</c:v>
                </c:pt>
                <c:pt idx="116">
                  <c:v>465.12378000022363</c:v>
                </c:pt>
                <c:pt idx="117">
                  <c:v>471.97309508291988</c:v>
                </c:pt>
                <c:pt idx="118">
                  <c:v>478.82029402342158</c:v>
                </c:pt>
                <c:pt idx="119">
                  <c:v>485.66541136738397</c:v>
                </c:pt>
                <c:pt idx="120">
                  <c:v>492.50848060673189</c:v>
                </c:pt>
                <c:pt idx="121">
                  <c:v>1.8017017738191463E-12</c:v>
                </c:pt>
                <c:pt idx="122">
                  <c:v>1.8017017738191463E-12</c:v>
                </c:pt>
                <c:pt idx="123">
                  <c:v>1.8017017738191463E-12</c:v>
                </c:pt>
                <c:pt idx="124">
                  <c:v>1.8017017738191463E-12</c:v>
                </c:pt>
                <c:pt idx="125">
                  <c:v>1.8017017738191463E-12</c:v>
                </c:pt>
                <c:pt idx="126">
                  <c:v>1.8017017738191463E-12</c:v>
                </c:pt>
                <c:pt idx="127">
                  <c:v>1.8017017738191463E-12</c:v>
                </c:pt>
                <c:pt idx="128">
                  <c:v>1.8017017738191463E-12</c:v>
                </c:pt>
                <c:pt idx="129">
                  <c:v>1.8017017738191463E-12</c:v>
                </c:pt>
                <c:pt idx="130">
                  <c:v>1.8017017738191463E-12</c:v>
                </c:pt>
                <c:pt idx="131">
                  <c:v>1.8017017738191463E-12</c:v>
                </c:pt>
                <c:pt idx="132">
                  <c:v>1.8017017738191463E-12</c:v>
                </c:pt>
                <c:pt idx="133">
                  <c:v>1.8017017738191463E-12</c:v>
                </c:pt>
                <c:pt idx="134">
                  <c:v>1.8017017738191463E-12</c:v>
                </c:pt>
                <c:pt idx="135">
                  <c:v>1.8017017738191463E-12</c:v>
                </c:pt>
                <c:pt idx="136">
                  <c:v>1.8017017738191463E-12</c:v>
                </c:pt>
                <c:pt idx="137">
                  <c:v>1.8017017738191463E-12</c:v>
                </c:pt>
                <c:pt idx="138">
                  <c:v>1.8017017738191463E-12</c:v>
                </c:pt>
                <c:pt idx="139">
                  <c:v>1.8017017738191463E-12</c:v>
                </c:pt>
                <c:pt idx="140">
                  <c:v>1.8017017738191463E-12</c:v>
                </c:pt>
                <c:pt idx="141">
                  <c:v>1.8017017738191463E-12</c:v>
                </c:pt>
                <c:pt idx="142">
                  <c:v>1.8017017738191463E-12</c:v>
                </c:pt>
                <c:pt idx="143">
                  <c:v>1.8017017738191463E-12</c:v>
                </c:pt>
                <c:pt idx="144">
                  <c:v>1.8017017738191463E-12</c:v>
                </c:pt>
                <c:pt idx="145">
                  <c:v>1.8017017738191463E-12</c:v>
                </c:pt>
                <c:pt idx="146">
                  <c:v>1.8017017738191463E-12</c:v>
                </c:pt>
                <c:pt idx="147">
                  <c:v>1.8017017738191463E-12</c:v>
                </c:pt>
                <c:pt idx="148">
                  <c:v>1.8017017738191463E-12</c:v>
                </c:pt>
                <c:pt idx="149">
                  <c:v>1.8017017738191463E-12</c:v>
                </c:pt>
                <c:pt idx="150">
                  <c:v>1.8017017738191463E-12</c:v>
                </c:pt>
                <c:pt idx="151">
                  <c:v>1.8017017738191463E-12</c:v>
                </c:pt>
                <c:pt idx="152">
                  <c:v>1.8017017738191463E-12</c:v>
                </c:pt>
                <c:pt idx="153">
                  <c:v>1.8017017738191463E-12</c:v>
                </c:pt>
                <c:pt idx="154">
                  <c:v>1.8017017738191463E-12</c:v>
                </c:pt>
                <c:pt idx="155">
                  <c:v>1.8017017738191463E-12</c:v>
                </c:pt>
                <c:pt idx="156">
                  <c:v>1.8017017738191463E-12</c:v>
                </c:pt>
                <c:pt idx="157">
                  <c:v>1.8017017738191463E-12</c:v>
                </c:pt>
                <c:pt idx="158">
                  <c:v>1.8017017738191463E-12</c:v>
                </c:pt>
                <c:pt idx="159">
                  <c:v>1.8017017738191463E-12</c:v>
                </c:pt>
                <c:pt idx="160">
                  <c:v>1.8017017738191463E-12</c:v>
                </c:pt>
                <c:pt idx="161">
                  <c:v>1.8017017738191463E-12</c:v>
                </c:pt>
                <c:pt idx="162">
                  <c:v>1.8017017738191463E-12</c:v>
                </c:pt>
                <c:pt idx="163">
                  <c:v>1.8017017738191463E-12</c:v>
                </c:pt>
                <c:pt idx="164">
                  <c:v>1.8017017738191463E-12</c:v>
                </c:pt>
                <c:pt idx="165">
                  <c:v>1.8017017738191463E-12</c:v>
                </c:pt>
                <c:pt idx="166">
                  <c:v>1.8017017738191463E-12</c:v>
                </c:pt>
                <c:pt idx="167">
                  <c:v>1.8017017738191463E-12</c:v>
                </c:pt>
                <c:pt idx="168">
                  <c:v>1.8017017738191463E-12</c:v>
                </c:pt>
                <c:pt idx="169">
                  <c:v>1.8017017738191463E-12</c:v>
                </c:pt>
                <c:pt idx="170">
                  <c:v>1.8017017738191463E-12</c:v>
                </c:pt>
                <c:pt idx="171">
                  <c:v>1.8017017738191463E-12</c:v>
                </c:pt>
                <c:pt idx="172">
                  <c:v>1.8017017738191463E-12</c:v>
                </c:pt>
                <c:pt idx="173">
                  <c:v>1.8017017738191463E-12</c:v>
                </c:pt>
                <c:pt idx="174">
                  <c:v>1.8017017738191463E-12</c:v>
                </c:pt>
                <c:pt idx="175">
                  <c:v>1.8017017738191463E-12</c:v>
                </c:pt>
                <c:pt idx="176">
                  <c:v>1.8017017738191463E-12</c:v>
                </c:pt>
                <c:pt idx="177">
                  <c:v>1.8017017738191463E-12</c:v>
                </c:pt>
                <c:pt idx="178">
                  <c:v>1.8017017738191463E-12</c:v>
                </c:pt>
                <c:pt idx="179">
                  <c:v>1.8017017738191463E-12</c:v>
                </c:pt>
                <c:pt idx="180">
                  <c:v>1.8017017738191463E-12</c:v>
                </c:pt>
                <c:pt idx="181">
                  <c:v>1.8017017738191463E-12</c:v>
                </c:pt>
                <c:pt idx="182">
                  <c:v>1.8017017738191463E-12</c:v>
                </c:pt>
                <c:pt idx="183">
                  <c:v>1.8017017738191463E-12</c:v>
                </c:pt>
                <c:pt idx="184">
                  <c:v>1.8017017738191463E-12</c:v>
                </c:pt>
                <c:pt idx="185">
                  <c:v>1.8017017738191463E-12</c:v>
                </c:pt>
                <c:pt idx="186">
                  <c:v>1.8017017738191463E-12</c:v>
                </c:pt>
                <c:pt idx="187">
                  <c:v>1.8017017738191463E-12</c:v>
                </c:pt>
                <c:pt idx="188">
                  <c:v>1.8017017738191463E-12</c:v>
                </c:pt>
                <c:pt idx="189">
                  <c:v>1.8017017738191463E-12</c:v>
                </c:pt>
                <c:pt idx="190">
                  <c:v>1.8017017738191463E-12</c:v>
                </c:pt>
                <c:pt idx="191">
                  <c:v>1.8017017738191463E-12</c:v>
                </c:pt>
                <c:pt idx="192">
                  <c:v>1.8017017738191463E-12</c:v>
                </c:pt>
                <c:pt idx="193">
                  <c:v>1.8017017738191463E-12</c:v>
                </c:pt>
                <c:pt idx="194">
                  <c:v>1.8017017738191463E-12</c:v>
                </c:pt>
                <c:pt idx="195">
                  <c:v>1.8017017738191463E-12</c:v>
                </c:pt>
                <c:pt idx="196">
                  <c:v>1.8017017738191463E-12</c:v>
                </c:pt>
                <c:pt idx="197">
                  <c:v>1.8017017738191463E-12</c:v>
                </c:pt>
                <c:pt idx="198">
                  <c:v>1.8017017738191463E-12</c:v>
                </c:pt>
                <c:pt idx="199">
                  <c:v>1.8017017738191463E-12</c:v>
                </c:pt>
                <c:pt idx="200">
                  <c:v>1.8017017738191463E-12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939664"/>
        <c:axId val="2006933136"/>
      </c:scatterChart>
      <c:valAx>
        <c:axId val="2006939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33136"/>
        <c:crosses val="autoZero"/>
        <c:crossBetween val="midCat"/>
      </c:valAx>
      <c:valAx>
        <c:axId val="200693313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6939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52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52" zoomScale="70" zoomScaleNormal="70" workbookViewId="0">
      <selection activeCell="A88" sqref="A88:H10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5.1820000000000004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0.3705</v>
      </c>
      <c r="D9" s="36">
        <f t="shared" ref="D9:D18" si="0">C9*$C$5</f>
        <v>1.9199310000000001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0.18770000000000001</v>
      </c>
      <c r="D10" s="36">
        <f t="shared" si="0"/>
        <v>0.97266140000000012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14</v>
      </c>
      <c r="C11" s="35">
        <v>0.1205</v>
      </c>
      <c r="D11" s="36">
        <f t="shared" si="0"/>
        <v>0.62443100000000007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</v>
      </c>
      <c r="C12" s="35">
        <v>9.2600000000000002E-2</v>
      </c>
      <c r="D12" s="36">
        <f t="shared" si="0"/>
        <v>0.47985320000000004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164</v>
      </c>
      <c r="C13" s="35">
        <v>5.3999999999999999E-2</v>
      </c>
      <c r="D13" s="36">
        <f t="shared" si="0"/>
        <v>0.27982800000000002</v>
      </c>
      <c r="E13" s="37">
        <v>109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9</v>
      </c>
      <c r="C14" s="35">
        <v>2.7E-2</v>
      </c>
      <c r="D14" s="36">
        <f t="shared" si="0"/>
        <v>0.13991400000000001</v>
      </c>
      <c r="E14" s="37">
        <v>130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21</v>
      </c>
      <c r="C15" s="35">
        <v>2.7E-2</v>
      </c>
      <c r="D15" s="36">
        <f t="shared" si="0"/>
        <v>0.13991400000000001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6</v>
      </c>
      <c r="C16" s="35">
        <v>4.02E-2</v>
      </c>
      <c r="D16" s="36">
        <f t="shared" si="0"/>
        <v>0.20831640000000001</v>
      </c>
      <c r="E16" s="37">
        <v>120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52</v>
      </c>
      <c r="C17" s="35">
        <v>4.02E-2</v>
      </c>
      <c r="D17" s="36">
        <f t="shared" si="0"/>
        <v>0.20831640000000001</v>
      </c>
      <c r="E17" s="37">
        <v>120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50</v>
      </c>
      <c r="C18" s="35">
        <v>2.01E-2</v>
      </c>
      <c r="D18" s="36">
        <f t="shared" si="0"/>
        <v>0.10415820000000001</v>
      </c>
      <c r="E18" s="37">
        <v>110</v>
      </c>
      <c r="F18" s="38" t="str">
        <f t="array" ref="F18">IF(E18="","",IF(INDEX(A:A,MAX(IF(ISNUMBER($A$270:$A$289),ROW($A$270:$A$289),"")))&lt;&gt;E18,"Corrigez : révolution incorrecte","OK"))</f>
        <v>OK</v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0.97980000000000023</v>
      </c>
      <c r="D19" s="41">
        <f>SUM(D9:D18)</f>
        <v>5.0773236000000006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C32" s="25" t="s">
        <v>328</v>
      </c>
      <c r="D32" s="257" t="s">
        <v>307</v>
      </c>
      <c r="I32" s="25" t="s">
        <v>324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0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17</v>
      </c>
      <c r="B36" s="63">
        <f>164.23/1.3</f>
        <v>126.33076923076922</v>
      </c>
      <c r="C36" s="63">
        <v>1</v>
      </c>
      <c r="D36" s="63">
        <f>(164.23-109.52)/1.3</f>
        <v>42.084615384615375</v>
      </c>
      <c r="E36" s="54"/>
      <c r="F36" s="54">
        <v>0.5</v>
      </c>
      <c r="G36" s="54">
        <v>0.5</v>
      </c>
      <c r="H36" s="54"/>
      <c r="I36" s="52">
        <f>IFERROR(B36/A36,"")</f>
        <v>7.4312217194570129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23</v>
      </c>
      <c r="B37" s="63">
        <f>225.95/1.3</f>
        <v>173.80769230769229</v>
      </c>
      <c r="C37" s="63">
        <v>2</v>
      </c>
      <c r="D37" s="63">
        <f>(225.95-155.62)/1.3</f>
        <v>54.099999999999987</v>
      </c>
      <c r="E37" s="54"/>
      <c r="F37" s="54">
        <v>0.5</v>
      </c>
      <c r="G37" s="54">
        <v>0.5</v>
      </c>
      <c r="H37" s="54"/>
      <c r="I37" s="56">
        <f t="shared" ref="I37:I55" si="1">IF(A37&lt;&gt;0,(B37-(B36-D36))/(A37-A36),"")</f>
        <v>14.926923076923075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29</v>
      </c>
      <c r="B38" s="63">
        <f>273.19/1.3</f>
        <v>210.14615384615385</v>
      </c>
      <c r="C38" s="63">
        <v>3</v>
      </c>
      <c r="D38" s="63">
        <f>(273.19-211.23)/1.3</f>
        <v>47.661538461538463</v>
      </c>
      <c r="E38" s="54">
        <v>0.6</v>
      </c>
      <c r="F38" s="54">
        <v>0.2</v>
      </c>
      <c r="G38" s="54">
        <v>0.2</v>
      </c>
      <c r="H38" s="54"/>
      <c r="I38" s="56">
        <f t="shared" si="1"/>
        <v>15.073076923076925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36</v>
      </c>
      <c r="B39" s="63">
        <f>341.35/1.3</f>
        <v>262.57692307692309</v>
      </c>
      <c r="C39" s="63">
        <v>4</v>
      </c>
      <c r="D39" s="63">
        <f>(341.35-257.43)/1.3</f>
        <v>64.553846153846166</v>
      </c>
      <c r="E39" s="54"/>
      <c r="F39" s="54"/>
      <c r="G39" s="54"/>
      <c r="H39" s="54"/>
      <c r="I39" s="52">
        <f t="shared" si="1"/>
        <v>14.298901098901101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44</v>
      </c>
      <c r="B40" s="63">
        <f>394.1/1.3</f>
        <v>303.15384615384619</v>
      </c>
      <c r="C40" s="63">
        <v>5</v>
      </c>
      <c r="D40" s="63">
        <f>(394.1-310.28)/1.3</f>
        <v>64.476923076923114</v>
      </c>
      <c r="E40" s="54"/>
      <c r="F40" s="54"/>
      <c r="G40" s="54"/>
      <c r="H40" s="54"/>
      <c r="I40" s="52">
        <f t="shared" si="1"/>
        <v>13.141346153846158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52</v>
      </c>
      <c r="B41" s="63">
        <f>431.04/1.3</f>
        <v>331.56923076923078</v>
      </c>
      <c r="C41" s="63">
        <v>6</v>
      </c>
      <c r="D41" s="63">
        <f>(431.36-351.04)/1.3</f>
        <v>61.784615384615378</v>
      </c>
      <c r="E41" s="54"/>
      <c r="F41" s="54"/>
      <c r="G41" s="54"/>
      <c r="H41" s="54"/>
      <c r="I41" s="56">
        <f t="shared" si="1"/>
        <v>11.611538461538466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60</v>
      </c>
      <c r="B42" s="63">
        <f>459.55/1.3</f>
        <v>353.5</v>
      </c>
      <c r="C42" s="63">
        <v>7</v>
      </c>
      <c r="D42" s="63">
        <f>B42</f>
        <v>353.5</v>
      </c>
      <c r="E42" s="54"/>
      <c r="F42" s="54"/>
      <c r="G42" s="54"/>
      <c r="H42" s="54"/>
      <c r="I42" s="56">
        <f t="shared" si="1"/>
        <v>10.464423076923076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1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1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1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1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1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1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1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C58" s="25" t="s">
        <v>329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0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42</v>
      </c>
      <c r="C62" s="63"/>
      <c r="D62" s="6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f>62+8</f>
        <v>70</v>
      </c>
      <c r="C63" s="63"/>
      <c r="D63" s="63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f>76+8+21</f>
        <v>105</v>
      </c>
      <c r="C64" s="63">
        <v>1</v>
      </c>
      <c r="D64" s="63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f>95+21</f>
        <v>116</v>
      </c>
      <c r="C65" s="63"/>
      <c r="D65" s="63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f>116+21+21</f>
        <v>158</v>
      </c>
      <c r="C66" s="63">
        <v>2</v>
      </c>
      <c r="D66" s="63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f>137+21</f>
        <v>158</v>
      </c>
      <c r="C67" s="63"/>
      <c r="D67" s="63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f>157+21+21</f>
        <v>199</v>
      </c>
      <c r="C68" s="63">
        <v>3</v>
      </c>
      <c r="D68" s="63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3">
        <f>176+21</f>
        <v>197</v>
      </c>
      <c r="C69" s="63"/>
      <c r="D69" s="63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sessile</v>
      </c>
      <c r="C84" s="25" t="s">
        <v>328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0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42</v>
      </c>
      <c r="C88" s="63"/>
      <c r="D88" s="6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f>62+8</f>
        <v>70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f>76+8+21</f>
        <v>105</v>
      </c>
      <c r="C90" s="63">
        <v>1</v>
      </c>
      <c r="D90" s="63">
        <f>8+21</f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f>95+21</f>
        <v>116</v>
      </c>
      <c r="C91" s="63"/>
      <c r="D91" s="63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f>116+21+21</f>
        <v>158</v>
      </c>
      <c r="C92" s="63">
        <v>2</v>
      </c>
      <c r="D92" s="63">
        <f>21+21</f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f>137+21</f>
        <v>158</v>
      </c>
      <c r="C93" s="63"/>
      <c r="D93" s="63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f>157+21+21</f>
        <v>199</v>
      </c>
      <c r="C94" s="63">
        <v>3</v>
      </c>
      <c r="D94" s="63">
        <f>21+21</f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63">
        <f>176+21</f>
        <v>197</v>
      </c>
      <c r="C95" s="63"/>
      <c r="D95" s="63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Bouleau verruqueux</v>
      </c>
      <c r="C110" s="25" t="s">
        <v>327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0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f>32+0</f>
        <v>32</v>
      </c>
      <c r="C114" s="63"/>
      <c r="D114" s="63"/>
      <c r="E114" s="54"/>
      <c r="F114" s="54"/>
      <c r="G114" s="54"/>
      <c r="H114" s="54"/>
      <c r="I114" s="56">
        <f>IFERROR(B114/A114,"")</f>
        <v>2.1333333333333333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f>45+0+9</f>
        <v>54</v>
      </c>
      <c r="C115" s="63"/>
      <c r="D115" s="63"/>
      <c r="E115" s="54"/>
      <c r="F115" s="54"/>
      <c r="G115" s="54"/>
      <c r="H115" s="54"/>
      <c r="I115" s="56">
        <f t="shared" ref="I115:I133" si="4">IF(A115&lt;&gt;0,(B115-(B114-D114))/(A115-A114),"")</f>
        <v>4.4000000000000004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f>60+0+9+8</f>
        <v>77</v>
      </c>
      <c r="C116" s="63">
        <v>1</v>
      </c>
      <c r="D116" s="63">
        <f>9+3+1</f>
        <v>13</v>
      </c>
      <c r="E116" s="54"/>
      <c r="F116" s="54"/>
      <c r="G116" s="54"/>
      <c r="H116" s="54"/>
      <c r="I116" s="56">
        <f t="shared" si="4"/>
        <v>4.5999999999999996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f>75+9</f>
        <v>84</v>
      </c>
      <c r="C117" s="63"/>
      <c r="D117" s="63"/>
      <c r="E117" s="54"/>
      <c r="F117" s="54"/>
      <c r="G117" s="54"/>
      <c r="H117" s="54"/>
      <c r="I117" s="56">
        <f t="shared" si="4"/>
        <v>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3">
        <f>89+9+10</f>
        <v>108</v>
      </c>
      <c r="C118" s="63">
        <v>2</v>
      </c>
      <c r="D118" s="63">
        <f>9+10</f>
        <v>19</v>
      </c>
      <c r="E118" s="54"/>
      <c r="F118" s="54"/>
      <c r="G118" s="54"/>
      <c r="H118" s="54"/>
      <c r="I118" s="56">
        <f t="shared" si="4"/>
        <v>4.8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3">
        <f>103+10</f>
        <v>113</v>
      </c>
      <c r="C119" s="63"/>
      <c r="D119" s="63"/>
      <c r="E119" s="54"/>
      <c r="F119" s="54"/>
      <c r="G119" s="54"/>
      <c r="H119" s="54"/>
      <c r="I119" s="56">
        <f t="shared" si="4"/>
        <v>4.8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45</v>
      </c>
      <c r="B120" s="63">
        <f>116+10+11</f>
        <v>137</v>
      </c>
      <c r="C120" s="63">
        <v>3</v>
      </c>
      <c r="D120" s="63">
        <f>10+11</f>
        <v>21</v>
      </c>
      <c r="E120" s="92"/>
      <c r="F120" s="92"/>
      <c r="G120" s="92"/>
      <c r="H120" s="92"/>
      <c r="I120" s="56">
        <f t="shared" si="4"/>
        <v>4.8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50</v>
      </c>
      <c r="B121" s="63">
        <f>128+11</f>
        <v>139</v>
      </c>
      <c r="C121" s="63"/>
      <c r="D121" s="63"/>
      <c r="E121" s="92"/>
      <c r="F121" s="92"/>
      <c r="G121" s="92"/>
      <c r="H121" s="92"/>
      <c r="I121" s="56">
        <f t="shared" si="4"/>
        <v>4.5999999999999996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55</v>
      </c>
      <c r="B122" s="63">
        <f>139+11+11</f>
        <v>161</v>
      </c>
      <c r="C122" s="63">
        <v>4</v>
      </c>
      <c r="D122" s="63">
        <f>11+11</f>
        <v>22</v>
      </c>
      <c r="E122" s="92"/>
      <c r="F122" s="92"/>
      <c r="G122" s="92"/>
      <c r="H122" s="92"/>
      <c r="I122" s="56">
        <f t="shared" si="4"/>
        <v>4.4000000000000004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60</v>
      </c>
      <c r="B123" s="63">
        <f>149+11</f>
        <v>160</v>
      </c>
      <c r="C123" s="63"/>
      <c r="D123" s="63"/>
      <c r="E123" s="92"/>
      <c r="F123" s="92"/>
      <c r="G123" s="92"/>
      <c r="H123" s="92"/>
      <c r="I123" s="56">
        <f t="shared" si="4"/>
        <v>4.2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65</v>
      </c>
      <c r="B124" s="63">
        <f>158+11+11</f>
        <v>180</v>
      </c>
      <c r="C124" s="63">
        <v>5</v>
      </c>
      <c r="D124" s="63">
        <f>11+11</f>
        <v>22</v>
      </c>
      <c r="E124" s="92"/>
      <c r="F124" s="92"/>
      <c r="G124" s="92"/>
      <c r="H124" s="92"/>
      <c r="I124" s="56">
        <f t="shared" si="4"/>
        <v>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70</v>
      </c>
      <c r="B125" s="63">
        <f>167+11</f>
        <v>178</v>
      </c>
      <c r="C125" s="63"/>
      <c r="D125" s="63"/>
      <c r="E125" s="92"/>
      <c r="F125" s="92"/>
      <c r="G125" s="92"/>
      <c r="H125" s="92"/>
      <c r="I125" s="56">
        <f t="shared" si="4"/>
        <v>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75</v>
      </c>
      <c r="B126" s="63">
        <f>174+11+11</f>
        <v>196</v>
      </c>
      <c r="C126" s="63">
        <v>6</v>
      </c>
      <c r="D126" s="63">
        <f>11+11</f>
        <v>22</v>
      </c>
      <c r="E126" s="67"/>
      <c r="F126" s="67"/>
      <c r="G126" s="67"/>
      <c r="H126" s="67"/>
      <c r="I126" s="56">
        <f t="shared" si="4"/>
        <v>3.6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80</v>
      </c>
      <c r="B127" s="63">
        <f>181+11</f>
        <v>192</v>
      </c>
      <c r="C127" s="63"/>
      <c r="D127" s="63"/>
      <c r="E127" s="67"/>
      <c r="F127" s="67"/>
      <c r="G127" s="67"/>
      <c r="H127" s="67"/>
      <c r="I127" s="56">
        <f t="shared" si="4"/>
        <v>3.6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85</v>
      </c>
      <c r="B128" s="63">
        <f>187+11+10</f>
        <v>208</v>
      </c>
      <c r="C128" s="63">
        <v>7</v>
      </c>
      <c r="D128" s="63">
        <f>11+10</f>
        <v>21</v>
      </c>
      <c r="E128" s="57"/>
      <c r="F128" s="57"/>
      <c r="G128" s="57"/>
      <c r="H128" s="57"/>
      <c r="I128" s="56">
        <f t="shared" si="4"/>
        <v>3.2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90</v>
      </c>
      <c r="B129" s="63">
        <f>192+10</f>
        <v>202</v>
      </c>
      <c r="C129" s="63">
        <v>8</v>
      </c>
      <c r="D129" s="63">
        <f>B129</f>
        <v>202</v>
      </c>
      <c r="E129" s="57"/>
      <c r="F129" s="57"/>
      <c r="G129" s="57"/>
      <c r="H129" s="57"/>
      <c r="I129" s="56">
        <f t="shared" si="4"/>
        <v>3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63"/>
      <c r="C130" s="63"/>
      <c r="D130" s="6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Cèdre de l'Atlas</v>
      </c>
      <c r="C136" s="25" t="s">
        <v>328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0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30</v>
      </c>
      <c r="B140" s="63">
        <f>134.26/1.3</f>
        <v>103.27692307692307</v>
      </c>
      <c r="C140" s="53"/>
      <c r="D140" s="63"/>
      <c r="E140" s="54"/>
      <c r="F140" s="54"/>
      <c r="G140" s="54"/>
      <c r="H140" s="54"/>
      <c r="I140" s="60">
        <f>IFERROR(B140/A140,"")</f>
        <v>3.4425641025641025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51</v>
      </c>
      <c r="B141" s="63">
        <f>(418.39/1.3)</f>
        <v>321.8384615384615</v>
      </c>
      <c r="C141" s="53">
        <v>1</v>
      </c>
      <c r="D141" s="63">
        <f>(130/1.3)</f>
        <v>100</v>
      </c>
      <c r="E141" s="54"/>
      <c r="F141" s="54"/>
      <c r="G141" s="54"/>
      <c r="H141" s="54"/>
      <c r="I141" s="60">
        <f t="shared" ref="I141:I159" si="5">IF(A141&lt;&gt;0,(B141-(B140-D140))/(A141-A140),"")</f>
        <v>10.407692307692306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63</v>
      </c>
      <c r="B142" s="63">
        <f>455.9/1.3</f>
        <v>350.69230769230768</v>
      </c>
      <c r="C142" s="53">
        <v>2</v>
      </c>
      <c r="D142" s="63">
        <f>(140.51/1.3)</f>
        <v>108.08461538461538</v>
      </c>
      <c r="E142" s="54"/>
      <c r="F142" s="54"/>
      <c r="G142" s="54"/>
      <c r="H142" s="54"/>
      <c r="I142" s="60">
        <f t="shared" si="5"/>
        <v>10.737820512820514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75</v>
      </c>
      <c r="B143" s="63">
        <f>468.62/1.3</f>
        <v>360.47692307692307</v>
      </c>
      <c r="C143" s="53">
        <v>3</v>
      </c>
      <c r="D143" s="63">
        <f>(110.97/1.3)</f>
        <v>85.361538461538458</v>
      </c>
      <c r="E143" s="54"/>
      <c r="F143" s="54"/>
      <c r="G143" s="54"/>
      <c r="H143" s="54"/>
      <c r="I143" s="60">
        <f t="shared" si="5"/>
        <v>9.8224358974358967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87</v>
      </c>
      <c r="B144" s="63">
        <f>498.08/1.3</f>
        <v>383.13846153846151</v>
      </c>
      <c r="C144" s="53">
        <v>4</v>
      </c>
      <c r="D144" s="63">
        <f>(107.82/1.3)</f>
        <v>82.938461538461524</v>
      </c>
      <c r="E144" s="54"/>
      <c r="F144" s="54"/>
      <c r="G144" s="54"/>
      <c r="H144" s="54"/>
      <c r="I144" s="60">
        <f t="shared" si="5"/>
        <v>9.001923076923072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99</v>
      </c>
      <c r="B145" s="63">
        <f>517.23/1.3</f>
        <v>397.8692307692308</v>
      </c>
      <c r="C145" s="53">
        <v>5</v>
      </c>
      <c r="D145" s="63">
        <f>(257.82/1.3)</f>
        <v>198.32307692307691</v>
      </c>
      <c r="E145" s="54"/>
      <c r="F145" s="54"/>
      <c r="G145" s="54"/>
      <c r="H145" s="54"/>
      <c r="I145" s="60">
        <f t="shared" si="5"/>
        <v>8.1391025641025667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109</v>
      </c>
      <c r="B146" s="63">
        <f>332.92/1.3</f>
        <v>256.09230769230771</v>
      </c>
      <c r="C146" s="53">
        <v>6</v>
      </c>
      <c r="D146" s="63">
        <f>(332.92/1.3)</f>
        <v>256.09230769230771</v>
      </c>
      <c r="E146" s="54"/>
      <c r="F146" s="54"/>
      <c r="G146" s="54"/>
      <c r="H146" s="54"/>
      <c r="I146" s="60">
        <f t="shared" si="5"/>
        <v>5.6546153846153828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 chevelu</v>
      </c>
      <c r="C162" s="25" t="s">
        <v>325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0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15</v>
      </c>
      <c r="B166" s="63">
        <f>(47)/1.56</f>
        <v>30.128205128205128</v>
      </c>
      <c r="C166" s="54"/>
      <c r="D166" s="63"/>
      <c r="E166" s="63"/>
      <c r="F166" s="54"/>
      <c r="G166" s="54"/>
      <c r="H166" s="54"/>
      <c r="I166" s="52">
        <f>IFERROR(B166/A166,"")</f>
        <v>2.0085470085470085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63">
        <f>(86+6)/1.56</f>
        <v>58.974358974358971</v>
      </c>
      <c r="C167" s="63"/>
      <c r="D167" s="63"/>
      <c r="E167" s="63"/>
      <c r="F167" s="54"/>
      <c r="G167" s="54"/>
      <c r="H167" s="54"/>
      <c r="I167" s="52">
        <f t="shared" ref="I167:I185" si="6">IF(A167&lt;&gt;0,(B167-(B166-D166))/(A167-A166),"")</f>
        <v>5.7692307692307683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25</v>
      </c>
      <c r="B168" s="63">
        <f>(127+6+10)/1.56</f>
        <v>91.666666666666657</v>
      </c>
      <c r="C168" s="63"/>
      <c r="D168" s="63"/>
      <c r="E168" s="63"/>
      <c r="F168" s="54"/>
      <c r="G168" s="54"/>
      <c r="H168" s="54"/>
      <c r="I168" s="52">
        <f t="shared" si="6"/>
        <v>6.5384615384615374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30</v>
      </c>
      <c r="B169" s="63">
        <f>(167+6+10+13)/1.56</f>
        <v>125.64102564102564</v>
      </c>
      <c r="C169" s="63">
        <v>1</v>
      </c>
      <c r="D169" s="63">
        <f>(6+10+13+15)/1.56</f>
        <v>28.205128205128204</v>
      </c>
      <c r="E169" s="63"/>
      <c r="F169" s="54"/>
      <c r="G169" s="54"/>
      <c r="H169" s="54">
        <v>1</v>
      </c>
      <c r="I169" s="52">
        <f t="shared" si="6"/>
        <v>6.7948717948717956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35</v>
      </c>
      <c r="B170" s="63">
        <f>(205)/1.56</f>
        <v>131.41025641025641</v>
      </c>
      <c r="C170" s="63"/>
      <c r="D170" s="63"/>
      <c r="E170" s="63"/>
      <c r="F170" s="54"/>
      <c r="G170" s="54"/>
      <c r="H170" s="54"/>
      <c r="I170" s="52">
        <f t="shared" si="6"/>
        <v>6.7948717948717956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40</v>
      </c>
      <c r="B171" s="63">
        <f>(239+17)/1.56</f>
        <v>164.10256410256409</v>
      </c>
      <c r="C171" s="63">
        <v>2</v>
      </c>
      <c r="D171" s="63">
        <f>(17+18)/1.56</f>
        <v>22.435897435897434</v>
      </c>
      <c r="E171" s="63"/>
      <c r="F171" s="54"/>
      <c r="G171" s="54"/>
      <c r="H171" s="54"/>
      <c r="I171" s="52">
        <f t="shared" si="6"/>
        <v>6.5384615384615357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45</v>
      </c>
      <c r="B172" s="63">
        <f>(270)/1.56</f>
        <v>173.07692307692307</v>
      </c>
      <c r="C172" s="63"/>
      <c r="D172" s="63"/>
      <c r="E172" s="63"/>
      <c r="F172" s="54"/>
      <c r="G172" s="54"/>
      <c r="H172" s="54"/>
      <c r="I172" s="52">
        <f t="shared" si="6"/>
        <v>6.2820512820512819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281">
        <v>50</v>
      </c>
      <c r="B173" s="63">
        <f>(298+19)/1.56</f>
        <v>203.2051282051282</v>
      </c>
      <c r="C173" s="63">
        <v>3</v>
      </c>
      <c r="D173" s="63">
        <f>(19+19)/1.56</f>
        <v>24.358974358974358</v>
      </c>
      <c r="E173" s="63"/>
      <c r="F173" s="54"/>
      <c r="G173" s="54"/>
      <c r="H173" s="54"/>
      <c r="I173" s="52">
        <f t="shared" si="6"/>
        <v>6.0256410256410273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281">
        <v>55</v>
      </c>
      <c r="B174" s="63">
        <f>(323)/1.56</f>
        <v>207.05128205128204</v>
      </c>
      <c r="C174" s="63"/>
      <c r="D174" s="63"/>
      <c r="E174" s="63"/>
      <c r="F174" s="54"/>
      <c r="G174" s="54"/>
      <c r="H174" s="54"/>
      <c r="I174" s="52">
        <f t="shared" si="6"/>
        <v>5.6410256410256405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281">
        <v>60</v>
      </c>
      <c r="B175" s="63">
        <f>(345+19)/1.56</f>
        <v>233.33333333333331</v>
      </c>
      <c r="C175" s="63">
        <v>4</v>
      </c>
      <c r="D175" s="63">
        <f>(19+19)/1.56</f>
        <v>24.358974358974358</v>
      </c>
      <c r="E175" s="63"/>
      <c r="F175" s="54"/>
      <c r="G175" s="54"/>
      <c r="H175" s="54"/>
      <c r="I175" s="52">
        <f t="shared" si="6"/>
        <v>5.2564102564102537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281">
        <v>65</v>
      </c>
      <c r="B176" s="63">
        <f>(365)/1.56</f>
        <v>233.97435897435898</v>
      </c>
      <c r="C176" s="63"/>
      <c r="D176" s="63"/>
      <c r="E176" s="63"/>
      <c r="F176" s="54"/>
      <c r="G176" s="54"/>
      <c r="H176" s="54"/>
      <c r="I176" s="52">
        <f t="shared" si="6"/>
        <v>5.0000000000000053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281">
        <v>70</v>
      </c>
      <c r="B177" s="63">
        <f>(385+18)/1.56</f>
        <v>258.33333333333331</v>
      </c>
      <c r="C177" s="63">
        <v>5</v>
      </c>
      <c r="D177" s="63">
        <f>(18+18)/1.56</f>
        <v>23.076923076923077</v>
      </c>
      <c r="E177" s="63"/>
      <c r="F177" s="54"/>
      <c r="G177" s="54"/>
      <c r="H177" s="54"/>
      <c r="I177" s="52">
        <f t="shared" si="6"/>
        <v>4.8717948717948669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281">
        <v>75</v>
      </c>
      <c r="B178" s="63">
        <f>(402)/1.56</f>
        <v>257.69230769230768</v>
      </c>
      <c r="C178" s="63"/>
      <c r="D178" s="63"/>
      <c r="E178" s="63"/>
      <c r="F178" s="54"/>
      <c r="G178" s="54"/>
      <c r="H178" s="54"/>
      <c r="I178" s="52">
        <f t="shared" si="6"/>
        <v>4.4871794871794863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281">
        <v>80</v>
      </c>
      <c r="B179" s="63">
        <f>(418+18)/1.56</f>
        <v>279.4871794871795</v>
      </c>
      <c r="C179" s="63">
        <v>6</v>
      </c>
      <c r="D179" s="63">
        <f>(18+17)/1.56</f>
        <v>22.435897435897434</v>
      </c>
      <c r="E179" s="63"/>
      <c r="F179" s="54"/>
      <c r="G179" s="54"/>
      <c r="H179" s="54"/>
      <c r="I179" s="52">
        <f t="shared" si="6"/>
        <v>4.3589743589743648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281">
        <v>85</v>
      </c>
      <c r="B180" s="63">
        <f>(432)/1.56</f>
        <v>276.92307692307691</v>
      </c>
      <c r="C180" s="53"/>
      <c r="D180" s="63"/>
      <c r="E180" s="63"/>
      <c r="F180" s="54"/>
      <c r="G180" s="54"/>
      <c r="H180" s="54"/>
      <c r="I180" s="52">
        <f t="shared" si="6"/>
        <v>3.9743589743589722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281">
        <v>90</v>
      </c>
      <c r="B181" s="63">
        <f>(445+17)/1.56</f>
        <v>296.15384615384613</v>
      </c>
      <c r="C181" s="53">
        <v>7</v>
      </c>
      <c r="D181" s="63">
        <f>(17+16)/1.56</f>
        <v>21.153846153846153</v>
      </c>
      <c r="E181" s="63"/>
      <c r="F181" s="54"/>
      <c r="G181" s="54"/>
      <c r="H181" s="54"/>
      <c r="I181" s="52">
        <f t="shared" si="6"/>
        <v>3.8461538461538454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281">
        <v>100</v>
      </c>
      <c r="B182" s="63">
        <f>(467+16)/1.56</f>
        <v>309.61538461538458</v>
      </c>
      <c r="C182" s="53">
        <v>8</v>
      </c>
      <c r="D182" s="63">
        <f>(16+16)/1.56</f>
        <v>20.512820512820511</v>
      </c>
      <c r="E182" s="63"/>
      <c r="F182" s="54"/>
      <c r="G182" s="54"/>
      <c r="H182" s="54"/>
      <c r="I182" s="52">
        <f t="shared" si="6"/>
        <v>3.4615384615384586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281">
        <v>110</v>
      </c>
      <c r="B183" s="63">
        <f>(486+15)/1.56</f>
        <v>321.15384615384613</v>
      </c>
      <c r="C183" s="53">
        <v>9</v>
      </c>
      <c r="D183" s="63">
        <f>(15+15)/1.56</f>
        <v>19.23076923076923</v>
      </c>
      <c r="E183" s="63"/>
      <c r="F183" s="54"/>
      <c r="G183" s="54"/>
      <c r="H183" s="54"/>
      <c r="I183" s="52">
        <f t="shared" si="6"/>
        <v>3.2051282051282044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81">
        <v>120</v>
      </c>
      <c r="B184" s="63">
        <f>(502+14)/1.56</f>
        <v>330.76923076923077</v>
      </c>
      <c r="C184" s="53">
        <v>10</v>
      </c>
      <c r="D184" s="63">
        <f>(14+14)/1.56</f>
        <v>17.948717948717949</v>
      </c>
      <c r="E184" s="63"/>
      <c r="F184" s="54"/>
      <c r="G184" s="54"/>
      <c r="H184" s="54"/>
      <c r="I184" s="52">
        <f t="shared" si="6"/>
        <v>2.8846153846153868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281">
        <v>130</v>
      </c>
      <c r="B185" s="63">
        <f>(516+13)/1.56</f>
        <v>339.10256410256409</v>
      </c>
      <c r="C185" s="53">
        <v>11</v>
      </c>
      <c r="D185" s="63">
        <f>B185</f>
        <v>339.10256410256409</v>
      </c>
      <c r="E185" s="63"/>
      <c r="F185" s="54"/>
      <c r="G185" s="54"/>
      <c r="H185" s="54"/>
      <c r="I185" s="52">
        <f t="shared" si="6"/>
        <v>2.6282051282051269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Erable champêtre</v>
      </c>
      <c r="C188" s="25" t="s">
        <v>330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0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3">
        <f>18</f>
        <v>18</v>
      </c>
      <c r="C192" s="63"/>
      <c r="D192" s="63"/>
      <c r="E192" s="54"/>
      <c r="F192" s="54"/>
      <c r="G192" s="54"/>
      <c r="H192" s="54"/>
      <c r="I192" s="52">
        <f>IFERROR(B192/A192,"")</f>
        <v>0.9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3">
        <f>53+3</f>
        <v>56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7.6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3">
        <f>76+3+14</f>
        <v>93</v>
      </c>
      <c r="C194" s="63">
        <v>1</v>
      </c>
      <c r="D194" s="63">
        <f>3+14+14</f>
        <v>31</v>
      </c>
      <c r="E194" s="54"/>
      <c r="F194" s="54"/>
      <c r="G194" s="54"/>
      <c r="H194" s="54">
        <v>1</v>
      </c>
      <c r="I194" s="52">
        <f t="shared" si="7"/>
        <v>7.4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3">
        <f>95</f>
        <v>95</v>
      </c>
      <c r="C195" s="63"/>
      <c r="D195" s="63"/>
      <c r="E195" s="54"/>
      <c r="F195" s="54"/>
      <c r="G195" s="54"/>
      <c r="H195" s="54"/>
      <c r="I195" s="52">
        <f t="shared" si="7"/>
        <v>6.6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3">
        <f>109+14</f>
        <v>123</v>
      </c>
      <c r="C196" s="63">
        <v>2</v>
      </c>
      <c r="D196" s="63">
        <f>14+14</f>
        <v>28</v>
      </c>
      <c r="E196" s="54"/>
      <c r="F196" s="54"/>
      <c r="G196" s="54"/>
      <c r="H196" s="54"/>
      <c r="I196" s="52">
        <f t="shared" si="7"/>
        <v>5.6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63">
        <f>120</f>
        <v>120</v>
      </c>
      <c r="C197" s="63"/>
      <c r="D197" s="63"/>
      <c r="E197" s="54"/>
      <c r="F197" s="54"/>
      <c r="G197" s="54"/>
      <c r="H197" s="54"/>
      <c r="I197" s="52">
        <f t="shared" si="7"/>
        <v>5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3">
        <f>127+14</f>
        <v>141</v>
      </c>
      <c r="C198" s="63">
        <v>3</v>
      </c>
      <c r="D198" s="63">
        <f>14+11</f>
        <v>25</v>
      </c>
      <c r="E198" s="54"/>
      <c r="F198" s="54"/>
      <c r="G198" s="54"/>
      <c r="H198" s="54"/>
      <c r="I198" s="52">
        <f t="shared" si="7"/>
        <v>4.2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63">
        <f>133</f>
        <v>133</v>
      </c>
      <c r="C199" s="63"/>
      <c r="D199" s="63"/>
      <c r="E199" s="54"/>
      <c r="F199" s="54"/>
      <c r="G199" s="54"/>
      <c r="H199" s="54"/>
      <c r="I199" s="52">
        <f t="shared" si="7"/>
        <v>3.4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63">
        <f>140+9</f>
        <v>149</v>
      </c>
      <c r="C200" s="63">
        <v>4</v>
      </c>
      <c r="D200" s="63">
        <f>9+7</f>
        <v>16</v>
      </c>
      <c r="E200" s="54"/>
      <c r="F200" s="54"/>
      <c r="G200" s="54"/>
      <c r="H200" s="54"/>
      <c r="I200" s="52">
        <f t="shared" si="7"/>
        <v>3.2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63">
        <f>146</f>
        <v>146</v>
      </c>
      <c r="C201" s="63"/>
      <c r="D201" s="63"/>
      <c r="E201" s="54"/>
      <c r="F201" s="54"/>
      <c r="G201" s="54"/>
      <c r="H201" s="54"/>
      <c r="I201" s="52">
        <f t="shared" si="7"/>
        <v>2.6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63">
        <f>151+6</f>
        <v>157</v>
      </c>
      <c r="C202" s="63">
        <v>5</v>
      </c>
      <c r="D202" s="63">
        <f>7+6</f>
        <v>13</v>
      </c>
      <c r="E202" s="54"/>
      <c r="F202" s="54"/>
      <c r="G202" s="54"/>
      <c r="H202" s="54"/>
      <c r="I202" s="52">
        <f t="shared" si="7"/>
        <v>2.2000000000000002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75</v>
      </c>
      <c r="B203" s="63">
        <f>155</f>
        <v>155</v>
      </c>
      <c r="C203" s="63"/>
      <c r="D203" s="63"/>
      <c r="E203" s="54"/>
      <c r="F203" s="54"/>
      <c r="G203" s="54"/>
      <c r="H203" s="54"/>
      <c r="I203" s="52">
        <f t="shared" si="7"/>
        <v>2.2000000000000002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80</v>
      </c>
      <c r="B204" s="63">
        <f>160+4</f>
        <v>164</v>
      </c>
      <c r="C204" s="63">
        <v>6</v>
      </c>
      <c r="D204" s="63">
        <f>B204</f>
        <v>164</v>
      </c>
      <c r="E204" s="54"/>
      <c r="F204" s="54"/>
      <c r="G204" s="54"/>
      <c r="H204" s="54"/>
      <c r="I204" s="52">
        <f t="shared" si="7"/>
        <v>1.8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63"/>
      <c r="C205" s="63"/>
      <c r="D205" s="6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63"/>
      <c r="C206" s="63"/>
      <c r="D206" s="6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63"/>
      <c r="C207" s="63"/>
      <c r="D207" s="6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63"/>
      <c r="C208" s="63"/>
      <c r="D208" s="6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63"/>
      <c r="C209" s="63"/>
      <c r="D209" s="6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63"/>
      <c r="C210" s="63"/>
      <c r="D210" s="6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63"/>
      <c r="C211" s="63"/>
      <c r="D211" s="6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Charme</v>
      </c>
      <c r="C214" s="25" t="s">
        <v>331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0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15</v>
      </c>
      <c r="B218" s="63">
        <f>53/1.56</f>
        <v>33.974358974358971</v>
      </c>
      <c r="C218" s="63"/>
      <c r="D218" s="63"/>
      <c r="E218" s="66"/>
      <c r="F218" s="66"/>
      <c r="G218" s="66"/>
      <c r="H218" s="66"/>
      <c r="I218" s="56">
        <f>IFERROR(B218/A218,"")</f>
        <v>2.2649572649572649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20</v>
      </c>
      <c r="B219" s="63">
        <f>(89+10)/1.56</f>
        <v>63.46153846153846</v>
      </c>
      <c r="C219" s="63"/>
      <c r="D219" s="63"/>
      <c r="E219" s="66"/>
      <c r="F219" s="66"/>
      <c r="G219" s="66"/>
      <c r="H219" s="66"/>
      <c r="I219" s="56">
        <f t="shared" ref="I219:I237" si="8">IF(A219&lt;&gt;0,(B219-(B218-D218))/(A219-A218),"")</f>
        <v>5.8974358974358978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25</v>
      </c>
      <c r="B220" s="63">
        <f>(123+10+14)/1.56</f>
        <v>94.230769230769226</v>
      </c>
      <c r="C220" s="63">
        <v>1</v>
      </c>
      <c r="D220" s="63">
        <f>(10+14+18)/1.56</f>
        <v>26.923076923076923</v>
      </c>
      <c r="E220" s="66"/>
      <c r="F220" s="66"/>
      <c r="G220" s="66"/>
      <c r="H220" s="66"/>
      <c r="I220" s="56">
        <f t="shared" si="8"/>
        <v>6.1538461538461533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30</v>
      </c>
      <c r="B221" s="63">
        <f>154/1.56</f>
        <v>98.717948717948715</v>
      </c>
      <c r="C221" s="63"/>
      <c r="D221" s="63"/>
      <c r="E221" s="66"/>
      <c r="F221" s="66"/>
      <c r="G221" s="66"/>
      <c r="H221" s="66"/>
      <c r="I221" s="56">
        <f t="shared" si="8"/>
        <v>6.2820512820512819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35</v>
      </c>
      <c r="B222" s="63">
        <f>(182+20)/1.56</f>
        <v>129.48717948717947</v>
      </c>
      <c r="C222" s="63">
        <v>2</v>
      </c>
      <c r="D222" s="63">
        <f>(20+21)/1.56</f>
        <v>26.282051282051281</v>
      </c>
      <c r="E222" s="66"/>
      <c r="F222" s="66"/>
      <c r="G222" s="66"/>
      <c r="H222" s="66"/>
      <c r="I222" s="56">
        <f t="shared" si="8"/>
        <v>6.1538461538461515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40</v>
      </c>
      <c r="B223" s="63">
        <f>206/1.56</f>
        <v>132.05128205128204</v>
      </c>
      <c r="C223" s="63"/>
      <c r="D223" s="63"/>
      <c r="E223" s="66"/>
      <c r="F223" s="66"/>
      <c r="G223" s="66"/>
      <c r="H223" s="66"/>
      <c r="I223" s="56">
        <f t="shared" si="8"/>
        <v>5.7692307692307709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45</v>
      </c>
      <c r="B224" s="63">
        <f>(228+22)/1.56</f>
        <v>160.25641025641025</v>
      </c>
      <c r="C224" s="63">
        <v>3</v>
      </c>
      <c r="D224" s="63">
        <f>(22+22)/1.56</f>
        <v>28.205128205128204</v>
      </c>
      <c r="E224" s="66"/>
      <c r="F224" s="66"/>
      <c r="G224" s="66"/>
      <c r="H224" s="66"/>
      <c r="I224" s="56">
        <f t="shared" si="8"/>
        <v>5.6410256410256405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>
        <v>50</v>
      </c>
      <c r="B225" s="63">
        <f>247/1.56</f>
        <v>158.33333333333331</v>
      </c>
      <c r="C225" s="63"/>
      <c r="D225" s="63"/>
      <c r="E225" s="66"/>
      <c r="F225" s="66"/>
      <c r="G225" s="66"/>
      <c r="H225" s="66"/>
      <c r="I225" s="56">
        <f t="shared" si="8"/>
        <v>5.2564102564102537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>
        <v>55</v>
      </c>
      <c r="B226" s="63">
        <f>(263+22)/1.56</f>
        <v>182.69230769230768</v>
      </c>
      <c r="C226" s="63">
        <v>4</v>
      </c>
      <c r="D226" s="63">
        <f>(22+22)/1.56</f>
        <v>28.205128205128204</v>
      </c>
      <c r="E226" s="66"/>
      <c r="F226" s="66"/>
      <c r="G226" s="66"/>
      <c r="H226" s="66"/>
      <c r="I226" s="56">
        <f t="shared" si="8"/>
        <v>4.8717948717948731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>
        <v>60</v>
      </c>
      <c r="B227" s="63">
        <f>278/1.56</f>
        <v>178.2051282051282</v>
      </c>
      <c r="C227" s="63"/>
      <c r="D227" s="63"/>
      <c r="E227" s="66"/>
      <c r="F227" s="66"/>
      <c r="G227" s="66"/>
      <c r="H227" s="66"/>
      <c r="I227" s="56">
        <f t="shared" si="8"/>
        <v>4.7435897435897463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65</v>
      </c>
      <c r="B228" s="63">
        <f>(291+22)/1.56</f>
        <v>200.64102564102564</v>
      </c>
      <c r="C228" s="63">
        <v>5</v>
      </c>
      <c r="D228" s="63">
        <f>(22+22)/1.56</f>
        <v>28.205128205128204</v>
      </c>
      <c r="E228" s="66"/>
      <c r="F228" s="66"/>
      <c r="G228" s="66"/>
      <c r="H228" s="66"/>
      <c r="I228" s="56">
        <f t="shared" si="8"/>
        <v>4.4871794871794863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70</v>
      </c>
      <c r="B229" s="63">
        <f>303/1.56</f>
        <v>194.23076923076923</v>
      </c>
      <c r="C229" s="63"/>
      <c r="D229" s="63"/>
      <c r="E229" s="66"/>
      <c r="F229" s="66"/>
      <c r="G229" s="66"/>
      <c r="H229" s="66"/>
      <c r="I229" s="56">
        <f t="shared" si="8"/>
        <v>4.3589743589743595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75</v>
      </c>
      <c r="B230" s="63">
        <f>(313+21)/1.56</f>
        <v>214.10256410256409</v>
      </c>
      <c r="C230" s="63">
        <v>6</v>
      </c>
      <c r="D230" s="63">
        <f>(21+21)/1.56</f>
        <v>26.923076923076923</v>
      </c>
      <c r="E230" s="66"/>
      <c r="F230" s="66"/>
      <c r="G230" s="66"/>
      <c r="H230" s="66"/>
      <c r="I230" s="56">
        <f t="shared" si="8"/>
        <v>3.9743589743589722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80</v>
      </c>
      <c r="B231" s="63">
        <f>322/1.56</f>
        <v>206.41025641025641</v>
      </c>
      <c r="C231" s="63"/>
      <c r="D231" s="63"/>
      <c r="E231" s="66"/>
      <c r="F231" s="66"/>
      <c r="G231" s="66"/>
      <c r="H231" s="66"/>
      <c r="I231" s="56">
        <f t="shared" si="8"/>
        <v>3.8461538461538511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85</v>
      </c>
      <c r="B232" s="63">
        <f>(331+20)/1.56</f>
        <v>225</v>
      </c>
      <c r="C232" s="63">
        <v>7</v>
      </c>
      <c r="D232" s="63">
        <f>(20+20)/1.56</f>
        <v>25.641025641025639</v>
      </c>
      <c r="E232" s="66"/>
      <c r="F232" s="66"/>
      <c r="G232" s="66"/>
      <c r="H232" s="66"/>
      <c r="I232" s="56">
        <f t="shared" si="8"/>
        <v>3.7179487179487181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90</v>
      </c>
      <c r="B233" s="63">
        <f>339/1.56</f>
        <v>217.30769230769229</v>
      </c>
      <c r="C233" s="63"/>
      <c r="D233" s="63"/>
      <c r="E233" s="66"/>
      <c r="F233" s="66"/>
      <c r="G233" s="66"/>
      <c r="H233" s="66"/>
      <c r="I233" s="56">
        <f t="shared" si="8"/>
        <v>3.5897435897435854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>
        <v>95</v>
      </c>
      <c r="B234" s="63">
        <f>(346+19)/1.56</f>
        <v>233.97435897435898</v>
      </c>
      <c r="C234" s="63">
        <v>8</v>
      </c>
      <c r="D234" s="63">
        <f>(19+18)/1.56</f>
        <v>23.717948717948715</v>
      </c>
      <c r="E234" s="66"/>
      <c r="F234" s="66"/>
      <c r="G234" s="66"/>
      <c r="H234" s="66"/>
      <c r="I234" s="56">
        <f t="shared" si="8"/>
        <v>3.333333333333337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>
        <v>100</v>
      </c>
      <c r="B235" s="63">
        <f>353/1.56</f>
        <v>226.28205128205127</v>
      </c>
      <c r="C235" s="63"/>
      <c r="D235" s="63"/>
      <c r="E235" s="66"/>
      <c r="F235" s="66"/>
      <c r="G235" s="66"/>
      <c r="H235" s="66"/>
      <c r="I235" s="56">
        <f t="shared" si="8"/>
        <v>3.2051282051281986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>
        <v>110</v>
      </c>
      <c r="B236" s="63">
        <f>(366+17+18)/1.56</f>
        <v>257.05128205128204</v>
      </c>
      <c r="C236" s="63">
        <v>9</v>
      </c>
      <c r="D236" s="63">
        <f>(17+17+18)/1.56</f>
        <v>33.333333333333336</v>
      </c>
      <c r="E236" s="66"/>
      <c r="F236" s="66"/>
      <c r="G236" s="66"/>
      <c r="H236" s="66"/>
      <c r="I236" s="56">
        <f t="shared" si="8"/>
        <v>3.0769230769230775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>
        <v>120</v>
      </c>
      <c r="B237" s="63">
        <f>(376+16)/1.56</f>
        <v>251.28205128205127</v>
      </c>
      <c r="C237" s="63">
        <v>10</v>
      </c>
      <c r="D237" s="63">
        <f>B237</f>
        <v>251.28205128205127</v>
      </c>
      <c r="E237" s="66"/>
      <c r="F237" s="66"/>
      <c r="G237" s="66"/>
      <c r="H237" s="66"/>
      <c r="I237" s="56">
        <f t="shared" si="8"/>
        <v>2.7564102564102568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Cormier</v>
      </c>
      <c r="C240" s="25" t="s">
        <v>326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0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20</v>
      </c>
      <c r="B244" s="63">
        <f>21+0</f>
        <v>21</v>
      </c>
      <c r="C244" s="63"/>
      <c r="D244" s="63"/>
      <c r="E244" s="54"/>
      <c r="F244" s="54"/>
      <c r="G244" s="54"/>
      <c r="H244" s="54"/>
      <c r="I244" s="56">
        <f>IFERROR(B244/A244,"")</f>
        <v>1.05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25</v>
      </c>
      <c r="B245" s="63">
        <f>36+0+0</f>
        <v>36</v>
      </c>
      <c r="C245" s="63"/>
      <c r="D245" s="63"/>
      <c r="E245" s="54"/>
      <c r="F245" s="54"/>
      <c r="G245" s="54"/>
      <c r="H245" s="54"/>
      <c r="I245" s="56">
        <f>IF(A245&lt;&gt;0,(B245-(B244-D244))/(A245-A244),"")</f>
        <v>3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30</v>
      </c>
      <c r="B246" s="63">
        <f>45+0+0+9</f>
        <v>54</v>
      </c>
      <c r="C246" s="63"/>
      <c r="D246" s="63"/>
      <c r="E246" s="54"/>
      <c r="F246" s="54"/>
      <c r="G246" s="54"/>
      <c r="H246" s="54"/>
      <c r="I246" s="56">
        <f>IF(A246&lt;&gt;0,(B246-(B245-D245))/(A246-A245),"")</f>
        <v>3.6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35</v>
      </c>
      <c r="B247" s="63">
        <f>55+9+8</f>
        <v>72</v>
      </c>
      <c r="C247" s="63">
        <v>1</v>
      </c>
      <c r="D247" s="63">
        <f>9+8</f>
        <v>17</v>
      </c>
      <c r="E247" s="54"/>
      <c r="F247" s="54"/>
      <c r="G247" s="54"/>
      <c r="H247" s="54"/>
      <c r="I247" s="56">
        <f t="shared" ref="I247:I263" si="9">IF(A247&lt;&gt;0,(B247-(B246-D246))/(A247-A246),"")</f>
        <v>3.6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40</v>
      </c>
      <c r="B248" s="63">
        <f>66+9</f>
        <v>75</v>
      </c>
      <c r="C248" s="63"/>
      <c r="D248" s="63"/>
      <c r="E248" s="54"/>
      <c r="F248" s="54"/>
      <c r="G248" s="54"/>
      <c r="H248" s="54"/>
      <c r="I248" s="56">
        <f t="shared" si="9"/>
        <v>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45</v>
      </c>
      <c r="B249" s="63">
        <f>76+9+9</f>
        <v>94</v>
      </c>
      <c r="C249" s="63">
        <v>2</v>
      </c>
      <c r="D249" s="63">
        <f>9+9</f>
        <v>18</v>
      </c>
      <c r="E249" s="54"/>
      <c r="F249" s="54"/>
      <c r="G249" s="54"/>
      <c r="H249" s="54"/>
      <c r="I249" s="56">
        <f t="shared" si="9"/>
        <v>3.8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50</v>
      </c>
      <c r="B250" s="63">
        <f>86+9</f>
        <v>95</v>
      </c>
      <c r="C250" s="63"/>
      <c r="D250" s="63"/>
      <c r="E250" s="54"/>
      <c r="F250" s="54"/>
      <c r="G250" s="54"/>
      <c r="H250" s="54"/>
      <c r="I250" s="56">
        <f t="shared" si="9"/>
        <v>3.8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>
        <v>55</v>
      </c>
      <c r="B251" s="63">
        <f>96+9+10</f>
        <v>115</v>
      </c>
      <c r="C251" s="63">
        <v>3</v>
      </c>
      <c r="D251" s="63">
        <f>9+10</f>
        <v>19</v>
      </c>
      <c r="E251" s="54"/>
      <c r="F251" s="54"/>
      <c r="G251" s="54"/>
      <c r="H251" s="54"/>
      <c r="I251" s="56">
        <f t="shared" si="9"/>
        <v>4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>
        <v>60</v>
      </c>
      <c r="B252" s="63">
        <f>105+10</f>
        <v>115</v>
      </c>
      <c r="C252" s="63"/>
      <c r="D252" s="63"/>
      <c r="E252" s="54"/>
      <c r="F252" s="54"/>
      <c r="G252" s="54"/>
      <c r="H252" s="54"/>
      <c r="I252" s="56">
        <f t="shared" si="9"/>
        <v>3.8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3">
        <v>65</v>
      </c>
      <c r="B253" s="63">
        <f>114+10+10</f>
        <v>134</v>
      </c>
      <c r="C253" s="63">
        <v>4</v>
      </c>
      <c r="D253" s="63">
        <f>10+10</f>
        <v>20</v>
      </c>
      <c r="E253" s="54"/>
      <c r="F253" s="54"/>
      <c r="G253" s="54"/>
      <c r="H253" s="54"/>
      <c r="I253" s="56">
        <f t="shared" si="9"/>
        <v>3.8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3">
        <v>70</v>
      </c>
      <c r="B254" s="63">
        <f>122+10</f>
        <v>132</v>
      </c>
      <c r="C254" s="63"/>
      <c r="D254" s="63"/>
      <c r="E254" s="54"/>
      <c r="F254" s="54"/>
      <c r="G254" s="54"/>
      <c r="H254" s="54"/>
      <c r="I254" s="56">
        <f t="shared" si="9"/>
        <v>3.6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3">
        <v>75</v>
      </c>
      <c r="B255" s="63">
        <f>129+10+10</f>
        <v>149</v>
      </c>
      <c r="C255" s="63">
        <v>5</v>
      </c>
      <c r="D255" s="63">
        <f>10+10</f>
        <v>20</v>
      </c>
      <c r="E255" s="54"/>
      <c r="F255" s="54"/>
      <c r="G255" s="54"/>
      <c r="H255" s="54"/>
      <c r="I255" s="56">
        <f t="shared" si="9"/>
        <v>3.4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3">
        <v>80</v>
      </c>
      <c r="B256" s="63">
        <f>137+9</f>
        <v>146</v>
      </c>
      <c r="C256" s="63"/>
      <c r="D256" s="63"/>
      <c r="E256" s="54"/>
      <c r="F256" s="54"/>
      <c r="G256" s="54"/>
      <c r="H256" s="54"/>
      <c r="I256" s="56">
        <f t="shared" si="9"/>
        <v>3.4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53">
        <v>85</v>
      </c>
      <c r="B257" s="63">
        <f>143+9+9</f>
        <v>161</v>
      </c>
      <c r="C257" s="63">
        <v>6</v>
      </c>
      <c r="D257" s="63">
        <f>9+9</f>
        <v>18</v>
      </c>
      <c r="E257" s="54"/>
      <c r="F257" s="54"/>
      <c r="G257" s="54"/>
      <c r="H257" s="54"/>
      <c r="I257" s="56">
        <f t="shared" si="9"/>
        <v>3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>
        <v>90</v>
      </c>
      <c r="B258" s="63">
        <f>150+9</f>
        <v>159</v>
      </c>
      <c r="C258" s="63"/>
      <c r="D258" s="63"/>
      <c r="E258" s="54"/>
      <c r="F258" s="54"/>
      <c r="G258" s="54"/>
      <c r="H258" s="54"/>
      <c r="I258" s="56">
        <f t="shared" si="9"/>
        <v>3.2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>
        <v>95</v>
      </c>
      <c r="B259" s="63">
        <f>155+9+9</f>
        <v>173</v>
      </c>
      <c r="C259" s="63">
        <v>7</v>
      </c>
      <c r="D259" s="63">
        <f>9+9</f>
        <v>18</v>
      </c>
      <c r="E259" s="54"/>
      <c r="F259" s="54"/>
      <c r="G259" s="54"/>
      <c r="H259" s="54"/>
      <c r="I259" s="56">
        <f t="shared" si="9"/>
        <v>2.8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>
        <v>100</v>
      </c>
      <c r="B260" s="63">
        <f>161+9</f>
        <v>170</v>
      </c>
      <c r="C260" s="63"/>
      <c r="D260" s="63"/>
      <c r="E260" s="57"/>
      <c r="F260" s="57"/>
      <c r="G260" s="57"/>
      <c r="H260" s="57"/>
      <c r="I260" s="56">
        <f t="shared" si="9"/>
        <v>3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>
        <v>105</v>
      </c>
      <c r="B261" s="63">
        <f>166+9+9</f>
        <v>184</v>
      </c>
      <c r="C261" s="53">
        <v>8</v>
      </c>
      <c r="D261" s="63">
        <f>9+9</f>
        <v>18</v>
      </c>
      <c r="E261" s="54"/>
      <c r="F261" s="54"/>
      <c r="G261" s="54"/>
      <c r="H261" s="54"/>
      <c r="I261" s="56">
        <f t="shared" si="9"/>
        <v>2.8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>
        <v>110</v>
      </c>
      <c r="B262" s="63">
        <f>171+10</f>
        <v>181</v>
      </c>
      <c r="C262" s="53"/>
      <c r="D262" s="63"/>
      <c r="E262" s="54"/>
      <c r="F262" s="54"/>
      <c r="G262" s="54"/>
      <c r="H262" s="54"/>
      <c r="I262" s="56">
        <f t="shared" si="9"/>
        <v>3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>
        <v>120</v>
      </c>
      <c r="B263" s="63">
        <f>181+10+10+10</f>
        <v>211</v>
      </c>
      <c r="C263" s="53">
        <v>9</v>
      </c>
      <c r="D263" s="63">
        <f>B263</f>
        <v>211</v>
      </c>
      <c r="E263" s="54"/>
      <c r="F263" s="54"/>
      <c r="G263" s="54"/>
      <c r="H263" s="54"/>
      <c r="I263" s="56">
        <f t="shared" si="9"/>
        <v>3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Tilleul</v>
      </c>
      <c r="C266" s="25" t="s">
        <v>325</v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0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>
        <v>15</v>
      </c>
      <c r="B270" s="63">
        <f>(65)/1.56</f>
        <v>41.666666666666664</v>
      </c>
      <c r="C270" s="53"/>
      <c r="D270" s="63"/>
      <c r="E270" s="54"/>
      <c r="F270" s="54"/>
      <c r="G270" s="54"/>
      <c r="H270" s="54"/>
      <c r="I270" s="56">
        <f>IFERROR(B270/A270,"")</f>
        <v>2.7777777777777777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>
        <v>20</v>
      </c>
      <c r="B271" s="63">
        <f>(109+14)/1.56</f>
        <v>78.84615384615384</v>
      </c>
      <c r="C271" s="53"/>
      <c r="D271" s="63"/>
      <c r="E271" s="54"/>
      <c r="F271" s="54"/>
      <c r="G271" s="54"/>
      <c r="H271" s="54"/>
      <c r="I271" s="56">
        <f>IF(A271&lt;&gt;0,(B271-(B270-D270))/(A271-A270),"")</f>
        <v>7.4358974358974352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>
        <v>25</v>
      </c>
      <c r="B272" s="63">
        <f>(150+14+20)/1.56</f>
        <v>117.94871794871794</v>
      </c>
      <c r="C272" s="53">
        <v>1</v>
      </c>
      <c r="D272" s="63">
        <f>(14+20+23)/1.56</f>
        <v>36.53846153846154</v>
      </c>
      <c r="E272" s="54"/>
      <c r="F272" s="54"/>
      <c r="G272" s="54"/>
      <c r="H272" s="54">
        <v>1</v>
      </c>
      <c r="I272" s="56">
        <f t="shared" ref="I272:I289" si="10">IF(A272&lt;&gt;0,(B272-(B271-D271))/(A272-A271),"")</f>
        <v>7.8205128205128203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>
        <v>30</v>
      </c>
      <c r="B273" s="63">
        <f>(187)/1.56</f>
        <v>119.87179487179486</v>
      </c>
      <c r="C273" s="53"/>
      <c r="D273" s="63"/>
      <c r="E273" s="54"/>
      <c r="F273" s="54"/>
      <c r="G273" s="54"/>
      <c r="H273" s="54"/>
      <c r="I273" s="56">
        <f t="shared" si="10"/>
        <v>7.6923076923076907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>
        <v>35</v>
      </c>
      <c r="B274" s="63">
        <f>(219+24)/1.56</f>
        <v>155.76923076923077</v>
      </c>
      <c r="C274" s="53">
        <v>2</v>
      </c>
      <c r="D274" s="63">
        <f>(24+25)/1.56</f>
        <v>31.410256410256409</v>
      </c>
      <c r="E274" s="54"/>
      <c r="F274" s="54"/>
      <c r="G274" s="54"/>
      <c r="H274" s="54"/>
      <c r="I274" s="56">
        <f t="shared" si="10"/>
        <v>7.1794871794871824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>
        <v>40</v>
      </c>
      <c r="B275" s="63">
        <f>(248)/1.56</f>
        <v>158.97435897435898</v>
      </c>
      <c r="C275" s="53"/>
      <c r="D275" s="63"/>
      <c r="E275" s="54"/>
      <c r="F275" s="54"/>
      <c r="G275" s="54"/>
      <c r="H275" s="54"/>
      <c r="I275" s="56">
        <f t="shared" si="10"/>
        <v>6.9230769230769225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>
        <v>45</v>
      </c>
      <c r="B276" s="63">
        <f>(272+25)/1.56</f>
        <v>190.38461538461539</v>
      </c>
      <c r="C276" s="63">
        <v>3</v>
      </c>
      <c r="D276" s="63">
        <f>(25+24)/1.56</f>
        <v>31.410256410256409</v>
      </c>
      <c r="E276" s="92"/>
      <c r="F276" s="92"/>
      <c r="G276" s="92"/>
      <c r="H276" s="92"/>
      <c r="I276" s="56">
        <f t="shared" si="10"/>
        <v>6.2820512820512819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63">
        <v>50</v>
      </c>
      <c r="B277" s="63">
        <f>(294)/1.56</f>
        <v>188.46153846153845</v>
      </c>
      <c r="C277" s="63"/>
      <c r="D277" s="63"/>
      <c r="E277" s="92"/>
      <c r="F277" s="92"/>
      <c r="G277" s="92"/>
      <c r="H277" s="92"/>
      <c r="I277" s="56">
        <f t="shared" si="10"/>
        <v>5.8974358974358951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63">
        <v>55</v>
      </c>
      <c r="B278" s="63">
        <f>(314+24)/1.56</f>
        <v>216.66666666666666</v>
      </c>
      <c r="C278" s="63">
        <v>4</v>
      </c>
      <c r="D278" s="63">
        <f>(24+23)/1.56</f>
        <v>30.128205128205128</v>
      </c>
      <c r="E278" s="92"/>
      <c r="F278" s="92"/>
      <c r="G278" s="92"/>
      <c r="H278" s="92"/>
      <c r="I278" s="56">
        <f t="shared" si="10"/>
        <v>5.6410256410256405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63">
        <v>60</v>
      </c>
      <c r="B279" s="63">
        <f>(332)/1.56</f>
        <v>212.82051282051282</v>
      </c>
      <c r="C279" s="63"/>
      <c r="D279" s="63"/>
      <c r="E279" s="92"/>
      <c r="F279" s="92"/>
      <c r="G279" s="92"/>
      <c r="H279" s="92"/>
      <c r="I279" s="56">
        <f t="shared" si="10"/>
        <v>5.2564102564102599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63">
        <v>65</v>
      </c>
      <c r="B280" s="63">
        <f>(347+22)/1.56</f>
        <v>236.53846153846152</v>
      </c>
      <c r="C280" s="63">
        <v>5</v>
      </c>
      <c r="D280" s="63">
        <f>(22+21)/1.56</f>
        <v>27.564102564102562</v>
      </c>
      <c r="E280" s="92"/>
      <c r="F280" s="92"/>
      <c r="G280" s="92"/>
      <c r="H280" s="92"/>
      <c r="I280" s="56">
        <f t="shared" si="10"/>
        <v>4.7435897435897401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63">
        <v>70</v>
      </c>
      <c r="B281" s="63">
        <f>(362)/1.56</f>
        <v>232.05128205128204</v>
      </c>
      <c r="C281" s="63"/>
      <c r="D281" s="63"/>
      <c r="E281" s="92"/>
      <c r="F281" s="92"/>
      <c r="G281" s="92"/>
      <c r="H281" s="92"/>
      <c r="I281" s="56">
        <f t="shared" si="10"/>
        <v>4.6153846153846185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63">
        <v>75</v>
      </c>
      <c r="B282" s="63">
        <f>(375+20)/1.56</f>
        <v>253.2051282051282</v>
      </c>
      <c r="C282" s="63">
        <v>6</v>
      </c>
      <c r="D282" s="63">
        <f>(20+18)/1.56</f>
        <v>24.358974358974358</v>
      </c>
      <c r="E282" s="67"/>
      <c r="F282" s="67"/>
      <c r="G282" s="67"/>
      <c r="H282" s="67"/>
      <c r="I282" s="56">
        <f t="shared" si="10"/>
        <v>4.2307692307692317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63">
        <v>80</v>
      </c>
      <c r="B283" s="63">
        <f>(390)/1.56</f>
        <v>250</v>
      </c>
      <c r="C283" s="63"/>
      <c r="D283" s="63"/>
      <c r="E283" s="67"/>
      <c r="F283" s="67"/>
      <c r="G283" s="67"/>
      <c r="H283" s="67"/>
      <c r="I283" s="56">
        <f t="shared" si="10"/>
        <v>4.2307692307692317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63">
        <v>85</v>
      </c>
      <c r="B284" s="63">
        <f>(401+19)/1.56</f>
        <v>269.23076923076923</v>
      </c>
      <c r="C284" s="53">
        <v>7</v>
      </c>
      <c r="D284" s="63">
        <f>(19+18)/1.56</f>
        <v>23.717948717948715</v>
      </c>
      <c r="E284" s="57"/>
      <c r="F284" s="57"/>
      <c r="G284" s="57"/>
      <c r="H284" s="57"/>
      <c r="I284" s="56">
        <f t="shared" si="10"/>
        <v>3.8461538461538454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63">
        <v>90</v>
      </c>
      <c r="B285" s="63">
        <f>(411)/1.56</f>
        <v>263.46153846153845</v>
      </c>
      <c r="C285" s="53"/>
      <c r="D285" s="63"/>
      <c r="E285" s="57"/>
      <c r="F285" s="57"/>
      <c r="G285" s="57"/>
      <c r="H285" s="57"/>
      <c r="I285" s="56">
        <f t="shared" si="10"/>
        <v>3.5897435897435912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63">
        <v>95</v>
      </c>
      <c r="B286" s="63">
        <f>(421+18)/1.56</f>
        <v>281.41025641025641</v>
      </c>
      <c r="C286" s="53">
        <v>8</v>
      </c>
      <c r="D286" s="63">
        <f>(18+17)/1.56</f>
        <v>22.435897435897434</v>
      </c>
      <c r="E286" s="57"/>
      <c r="F286" s="57"/>
      <c r="G286" s="57"/>
      <c r="H286" s="57"/>
      <c r="I286" s="56">
        <f t="shared" si="10"/>
        <v>3.5897435897435912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>
        <v>100</v>
      </c>
      <c r="B287" s="63">
        <f>(430)/1.56</f>
        <v>275.64102564102564</v>
      </c>
      <c r="C287" s="53"/>
      <c r="D287" s="63"/>
      <c r="E287" s="57"/>
      <c r="F287" s="57"/>
      <c r="G287" s="57"/>
      <c r="H287" s="57"/>
      <c r="I287" s="56">
        <f t="shared" si="10"/>
        <v>3.333333333333337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>
        <v>105</v>
      </c>
      <c r="B288" s="63">
        <f>(438+16)/1.56</f>
        <v>291.02564102564099</v>
      </c>
      <c r="C288" s="53">
        <v>9</v>
      </c>
      <c r="D288" s="63">
        <f>(16+16)/1.56</f>
        <v>20.512820512820511</v>
      </c>
      <c r="E288" s="57"/>
      <c r="F288" s="57"/>
      <c r="G288" s="57"/>
      <c r="H288" s="57"/>
      <c r="I288" s="56">
        <f t="shared" si="10"/>
        <v>3.0769230769230718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>
        <v>110</v>
      </c>
      <c r="B289" s="63">
        <f>(446)/1.56</f>
        <v>285.89743589743591</v>
      </c>
      <c r="C289" s="53">
        <v>10</v>
      </c>
      <c r="D289" s="63">
        <f>B289</f>
        <v>285.89743589743591</v>
      </c>
      <c r="E289" s="57"/>
      <c r="F289" s="57"/>
      <c r="G289" s="57"/>
      <c r="H289" s="57"/>
      <c r="I289" s="56">
        <f t="shared" si="10"/>
        <v>3.0769230769230829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4" zoomScaleNormal="100" workbookViewId="0">
      <selection activeCell="C28" sqref="C2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0" bestFit="1" customWidth="1"/>
    <col min="2" max="4" width="11.44140625" style="70"/>
    <col min="5" max="5" width="9.5546875" style="70" customWidth="1"/>
    <col min="6" max="7" width="11.44140625" style="70"/>
    <col min="8" max="8" width="10.6640625" style="70" customWidth="1"/>
    <col min="9" max="9" width="9.44140625" style="70" customWidth="1"/>
    <col min="10" max="11" width="10.5546875" style="70" bestFit="1" customWidth="1"/>
    <col min="12" max="12" width="14" style="70" bestFit="1" customWidth="1"/>
    <col min="13" max="13" width="14" style="70" customWidth="1"/>
    <col min="14" max="23" width="11.44140625" style="70"/>
    <col min="24" max="24" width="11.6640625" style="70" bestFit="1" customWidth="1"/>
    <col min="25" max="25" width="14.5546875" style="70" bestFit="1" customWidth="1"/>
    <col min="26" max="26" width="12.44140625" style="70" bestFit="1" customWidth="1"/>
    <col min="27" max="27" width="9.6640625" style="70" bestFit="1" customWidth="1"/>
    <col min="28" max="28" width="11" style="70" bestFit="1" customWidth="1"/>
    <col min="29" max="29" width="9.44140625" style="70" bestFit="1" customWidth="1"/>
    <col min="30" max="31" width="9.44140625" style="70" customWidth="1"/>
    <col min="32" max="32" width="11.44140625" style="70"/>
    <col min="33" max="34" width="14" style="70" bestFit="1" customWidth="1"/>
    <col min="35" max="35" width="10.5546875" style="70" bestFit="1" customWidth="1"/>
    <col min="36" max="36" width="9.44140625" style="70" bestFit="1" customWidth="1"/>
    <col min="37" max="38" width="10.5546875" style="70" bestFit="1" customWidth="1"/>
    <col min="39" max="41" width="10.5546875" style="70" customWidth="1"/>
    <col min="42" max="42" width="9" style="70" bestFit="1" customWidth="1"/>
    <col min="43" max="43" width="10.5546875" style="70" bestFit="1" customWidth="1"/>
    <col min="44" max="44" width="9.33203125" style="70" bestFit="1" customWidth="1"/>
    <col min="45" max="45" width="11.6640625" style="70" bestFit="1" customWidth="1"/>
    <col min="46" max="46" width="8.44140625" style="70" bestFit="1" customWidth="1"/>
    <col min="47" max="47" width="9.44140625" style="70" bestFit="1" customWidth="1"/>
    <col min="48" max="48" width="9.6640625" style="70" bestFit="1" customWidth="1"/>
    <col min="49" max="49" width="11" style="70" bestFit="1" customWidth="1"/>
    <col min="50" max="50" width="9.44140625" style="70" bestFit="1" customWidth="1"/>
    <col min="51" max="52" width="9.44140625" style="70" customWidth="1"/>
    <col min="53" max="53" width="10.5546875" style="70" bestFit="1" customWidth="1"/>
    <col min="54" max="54" width="14.33203125" style="70" customWidth="1"/>
    <col min="55" max="55" width="14" style="70" customWidth="1"/>
    <col min="56" max="56" width="10.5546875" style="70" bestFit="1" customWidth="1"/>
    <col min="57" max="57" width="9.44140625" style="70" bestFit="1" customWidth="1"/>
    <col min="58" max="59" width="10.5546875" style="70" bestFit="1" customWidth="1"/>
    <col min="60" max="62" width="10.5546875" style="70" customWidth="1"/>
    <col min="63" max="63" width="9" style="70" bestFit="1" customWidth="1"/>
    <col min="64" max="64" width="10.5546875" style="70" bestFit="1" customWidth="1"/>
    <col min="65" max="65" width="9.33203125" style="70" bestFit="1" customWidth="1"/>
    <col min="66" max="66" width="11.6640625" style="70" bestFit="1" customWidth="1"/>
    <col min="67" max="67" width="8.44140625" style="70" bestFit="1" customWidth="1"/>
    <col min="68" max="68" width="9.44140625" style="70" bestFit="1" customWidth="1"/>
    <col min="69" max="69" width="9.6640625" style="70" bestFit="1" customWidth="1"/>
    <col min="70" max="70" width="11" style="70" bestFit="1" customWidth="1"/>
    <col min="71" max="71" width="9.44140625" style="70" bestFit="1" customWidth="1"/>
    <col min="72" max="73" width="9.44140625" style="70" customWidth="1"/>
    <col min="74" max="74" width="10.5546875" style="70" bestFit="1" customWidth="1"/>
    <col min="75" max="75" width="14" style="70" bestFit="1" customWidth="1"/>
    <col min="76" max="76" width="13.88671875" style="70" customWidth="1"/>
    <col min="77" max="77" width="10.5546875" style="70" bestFit="1" customWidth="1"/>
    <col min="78" max="78" width="9.44140625" style="70" bestFit="1" customWidth="1"/>
    <col min="79" max="80" width="10.5546875" style="70" bestFit="1" customWidth="1"/>
    <col min="81" max="83" width="10.5546875" style="70" customWidth="1"/>
    <col min="84" max="84" width="11.44140625" style="70"/>
    <col min="85" max="85" width="10.5546875" style="70" bestFit="1" customWidth="1"/>
    <col min="86" max="86" width="9.33203125" style="70" bestFit="1" customWidth="1"/>
    <col min="87" max="87" width="11.6640625" style="70" bestFit="1" customWidth="1"/>
    <col min="88" max="88" width="8.44140625" style="70" bestFit="1" customWidth="1"/>
    <col min="89" max="89" width="9.44140625" style="70" bestFit="1" customWidth="1"/>
    <col min="90" max="90" width="9.6640625" style="70" bestFit="1" customWidth="1"/>
    <col min="91" max="91" width="11" style="70" bestFit="1" customWidth="1"/>
    <col min="92" max="92" width="9.44140625" style="70" bestFit="1" customWidth="1"/>
    <col min="93" max="94" width="9.44140625" style="70" customWidth="1"/>
    <col min="95" max="95" width="11.44140625" style="70"/>
    <col min="96" max="97" width="14" style="70" customWidth="1"/>
    <col min="98" max="98" width="10.5546875" style="70" bestFit="1" customWidth="1"/>
    <col min="99" max="99" width="9.44140625" style="70" bestFit="1" customWidth="1"/>
    <col min="100" max="101" width="10.5546875" style="70" bestFit="1" customWidth="1"/>
    <col min="102" max="104" width="10.5546875" style="70" customWidth="1"/>
    <col min="105" max="105" width="9" style="70" bestFit="1" customWidth="1"/>
    <col min="106" max="106" width="10.5546875" style="70" bestFit="1" customWidth="1"/>
    <col min="107" max="107" width="9.33203125" style="70" bestFit="1" customWidth="1"/>
    <col min="108" max="108" width="11.6640625" style="70" bestFit="1" customWidth="1"/>
    <col min="109" max="109" width="8.44140625" style="70" bestFit="1" customWidth="1"/>
    <col min="110" max="110" width="9.44140625" style="70" bestFit="1" customWidth="1"/>
    <col min="111" max="111" width="9.6640625" style="70" bestFit="1" customWidth="1"/>
    <col min="112" max="112" width="11" style="70" bestFit="1" customWidth="1"/>
    <col min="113" max="113" width="9.44140625" style="70" bestFit="1" customWidth="1"/>
    <col min="114" max="115" width="9.44140625" style="70" customWidth="1"/>
    <col min="116" max="116" width="10.5546875" style="70" bestFit="1" customWidth="1"/>
    <col min="117" max="117" width="14.33203125" style="70" customWidth="1"/>
    <col min="118" max="118" width="14" style="70" bestFit="1" customWidth="1"/>
    <col min="119" max="119" width="10.5546875" style="70" bestFit="1" customWidth="1"/>
    <col min="120" max="120" width="9.44140625" style="70" bestFit="1" customWidth="1"/>
    <col min="121" max="122" width="10.5546875" style="70" bestFit="1" customWidth="1"/>
    <col min="123" max="125" width="10.5546875" style="70" customWidth="1"/>
    <col min="126" max="126" width="9" style="70" bestFit="1" customWidth="1"/>
    <col min="127" max="127" width="10.5546875" style="70" bestFit="1" customWidth="1"/>
    <col min="128" max="128" width="9.33203125" style="70" bestFit="1" customWidth="1"/>
    <col min="129" max="129" width="11.6640625" style="70" bestFit="1" customWidth="1"/>
    <col min="130" max="130" width="8.44140625" style="70" bestFit="1" customWidth="1"/>
    <col min="131" max="131" width="9.44140625" style="70" bestFit="1" customWidth="1"/>
    <col min="132" max="132" width="9.6640625" style="70" bestFit="1" customWidth="1"/>
    <col min="133" max="133" width="11" style="70" bestFit="1" customWidth="1"/>
    <col min="134" max="134" width="9.44140625" style="70" bestFit="1" customWidth="1"/>
    <col min="135" max="136" width="9.44140625" style="70" customWidth="1"/>
    <col min="137" max="137" width="10.5546875" style="70" bestFit="1" customWidth="1"/>
    <col min="138" max="139" width="14" style="70" customWidth="1"/>
    <col min="140" max="140" width="10.5546875" style="70" bestFit="1" customWidth="1"/>
    <col min="141" max="141" width="9.44140625" style="70" bestFit="1" customWidth="1"/>
    <col min="142" max="143" width="10.5546875" style="70" bestFit="1" customWidth="1"/>
    <col min="144" max="146" width="10.5546875" style="70" customWidth="1"/>
    <col min="147" max="147" width="9" style="70" bestFit="1" customWidth="1"/>
    <col min="148" max="148" width="10.5546875" style="70" bestFit="1" customWidth="1"/>
    <col min="149" max="149" width="9.33203125" style="70" bestFit="1" customWidth="1"/>
    <col min="150" max="150" width="11.6640625" style="70" bestFit="1" customWidth="1"/>
    <col min="151" max="151" width="8.44140625" style="70" bestFit="1" customWidth="1"/>
    <col min="152" max="152" width="9.44140625" style="70" bestFit="1" customWidth="1"/>
    <col min="153" max="153" width="9.6640625" style="70" bestFit="1" customWidth="1"/>
    <col min="154" max="154" width="11" style="70" bestFit="1" customWidth="1"/>
    <col min="155" max="155" width="9.44140625" style="70" bestFit="1" customWidth="1"/>
    <col min="156" max="157" width="9.44140625" style="70" customWidth="1"/>
    <col min="158" max="158" width="11.44140625" style="70"/>
    <col min="159" max="160" width="14" style="70" bestFit="1" customWidth="1"/>
    <col min="161" max="161" width="10.5546875" style="70" bestFit="1" customWidth="1"/>
    <col min="162" max="162" width="9.44140625" style="70" bestFit="1" customWidth="1"/>
    <col min="163" max="164" width="10.5546875" style="70" bestFit="1" customWidth="1"/>
    <col min="165" max="167" width="10.5546875" style="70" customWidth="1"/>
    <col min="168" max="168" width="9" style="70" bestFit="1" customWidth="1"/>
    <col min="169" max="169" width="10.5546875" style="70" bestFit="1" customWidth="1"/>
    <col min="170" max="170" width="9.33203125" style="70" bestFit="1" customWidth="1"/>
    <col min="171" max="171" width="11.6640625" style="70" bestFit="1" customWidth="1"/>
    <col min="172" max="172" width="8.109375" style="70" bestFit="1" customWidth="1"/>
    <col min="173" max="173" width="9.44140625" style="70" bestFit="1" customWidth="1"/>
    <col min="174" max="174" width="9.6640625" style="70" bestFit="1" customWidth="1"/>
    <col min="175" max="175" width="11" style="70" bestFit="1" customWidth="1"/>
    <col min="176" max="176" width="9.44140625" style="70" bestFit="1" customWidth="1"/>
    <col min="177" max="178" width="9.44140625" style="70" customWidth="1"/>
    <col min="179" max="179" width="10.5546875" style="70" bestFit="1" customWidth="1"/>
    <col min="180" max="181" width="14" style="70" bestFit="1" customWidth="1"/>
    <col min="182" max="182" width="10.5546875" style="70" bestFit="1" customWidth="1"/>
    <col min="183" max="183" width="9.44140625" style="70" bestFit="1" customWidth="1"/>
    <col min="184" max="185" width="10.5546875" style="70" bestFit="1" customWidth="1"/>
    <col min="186" max="188" width="10.5546875" style="70" customWidth="1"/>
    <col min="189" max="189" width="9" style="70" bestFit="1" customWidth="1"/>
    <col min="190" max="190" width="10.5546875" style="70" bestFit="1" customWidth="1"/>
    <col min="191" max="191" width="9.33203125" style="70" bestFit="1" customWidth="1"/>
    <col min="192" max="192" width="11.44140625" style="70"/>
    <col min="193" max="193" width="8.44140625" style="70" bestFit="1" customWidth="1"/>
    <col min="194" max="194" width="9.44140625" style="70" bestFit="1" customWidth="1"/>
    <col min="195" max="195" width="9.6640625" style="70" bestFit="1" customWidth="1"/>
    <col min="196" max="196" width="11" style="70" bestFit="1" customWidth="1"/>
    <col min="197" max="197" width="9.44140625" style="70" bestFit="1" customWidth="1"/>
    <col min="198" max="199" width="9.44140625" style="70" customWidth="1"/>
    <col min="200" max="200" width="10.5546875" style="70" bestFit="1" customWidth="1"/>
    <col min="201" max="201" width="14" style="70" customWidth="1"/>
    <col min="202" max="202" width="14.33203125" style="70" customWidth="1"/>
    <col min="203" max="203" width="10.5546875" style="70" bestFit="1" customWidth="1"/>
    <col min="204" max="204" width="9.44140625" style="70" bestFit="1" customWidth="1"/>
    <col min="205" max="206" width="10.5546875" style="70" bestFit="1" customWidth="1"/>
    <col min="207" max="209" width="10.5546875" style="70" customWidth="1"/>
    <col min="210" max="210" width="9" style="70" bestFit="1" customWidth="1"/>
    <col min="211" max="211" width="10.5546875" style="70" bestFit="1" customWidth="1"/>
    <col min="212" max="212" width="9.33203125" style="70" bestFit="1" customWidth="1"/>
    <col min="213" max="213" width="11.6640625" style="70" bestFit="1" customWidth="1"/>
    <col min="214" max="214" width="8.44140625" style="70" bestFit="1" customWidth="1"/>
    <col min="215" max="215" width="9.44140625" style="70" bestFit="1" customWidth="1"/>
    <col min="216" max="216" width="9.6640625" style="70" bestFit="1" customWidth="1"/>
    <col min="217" max="217" width="11" style="70" bestFit="1" customWidth="1"/>
    <col min="218" max="218" width="9.44140625" style="70" bestFit="1" customWidth="1"/>
    <col min="219" max="16384" width="11.44140625" style="70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Pin maritime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Chêne pubescent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Chêne sessile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Bouleau verruqueux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Cèdre de l'Atlas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Chêne chevelu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Erable champêtre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Charme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>Cormier</v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>Tilleul</v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260.02504691866199</v>
      </c>
      <c r="T3" s="62">
        <f>IF('Données projet'!E9&gt;30,$R$33-$H$33,LOOKUP('Données projet'!$E$9,$A$3:$A$203,R3:R203)-LOOKUP('Données projet'!$E$9,$A$3:$A$203,$H$3:$H$203))</f>
        <v>270.11268336406368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475.47920969424894</v>
      </c>
      <c r="AO3" s="62">
        <f>IF('Données projet'!E10&gt;30,$AM$33-$H$33,LOOKUP('Données projet'!$E$10,$A$3:$A$203,AM3:AM203)-LOOKUP('Données projet'!$E$10,$A$3:$A$203,$H$3:$H$203))</f>
        <v>271.73544012419364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428.8489304403459</v>
      </c>
      <c r="BJ3" s="62">
        <f>IF('Données projet'!E11&gt;30,$BH$33-$H$33,LOOKUP('Données projet'!$E$11,$A$3:$A$203,BH3:BH203)-LOOKUP('Données projet'!$E$11,$A$3:$A$203,$H$3:$H$203))</f>
        <v>247.01165577562966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236.22643401787644</v>
      </c>
      <c r="CE3" s="62">
        <f>IF('Données projet'!E12&gt;30,$CC$33-$H$33,LOOKUP('Données projet'!$E$12,$A$3:$A$203,CC3:CC203)-LOOKUP('Données projet'!$E$12,$A$3:$A$203,$H$3:$H$203))</f>
        <v>188.80444043778022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246.73711856758143</v>
      </c>
      <c r="CZ3" s="62">
        <f>IF('Données projet'!E13&gt;30,$CX$33-$H$33,LOOKUP('Données projet'!$E$13,$A$3:$A$203,CX3:CX203)-LOOKUP('Données projet'!$E$13,$A$3:$A$203,$H$3:$H$203))</f>
        <v>145.54897745089966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493.70175665335978</v>
      </c>
      <c r="DU3" s="62">
        <f>IF('Données projet'!E14&gt;30,$DS$33-$H$33,LOOKUP('Données projet'!$E$14,$A$3:$A$203,DS3:DS203)-LOOKUP('Données projet'!$E$14,$A$3:$A$203,$H$3:$H$203))</f>
        <v>325.12357781685949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202.86354781280403</v>
      </c>
      <c r="EP3" s="62">
        <f>IF('Données projet'!E15&gt;30,$EN$33-$H$33,LOOKUP('Données projet'!$E$15,$A$3:$A$203,EN3:EN203)-LOOKUP('Données projet'!$E$15,$A$3:$A$203,$H$3:$H$203))</f>
        <v>217.25323885665131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353.61481736740694</v>
      </c>
      <c r="FK3" s="62">
        <f>IF('Données projet'!E16&gt;30,$FI$33-$H$33,LOOKUP('Données projet'!$E$16,$A$3:$A$203,FI3:FI203)-LOOKUP('Données projet'!$E$16,$A$3:$A$203,$H$3:$H$203))</f>
        <v>244.7141066773861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280.20599015000306</v>
      </c>
      <c r="GF3" s="62">
        <f>IF('Données projet'!E17&gt;30,$GD$33-$H$33,LOOKUP('Données projet'!$E$17,$A$3:$A$203,GD3:GD203)-LOOKUP('Données projet'!$E$17,$A$3:$A$203,$H$3:$H$203))</f>
        <v>166.97658184507787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291.18686311753402</v>
      </c>
      <c r="HA3" s="62">
        <f>IF('Données projet'!E18&gt;30,$GY$33-$H$33,LOOKUP('Données projet'!$E$18,$A$3:$A$203,GY3:GY203)-LOOKUP('Données projet'!$E$18,$A$3:$A$203,$H$3:$H$203))</f>
        <v>215.44422413249839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9">
        <f t="shared" ref="H4:H67" si="1">(B4+E4+F4)*44/12+(C4+D4)*0.475*44/12</f>
        <v>256.66666666666669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7.4312217194570129</v>
      </c>
      <c r="N4" s="14">
        <f>IF('Données projet'!$A$36&gt;35,N3+M4-V3,IF(A4&lt;'Données projet'!$A$36,$K$205^A4,IF(A4='Données projet'!$A$36,'Données projet'!$B$36,N3+M4-V3)))</f>
        <v>1.3292852468636394</v>
      </c>
      <c r="O4" s="14">
        <f>N4*VLOOKUP('Données projet'!$B$9,Paramètres!$A$1:$I$89,3,0)*VLOOKUP('Données projet'!$B$9,Paramètres!$A$1:$I$89,5,0)</f>
        <v>0.79491257762445644</v>
      </c>
      <c r="P4" s="14">
        <f>EXP(-1.0587+0.8836*LN(O4)+0.284)</f>
        <v>0.37624805113513943</v>
      </c>
      <c r="Q4" s="22">
        <f t="shared" ref="Q4:Q34" si="2">(O4+P4)*0.475*44/12</f>
        <v>2.0397714284229629</v>
      </c>
      <c r="R4" s="62">
        <f t="shared" si="0"/>
        <v>259.92866031731182</v>
      </c>
      <c r="S4" s="62">
        <f ca="1">AVERAGE(OFFSET($R$3,0,0,'Données projet'!$E$9+1,1))-AVERAGE(OFFSET($H$3,0,0,'Données projet'!$E$9+1,1))</f>
        <v>260.02504691866199</v>
      </c>
      <c r="T4" s="62">
        <f>$T$3</f>
        <v>270.11268336406368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2">
        <f t="shared" ref="AM4:AM67" si="5">AL4+(AD4+AE4)*44/12</f>
        <v>260.97628431819578</v>
      </c>
      <c r="AN4" s="62">
        <f ca="1">AVERAGE(OFFSET($AM$3,0,0,'Données projet'!$E$10+1,1))-AVERAGE(OFFSET($H$3,0,0,'Données projet'!$E$10+1,1))</f>
        <v>475.47920969424894</v>
      </c>
      <c r="AO4" s="62">
        <f>$AO$3</f>
        <v>271.73544012419364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1.0907244698905405</v>
      </c>
      <c r="BF4" s="14">
        <f>EXP(-1.0587+0.8836*LN(BE4)+0.284)</f>
        <v>0.49759623852608204</v>
      </c>
      <c r="BG4" s="22">
        <f t="shared" ref="BG4:BG67" si="7">(BE4+BF4)*0.475*44/12</f>
        <v>2.7663252338256172</v>
      </c>
      <c r="BH4" s="62">
        <f t="shared" ref="BH4:BH67" si="8">BG4+(AY4+AZ4)*44/12</f>
        <v>260.65521412271448</v>
      </c>
      <c r="BI4" s="62">
        <f ca="1">AVERAGE(OFFSET($BH$3,0,0,'Données projet'!$E$11+1,1))-AVERAGE(OFFSET($H$3,0,0,'Données projet'!$E$11+1,1))</f>
        <v>428.8489304403459</v>
      </c>
      <c r="BJ4" s="62">
        <f>$BJ$3</f>
        <v>247.01165577562966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2.1333333333333333</v>
      </c>
      <c r="BY4" s="13">
        <f>IF('Données projet'!$A$114&gt;35,BY3+BX4-CG3,IF(A4&lt;'Données projet'!$A$114,$BV$205^A4,IF(A4='Données projet'!$A$114,'Données projet'!$B$114,BY3+BX4-CG3)))</f>
        <v>1.2599210498948732</v>
      </c>
      <c r="BZ4" s="14">
        <f>BY4*VLOOKUP('Données projet'!$B$12,Paramètres!$A$1:$I$89,3,0)*VLOOKUP('Données projet'!$B$12,Paramètres!$A$1:$I$89,5,0)</f>
        <v>1.0220479556747213</v>
      </c>
      <c r="CA4" s="14">
        <f>EXP(-1.0587+0.8836*LN(BZ4)+0.284)</f>
        <v>0.4698085135128936</v>
      </c>
      <c r="CB4" s="22">
        <f t="shared" ref="CB4:CB67" si="10">(BZ4+CA4)*0.475*44/12</f>
        <v>2.5983166838350953</v>
      </c>
      <c r="CC4" s="62">
        <f t="shared" ref="CC4:CC67" si="11">CB4+(BT4+BU4)*44/12</f>
        <v>260.48720557272395</v>
      </c>
      <c r="CD4" s="62">
        <f ca="1">AVERAGE(OFFSET($CC$3,0,0,'Données projet'!$E$12+1,1))-AVERAGE(OFFSET($H$3,0,0,'Données projet'!$E$12+1,1))</f>
        <v>236.22643401787644</v>
      </c>
      <c r="CE4" s="62">
        <f>$CE$3</f>
        <v>188.80444043778022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3.4425641025641025</v>
      </c>
      <c r="CT4" s="13">
        <f>IF('Données projet'!$A$140&gt;35,CT3+CS4-DB3,IF(A4&lt;'Données projet'!$A$140,$CQ$205^A4,IF(A4='Données projet'!$A$140,'Données projet'!$B$140,CT3+CS4-DB3)))</f>
        <v>1.1671681906248585</v>
      </c>
      <c r="CU4" s="18">
        <f>CT4*VLOOKUP('Données projet'!$B$13,Paramètres!$A$1:$I$89,3,0)*VLOOKUP('Données projet'!$B$13,Paramètres!$A$1:$I$89,5,0)</f>
        <v>0.54623471321243378</v>
      </c>
      <c r="CV4" s="14">
        <f>EXP(-1.0587+0.8836*LN(CU4)+0.284)</f>
        <v>0.27008496636632595</v>
      </c>
      <c r="CW4" s="22">
        <f t="shared" ref="CW4:CW67" si="13">(CU4+CV4)*0.475*44/12</f>
        <v>1.4217567752663396</v>
      </c>
      <c r="CX4" s="62">
        <f t="shared" ref="CX4:CX67" si="14">CW4+(CO4+CP4)*44/12</f>
        <v>259.31064566415517</v>
      </c>
      <c r="CY4" s="62">
        <f ca="1">AVERAGE(OFFSET($CX$3,0,0,'Données projet'!$E$13+1,1))-AVERAGE(OFFSET($H$3,0,0,'Données projet'!$E$13+1,1))</f>
        <v>246.73711856758143</v>
      </c>
      <c r="CZ4" s="62">
        <f>$CZ$3</f>
        <v>145.54897745089966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2.0085470085470085</v>
      </c>
      <c r="DO4" s="13">
        <f>IF('Données projet'!$A$166&gt;35,DO3+DN4-DW3,IF(A4&lt;'Données projet'!$A$166,$DL$205^A4,IF(A4='Données projet'!$A$166,'Données projet'!$B$166,DO3+DN4-DW3)))</f>
        <v>1.2548684989282006</v>
      </c>
      <c r="DP4" s="18">
        <f>DO4*VLOOKUP('Données projet'!$B$14,Paramètres!$A$1:$I$89,3,0)*VLOOKUP('Données projet'!$B$14,Paramètres!$A$1:$I$89,5,0)</f>
        <v>1.3115885550797555</v>
      </c>
      <c r="DQ4" s="14">
        <f>EXP(-1.0587+0.8836*LN(DP4)+0.284)</f>
        <v>0.5856498554818651</v>
      </c>
      <c r="DR4" s="22">
        <f t="shared" ref="DR4:DR67" si="16">(DP4+DQ4)*0.475*44/12</f>
        <v>3.3043568983948219</v>
      </c>
      <c r="DS4" s="62">
        <f t="shared" ref="DS4:DS67" si="17">DR4+(DJ4+DK4)*44/12</f>
        <v>261.19324578728367</v>
      </c>
      <c r="DT4" s="62">
        <f ca="1">AVERAGE(OFFSET($DS$3,0,0,'Données projet'!$E$14+1,1))-AVERAGE(OFFSET($H$3,0,0,'Données projet'!$E$14+1,1))</f>
        <v>493.70175665335978</v>
      </c>
      <c r="DU4" s="62">
        <f>$DU$3</f>
        <v>325.12357781685949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0.9</v>
      </c>
      <c r="EJ4" s="13">
        <f>IF('Données projet'!$A$192&gt;35,EJ3+EI4-ER3,IF(A4&lt;'Données projet'!$A$192,$EG$205^A4,IF(A4='Données projet'!$A$192,'Données projet'!$B$192,EJ3+EI4-ER3)))</f>
        <v>1.1554831727638066</v>
      </c>
      <c r="EK4" s="18">
        <f>EJ4*VLOOKUP('Données projet'!$B$15,Paramètres!$A$1:$I$89,3,0)*VLOOKUP('Données projet'!$B$15,Paramètres!$A$1:$I$89,5,0)</f>
        <v>1.0094300997264616</v>
      </c>
      <c r="EL4" s="14">
        <f>EXP(-1.0587+0.8836*LN(EK4)+0.284)</f>
        <v>0.46467984937949935</v>
      </c>
      <c r="EM4" s="22">
        <f t="shared" ref="EM4:EM67" si="19">(EK4+EL4)*0.475*44/12</f>
        <v>2.5674081613595483</v>
      </c>
      <c r="EN4" s="62">
        <f t="shared" ref="EN4:EN67" si="20">EM4+(EE4+EF4)*44/12</f>
        <v>260.45629705024839</v>
      </c>
      <c r="EO4" s="62">
        <f ca="1">AVERAGE(OFFSET($EN$3,0,0,'Données projet'!$E$15+1,1))-AVERAGE(OFFSET($H$3,0,0,'Données projet'!$E$15+1,1))</f>
        <v>202.86354781280403</v>
      </c>
      <c r="EP4" s="62">
        <f>$EP$3</f>
        <v>217.25323885665131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2.2649572649572649</v>
      </c>
      <c r="FE4" s="13">
        <f>IF('Données projet'!$A$218&gt;35,FE3+FD4-FM3,IF(A4&lt;'Données projet'!$A$218,$FB$205^A4,IF(A4='Données projet'!$A$218,'Données projet'!$B$218,FE3+FD4-FM3)))</f>
        <v>1.2649598798623627</v>
      </c>
      <c r="FF4" s="18">
        <f>FE4*VLOOKUP('Données projet'!$B$16,Paramètres!$A$1:$I$89,3,0)*VLOOKUP('Données projet'!$B$16,Paramètres!$A$1:$I$89,5,0)</f>
        <v>1.2037358216770244</v>
      </c>
      <c r="FG4" s="14">
        <f>EXP(-1.0587+0.8836*LN(FF4)+0.284)</f>
        <v>0.54288697199953284</v>
      </c>
      <c r="FH4" s="22">
        <f t="shared" ref="FH4:FH67" si="22">(FF4+FG4)*0.475*44/12</f>
        <v>3.0420346989866704</v>
      </c>
      <c r="FI4" s="62">
        <f t="shared" ref="FI4:FI67" si="23">FH4+(EZ4+FA4)*44/12</f>
        <v>260.93092358787555</v>
      </c>
      <c r="FJ4" s="62">
        <f ca="1">AVERAGE(OFFSET($FI$3,0,0,'Données projet'!$E$16+1,1))-AVERAGE(OFFSET($H$3,0,0,'Données projet'!$E$16+1,1))</f>
        <v>353.61481736740694</v>
      </c>
      <c r="FK4" s="62">
        <f>$FK$3</f>
        <v>244.7141066773861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1.05</v>
      </c>
      <c r="FZ4" s="13">
        <f>IF('Données projet'!$A$244&gt;35,FZ3+FY4-GH3,IF(A4&lt;'Données projet'!$A$244,$FW$205^A4,IF(A4='Données projet'!$A$244,'Données projet'!$B$244,FZ3+FY4-GH3)))</f>
        <v>1.1644235083052243</v>
      </c>
      <c r="GA4" s="18">
        <f>FZ4*VLOOKUP('Données projet'!$B$17,Paramètres!$A$1:$I$89,3,0)*VLOOKUP('Données projet'!$B$17,Paramètres!$A$1:$I$89,5,0)</f>
        <v>1.2533854643397435</v>
      </c>
      <c r="GB4" s="14">
        <f>EXP(-1.0587+0.8836*LN(GA4)+0.284)</f>
        <v>0.56262582787929238</v>
      </c>
      <c r="GC4" s="22">
        <f t="shared" ref="GC4:GC67" si="25">(GA4+GB4)*0.475*44/12</f>
        <v>3.1628863339481534</v>
      </c>
      <c r="GD4" s="62">
        <f t="shared" ref="GD4:GD67" si="26">GC4+(FU4+FV4)*44/12</f>
        <v>261.05177522283702</v>
      </c>
      <c r="GE4" s="62">
        <f ca="1">AVERAGE(OFFSET($GD$3,0,0,'Données projet'!$E$17+1,1))-AVERAGE(OFFSET($H$3,0,0,'Données projet'!$E$17+1,1))</f>
        <v>280.20599015000306</v>
      </c>
      <c r="GF4" s="62">
        <f>$GF$3</f>
        <v>166.97658184507787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2.7777777777777777</v>
      </c>
      <c r="GU4" s="13">
        <f>IF('Données projet'!$A$270&gt;35,GU3+GT4-HC3,IF(A4&lt;'Données projet'!$A$270,$GR$205^A4,IF(A4='Données projet'!$A$270,'Données projet'!$B$270,GU3+GT4-HC3)))</f>
        <v>1.2822890014514785</v>
      </c>
      <c r="GV4" s="18">
        <f>GU4*VLOOKUP('Données projet'!$B$18,Paramètres!$A$1:$I$89,3,0)*VLOOKUP('Données projet'!$B$18,Paramètres!$A$1:$I$89,5,0)</f>
        <v>0.8601594621736518</v>
      </c>
      <c r="GW4" s="14">
        <f>EXP(-1.0587+0.8836*LN(GV4)+0.284)</f>
        <v>0.40340942797853763</v>
      </c>
      <c r="GX4" s="22">
        <f t="shared" ref="GX4:GX67" si="28">(GV4+GW4)*0.475*44/12</f>
        <v>2.2007158170150634</v>
      </c>
      <c r="GY4" s="62">
        <f t="shared" ref="GY4:GY67" si="29">GX4+(GP4+GQ4)*44/12</f>
        <v>260.08960470590392</v>
      </c>
      <c r="GZ4" s="62">
        <f ca="1">AVERAGE(OFFSET($GY$3,0,0,'Données projet'!$E$18+1,1))-AVERAGE(OFFSET($H$3,0,0,'Données projet'!$E$18+1,1))</f>
        <v>291.18686311753402</v>
      </c>
      <c r="HA4" s="62">
        <f>$HA$3</f>
        <v>215.44422413249839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9">
        <f t="shared" si="1"/>
        <v>256.66666666666669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7.4312217194570129</v>
      </c>
      <c r="N5" s="14">
        <f>IF('Données projet'!$A$36&gt;35,N4+M5-V4,IF(A5&lt;'Données projet'!$A$36,$K$205^A5,IF(A5='Données projet'!$A$36,'Données projet'!$B$36,N4+M5-V4)))</f>
        <v>1.7669992675293267</v>
      </c>
      <c r="O5" s="14">
        <f>N5*VLOOKUP('Données projet'!$B$9,Paramètres!$A$1:$I$89,3,0)*VLOOKUP('Données projet'!$B$9,Paramètres!$A$1:$I$89,5,0)</f>
        <v>1.0566655619825374</v>
      </c>
      <c r="P5" s="14">
        <f t="shared" ref="P5:P68" si="33">EXP(-1.0587+0.8836*LN(O5)+0.284)</f>
        <v>0.48384169076702271</v>
      </c>
      <c r="Q5" s="22">
        <f t="shared" si="2"/>
        <v>2.6830501318721502</v>
      </c>
      <c r="R5" s="62">
        <f t="shared" si="0"/>
        <v>261.79416124298331</v>
      </c>
      <c r="S5" s="62">
        <f ca="1">AVERAGE(OFFSET($R$3,0,0,'Données projet'!$E$9+1,1))-AVERAGE(OFFSET($H$3,0,0,'Données projet'!$E$9+1,1))</f>
        <v>260.02504691866199</v>
      </c>
      <c r="T5" s="62">
        <f t="shared" ref="T5:T68" si="34">$T$3</f>
        <v>270.11268336406368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2">
        <f t="shared" si="5"/>
        <v>262.80806344386446</v>
      </c>
      <c r="AN5" s="62">
        <f ca="1">AVERAGE(OFFSET($AM$3,0,0,'Données projet'!$E$10+1,1))-AVERAGE(OFFSET($H$3,0,0,'Données projet'!$E$10+1,1))</f>
        <v>475.47920969424894</v>
      </c>
      <c r="AO5" s="62">
        <f t="shared" ref="AO5:AO68" si="36">$AO$3</f>
        <v>271.73544012419364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1.3148539668633961</v>
      </c>
      <c r="BF5" s="14">
        <f t="shared" ref="BF5:BF68" si="37">EXP(-1.0587+0.8836*LN(BE5)+0.284)</f>
        <v>0.58693801963664449</v>
      </c>
      <c r="BG5" s="22">
        <f t="shared" si="7"/>
        <v>3.3122877098209038</v>
      </c>
      <c r="BH5" s="62">
        <f t="shared" si="8"/>
        <v>262.42339882093205</v>
      </c>
      <c r="BI5" s="62">
        <f ca="1">AVERAGE(OFFSET($BH$3,0,0,'Données projet'!$E$11+1,1))-AVERAGE(OFFSET($H$3,0,0,'Données projet'!$E$11+1,1))</f>
        <v>428.8489304403459</v>
      </c>
      <c r="BJ5" s="62">
        <f t="shared" ref="BJ5:BJ68" si="38">$BJ$3</f>
        <v>247.01165577562966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2.1333333333333333</v>
      </c>
      <c r="BY5" s="13">
        <f>IF('Données projet'!$A$114&gt;35,BY4+BX5-CG4,IF(A5&lt;'Données projet'!$A$114,$BV$205^A5,IF(A5='Données projet'!$A$114,'Données projet'!$B$114,BY4+BX5-CG4)))</f>
        <v>1.5874010519681996</v>
      </c>
      <c r="BZ5" s="14">
        <f>BY5*VLOOKUP('Données projet'!$B$12,Paramètres!$A$1:$I$89,3,0)*VLOOKUP('Données projet'!$B$12,Paramètres!$A$1:$I$89,5,0)</f>
        <v>1.2876997333566036</v>
      </c>
      <c r="CA5" s="14">
        <f t="shared" ref="CA5:CA68" si="39">EXP(-1.0587+0.8836*LN(BZ5)+0.284)</f>
        <v>0.57621458989117558</v>
      </c>
      <c r="CB5" s="22">
        <f t="shared" si="10"/>
        <v>3.2463174463232147</v>
      </c>
      <c r="CC5" s="62">
        <f t="shared" si="11"/>
        <v>262.35742855743433</v>
      </c>
      <c r="CD5" s="62">
        <f ca="1">AVERAGE(OFFSET($CC$3,0,0,'Données projet'!$E$12+1,1))-AVERAGE(OFFSET($H$3,0,0,'Données projet'!$E$12+1,1))</f>
        <v>236.22643401787644</v>
      </c>
      <c r="CE5" s="62">
        <f t="shared" ref="CE5:CE68" si="40">$CE$3</f>
        <v>188.80444043778022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3.4425641025641025</v>
      </c>
      <c r="CT5" s="13">
        <f>IF('Données projet'!$A$140&gt;35,CT4+CS5-DB4,IF(A5&lt;'Données projet'!$A$140,$CQ$205^A5,IF(A5='Données projet'!$A$140,'Données projet'!$B$140,CT4+CS5-DB4)))</f>
        <v>1.3622815852065062</v>
      </c>
      <c r="CU5" s="18">
        <f>CT5*VLOOKUP('Données projet'!$B$13,Paramètres!$A$1:$I$89,3,0)*VLOOKUP('Données projet'!$B$13,Paramètres!$A$1:$I$89,5,0)</f>
        <v>0.63754778187664485</v>
      </c>
      <c r="CV5" s="14">
        <f t="shared" ref="CV5:CV68" si="41">EXP(-1.0587+0.8836*LN(CU5)+0.284)</f>
        <v>0.30961323785545058</v>
      </c>
      <c r="CW5" s="22">
        <f t="shared" si="13"/>
        <v>1.6496387760333995</v>
      </c>
      <c r="CX5" s="62">
        <f t="shared" si="14"/>
        <v>260.76074988714453</v>
      </c>
      <c r="CY5" s="62">
        <f ca="1">AVERAGE(OFFSET($CX$3,0,0,'Données projet'!$E$13+1,1))-AVERAGE(OFFSET($H$3,0,0,'Données projet'!$E$13+1,1))</f>
        <v>246.73711856758143</v>
      </c>
      <c r="CZ5" s="62">
        <f t="shared" ref="CZ5:CZ68" si="42">$CZ$3</f>
        <v>145.54897745089966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2.0085470085470085</v>
      </c>
      <c r="DO5" s="13">
        <f>IF('Données projet'!$A$166&gt;35,DO4+DN5-DW4,IF(A5&lt;'Données projet'!$A$166,$DL$205^A5,IF(A5='Données projet'!$A$166,'Données projet'!$B$166,DO4+DN5-DW4)))</f>
        <v>1.5746949496023155</v>
      </c>
      <c r="DP5" s="18">
        <f>DO5*VLOOKUP('Données projet'!$B$14,Paramètres!$A$1:$I$89,3,0)*VLOOKUP('Données projet'!$B$14,Paramètres!$A$1:$I$89,5,0)</f>
        <v>1.6458711613243404</v>
      </c>
      <c r="DQ5" s="14">
        <f t="shared" ref="DQ5:DQ68" si="43">EXP(-1.0587+0.8836*LN(DP5)+0.284)</f>
        <v>0.71574681686586372</v>
      </c>
      <c r="DR5" s="22">
        <f t="shared" si="16"/>
        <v>4.1131513120146055</v>
      </c>
      <c r="DS5" s="62">
        <f t="shared" si="17"/>
        <v>263.22426242312577</v>
      </c>
      <c r="DT5" s="62">
        <f ca="1">AVERAGE(OFFSET($DS$3,0,0,'Données projet'!$E$14+1,1))-AVERAGE(OFFSET($H$3,0,0,'Données projet'!$E$14+1,1))</f>
        <v>493.70175665335978</v>
      </c>
      <c r="DU5" s="62">
        <f t="shared" ref="DU5:DU68" si="44">$DU$3</f>
        <v>325.12357781685949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0.9</v>
      </c>
      <c r="EJ5" s="13">
        <f>IF('Données projet'!$A$192&gt;35,EJ4+EI5-ER4,IF(A5&lt;'Données projet'!$A$192,$EG$205^A5,IF(A5='Données projet'!$A$192,'Données projet'!$B$192,EJ4+EI5-ER4)))</f>
        <v>1.335141362540313</v>
      </c>
      <c r="EK5" s="18">
        <f>EJ5*VLOOKUP('Données projet'!$B$15,Paramètres!$A$1:$I$89,3,0)*VLOOKUP('Données projet'!$B$15,Paramètres!$A$1:$I$89,5,0)</f>
        <v>1.1663794943152175</v>
      </c>
      <c r="EL5" s="14">
        <f t="shared" ref="EL5:EL68" si="45">EXP(-1.0587+0.8836*LN(EK5)+0.284)</f>
        <v>0.52797307958445927</v>
      </c>
      <c r="EM5" s="22">
        <f t="shared" si="19"/>
        <v>2.9509973995419365</v>
      </c>
      <c r="EN5" s="62">
        <f t="shared" si="20"/>
        <v>262.0621085106531</v>
      </c>
      <c r="EO5" s="62">
        <f ca="1">AVERAGE(OFFSET($EN$3,0,0,'Données projet'!$E$15+1,1))-AVERAGE(OFFSET($H$3,0,0,'Données projet'!$E$15+1,1))</f>
        <v>202.86354781280403</v>
      </c>
      <c r="EP5" s="62">
        <f t="shared" ref="EP5:EP68" si="46">$EP$3</f>
        <v>217.25323885665131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2.2649572649572649</v>
      </c>
      <c r="FE5" s="13">
        <f>IF('Données projet'!$A$218&gt;35,FE4+FD5-FM4,IF(A5&lt;'Données projet'!$A$218,$FB$205^A5,IF(A5='Données projet'!$A$218,'Données projet'!$B$218,FE4+FD5-FM4)))</f>
        <v>1.6001234976614032</v>
      </c>
      <c r="FF5" s="18">
        <f>FE5*VLOOKUP('Données projet'!$B$16,Paramètres!$A$1:$I$89,3,0)*VLOOKUP('Données projet'!$B$16,Paramètres!$A$1:$I$89,5,0)</f>
        <v>1.5226775203745913</v>
      </c>
      <c r="FG5" s="14">
        <f t="shared" ref="FG5:FG68" si="47">EXP(-1.0587+0.8836*LN(FF5)+0.284)</f>
        <v>0.66819687050841592</v>
      </c>
      <c r="FH5" s="22">
        <f t="shared" si="22"/>
        <v>3.8157728974545706</v>
      </c>
      <c r="FI5" s="62">
        <f t="shared" si="23"/>
        <v>262.92688400856571</v>
      </c>
      <c r="FJ5" s="62">
        <f ca="1">AVERAGE(OFFSET($FI$3,0,0,'Données projet'!$E$16+1,1))-AVERAGE(OFFSET($H$3,0,0,'Données projet'!$E$16+1,1))</f>
        <v>353.61481736740694</v>
      </c>
      <c r="FK5" s="62">
        <f t="shared" ref="FK5:FK68" si="48">$FK$3</f>
        <v>244.7141066773861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1.05</v>
      </c>
      <c r="FZ5" s="13">
        <f>IF('Données projet'!$A$244&gt;35,FZ4+FY5-GH4,IF(A5&lt;'Données projet'!$A$244,$FW$205^A5,IF(A5='Données projet'!$A$244,'Données projet'!$B$244,FZ4+FY5-GH4)))</f>
        <v>1.3558821066938469</v>
      </c>
      <c r="GA5" s="18">
        <f>FZ5*VLOOKUP('Données projet'!$B$17,Paramètres!$A$1:$I$89,3,0)*VLOOKUP('Données projet'!$B$17,Paramètres!$A$1:$I$89,5,0)</f>
        <v>1.4594714996452569</v>
      </c>
      <c r="GB5" s="14">
        <f t="shared" ref="GB5:GB68" si="49">EXP(-1.0587+0.8836*LN(GA5)+0.284)</f>
        <v>0.64362856955591685</v>
      </c>
      <c r="GC5" s="22">
        <f t="shared" si="25"/>
        <v>3.6628992871920438</v>
      </c>
      <c r="GD5" s="62">
        <f t="shared" si="26"/>
        <v>262.77401039830318</v>
      </c>
      <c r="GE5" s="62">
        <f ca="1">AVERAGE(OFFSET($GD$3,0,0,'Données projet'!$E$17+1,1))-AVERAGE(OFFSET($H$3,0,0,'Données projet'!$E$17+1,1))</f>
        <v>280.20599015000306</v>
      </c>
      <c r="GF5" s="62">
        <f t="shared" ref="GF5:GF68" si="50">$GF$3</f>
        <v>166.97658184507787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2.7777777777777777</v>
      </c>
      <c r="GU5" s="13">
        <f>IF('Données projet'!$A$270&gt;35,GU4+GT5-HC4,IF(A5&lt;'Données projet'!$A$270,$GR$205^A5,IF(A5='Données projet'!$A$270,'Données projet'!$B$270,GU4+GT5-HC4)))</f>
        <v>1.6442650832434298</v>
      </c>
      <c r="GV5" s="18">
        <f>GU5*VLOOKUP('Données projet'!$B$18,Paramètres!$A$1:$I$89,3,0)*VLOOKUP('Données projet'!$B$18,Paramètres!$A$1:$I$89,5,0)</f>
        <v>1.1029730178396928</v>
      </c>
      <c r="GW5" s="14">
        <f t="shared" ref="GW5:GW68" si="51">EXP(-1.0587+0.8836*LN(GV5)+0.284)</f>
        <v>0.50253047081784186</v>
      </c>
      <c r="GX5" s="22">
        <f t="shared" si="28"/>
        <v>2.7962519094118723</v>
      </c>
      <c r="GY5" s="62">
        <f t="shared" si="29"/>
        <v>261.90736302052301</v>
      </c>
      <c r="GZ5" s="62">
        <f ca="1">AVERAGE(OFFSET($GY$3,0,0,'Données projet'!$E$18+1,1))-AVERAGE(OFFSET($H$3,0,0,'Données projet'!$E$18+1,1))</f>
        <v>291.18686311753402</v>
      </c>
      <c r="HA5" s="62">
        <f t="shared" ref="HA5:HA68" si="52">$HA$3</f>
        <v>215.44422413249839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9">
        <f t="shared" si="1"/>
        <v>256.66666666666669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7.4312217194570129</v>
      </c>
      <c r="N6" s="14">
        <f>IF('Données projet'!$A$36&gt;35,N5+M6-V5,IF(A6&lt;'Données projet'!$A$36,$K$205^A6,IF(A6='Données projet'!$A$36,'Données projet'!$B$36,N5+M6-V5)))</f>
        <v>2.3488460575455909</v>
      </c>
      <c r="O6" s="14">
        <f>N6*VLOOKUP('Données projet'!$B$9,Paramètres!$A$1:$I$89,3,0)*VLOOKUP('Données projet'!$B$9,Paramètres!$A$1:$I$89,5,0)</f>
        <v>1.4046099424122636</v>
      </c>
      <c r="P6" s="14">
        <f t="shared" si="33"/>
        <v>0.62220330714804695</v>
      </c>
      <c r="Q6" s="22">
        <f t="shared" si="2"/>
        <v>3.5300330763175403</v>
      </c>
      <c r="R6" s="62">
        <f t="shared" si="0"/>
        <v>263.86336640965084</v>
      </c>
      <c r="S6" s="62">
        <f ca="1">AVERAGE(OFFSET($R$3,0,0,'Données projet'!$E$9+1,1))-AVERAGE(OFFSET($H$3,0,0,'Données projet'!$E$9+1,1))</f>
        <v>260.02504691866199</v>
      </c>
      <c r="T6" s="62">
        <f t="shared" si="34"/>
        <v>270.11268336406368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2">
        <f t="shared" si="5"/>
        <v>264.76063455825545</v>
      </c>
      <c r="AN6" s="62">
        <f ca="1">AVERAGE(OFFSET($AM$3,0,0,'Données projet'!$E$10+1,1))-AVERAGE(OFFSET($H$3,0,0,'Données projet'!$E$10+1,1))</f>
        <v>475.47920969424894</v>
      </c>
      <c r="AO6" s="62">
        <f t="shared" si="36"/>
        <v>271.73544012419364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1.5850391202371266</v>
      </c>
      <c r="BF6" s="14">
        <f t="shared" si="37"/>
        <v>0.69232082604846479</v>
      </c>
      <c r="BG6" s="22">
        <f t="shared" si="7"/>
        <v>3.966401906447405</v>
      </c>
      <c r="BH6" s="62">
        <f t="shared" si="8"/>
        <v>264.29973523978072</v>
      </c>
      <c r="BI6" s="62">
        <f ca="1">AVERAGE(OFFSET($BH$3,0,0,'Données projet'!$E$11+1,1))-AVERAGE(OFFSET($H$3,0,0,'Données projet'!$E$11+1,1))</f>
        <v>428.8489304403459</v>
      </c>
      <c r="BJ6" s="62">
        <f t="shared" si="38"/>
        <v>247.01165577562966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2.1333333333333333</v>
      </c>
      <c r="BY6" s="13">
        <f>IF('Données projet'!$A$114&gt;35,BY5+BX6-CG5,IF(A6&lt;'Données projet'!$A$114,$BV$205^A6,IF(A6='Données projet'!$A$114,'Données projet'!$B$114,BY5+BX6-CG5)))</f>
        <v>2</v>
      </c>
      <c r="BZ6" s="14">
        <f>BY6*VLOOKUP('Données projet'!$B$12,Paramètres!$A$1:$I$89,3,0)*VLOOKUP('Données projet'!$B$12,Paramètres!$A$1:$I$89,5,0)</f>
        <v>1.6224000000000001</v>
      </c>
      <c r="CA6" s="14">
        <f t="shared" si="39"/>
        <v>0.70672038512206192</v>
      </c>
      <c r="CB6" s="22">
        <f t="shared" si="10"/>
        <v>4.0565513374209239</v>
      </c>
      <c r="CC6" s="62">
        <f t="shared" si="11"/>
        <v>264.38988467075421</v>
      </c>
      <c r="CD6" s="62">
        <f ca="1">AVERAGE(OFFSET($CC$3,0,0,'Données projet'!$E$12+1,1))-AVERAGE(OFFSET($H$3,0,0,'Données projet'!$E$12+1,1))</f>
        <v>236.22643401787644</v>
      </c>
      <c r="CE6" s="62">
        <f t="shared" si="40"/>
        <v>188.80444043778022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3.4425641025641025</v>
      </c>
      <c r="CT6" s="13">
        <f>IF('Données projet'!$A$140&gt;35,CT5+CS6-DB5,IF(A6&lt;'Données projet'!$A$140,$CQ$205^A6,IF(A6='Données projet'!$A$140,'Données projet'!$B$140,CT5+CS6-DB5)))</f>
        <v>1.590011732927042</v>
      </c>
      <c r="CU6" s="18">
        <f>CT6*VLOOKUP('Données projet'!$B$13,Paramètres!$A$1:$I$89,3,0)*VLOOKUP('Données projet'!$B$13,Paramètres!$A$1:$I$89,5,0)</f>
        <v>0.7441254910098557</v>
      </c>
      <c r="CV6" s="14">
        <f t="shared" si="41"/>
        <v>0.35492666750402163</v>
      </c>
      <c r="CW6" s="22">
        <f t="shared" si="13"/>
        <v>1.9141825094116696</v>
      </c>
      <c r="CX6" s="62">
        <f t="shared" si="14"/>
        <v>262.24751584274497</v>
      </c>
      <c r="CY6" s="62">
        <f ca="1">AVERAGE(OFFSET($CX$3,0,0,'Données projet'!$E$13+1,1))-AVERAGE(OFFSET($H$3,0,0,'Données projet'!$E$13+1,1))</f>
        <v>246.73711856758143</v>
      </c>
      <c r="CZ6" s="62">
        <f t="shared" si="42"/>
        <v>145.54897745089966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2.0085470085470085</v>
      </c>
      <c r="DO6" s="13">
        <f>IF('Données projet'!$A$166&gt;35,DO5+DN6-DW5,IF(A6&lt;'Données projet'!$A$166,$DL$205^A6,IF(A6='Données projet'!$A$166,'Données projet'!$B$166,DO5+DN6-DW5)))</f>
        <v>1.9760350876772761</v>
      </c>
      <c r="DP6" s="18">
        <f>DO6*VLOOKUP('Données projet'!$B$14,Paramètres!$A$1:$I$89,3,0)*VLOOKUP('Données projet'!$B$14,Paramètres!$A$1:$I$89,5,0)</f>
        <v>2.0653518736402892</v>
      </c>
      <c r="DQ6" s="14">
        <f t="shared" si="43"/>
        <v>0.87474367330306557</v>
      </c>
      <c r="DR6" s="22">
        <f t="shared" si="16"/>
        <v>5.1206664109263427</v>
      </c>
      <c r="DS6" s="62">
        <f t="shared" si="17"/>
        <v>265.45399974425965</v>
      </c>
      <c r="DT6" s="62">
        <f ca="1">AVERAGE(OFFSET($DS$3,0,0,'Données projet'!$E$14+1,1))-AVERAGE(OFFSET($H$3,0,0,'Données projet'!$E$14+1,1))</f>
        <v>493.70175665335978</v>
      </c>
      <c r="DU6" s="62">
        <f t="shared" si="44"/>
        <v>325.12357781685949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0.9</v>
      </c>
      <c r="EJ6" s="13">
        <f>IF('Données projet'!$A$192&gt;35,EJ5+EI6-ER5,IF(A6&lt;'Données projet'!$A$192,$EG$205^A6,IF(A6='Données projet'!$A$192,'Données projet'!$B$192,EJ5+EI6-ER5)))</f>
        <v>1.5427333776762726</v>
      </c>
      <c r="EK6" s="18">
        <f>EJ6*VLOOKUP('Données projet'!$B$15,Paramètres!$A$1:$I$89,3,0)*VLOOKUP('Données projet'!$B$15,Paramètres!$A$1:$I$89,5,0)</f>
        <v>1.3477318787379919</v>
      </c>
      <c r="EL6" s="14">
        <f t="shared" si="45"/>
        <v>0.59988737006377257</v>
      </c>
      <c r="EM6" s="22">
        <f t="shared" si="19"/>
        <v>3.3921035249964064</v>
      </c>
      <c r="EN6" s="62">
        <f t="shared" si="20"/>
        <v>263.72543685832972</v>
      </c>
      <c r="EO6" s="62">
        <f ca="1">AVERAGE(OFFSET($EN$3,0,0,'Données projet'!$E$15+1,1))-AVERAGE(OFFSET($H$3,0,0,'Données projet'!$E$15+1,1))</f>
        <v>202.86354781280403</v>
      </c>
      <c r="EP6" s="62">
        <f t="shared" si="46"/>
        <v>217.25323885665131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2.2649572649572649</v>
      </c>
      <c r="FE6" s="13">
        <f>IF('Données projet'!$A$218&gt;35,FE5+FD6-FM5,IF(A6&lt;'Données projet'!$A$218,$FB$205^A6,IF(A6='Données projet'!$A$218,'Données projet'!$B$218,FE5+FD6-FM5)))</f>
        <v>2.024092027366712</v>
      </c>
      <c r="FF6" s="18">
        <f>FE6*VLOOKUP('Données projet'!$B$16,Paramètres!$A$1:$I$89,3,0)*VLOOKUP('Données projet'!$B$16,Paramètres!$A$1:$I$89,5,0)</f>
        <v>1.9261259732421634</v>
      </c>
      <c r="FG6" s="14">
        <f t="shared" si="47"/>
        <v>0.8224309677441014</v>
      </c>
      <c r="FH6" s="22">
        <f t="shared" si="22"/>
        <v>4.7870700055510769</v>
      </c>
      <c r="FI6" s="62">
        <f t="shared" si="23"/>
        <v>265.12040333888439</v>
      </c>
      <c r="FJ6" s="62">
        <f ca="1">AVERAGE(OFFSET($FI$3,0,0,'Données projet'!$E$16+1,1))-AVERAGE(OFFSET($H$3,0,0,'Données projet'!$E$16+1,1))</f>
        <v>353.61481736740694</v>
      </c>
      <c r="FK6" s="62">
        <f t="shared" si="48"/>
        <v>244.7141066773861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1.05</v>
      </c>
      <c r="FZ6" s="13">
        <f>IF('Données projet'!$A$244&gt;35,FZ5+FY6-GH5,IF(A6&lt;'Données projet'!$A$244,$FW$205^A6,IF(A6='Données projet'!$A$244,'Données projet'!$B$244,FZ5+FY6-GH5)))</f>
        <v>1.5788209995247278</v>
      </c>
      <c r="GA6" s="18">
        <f>FZ6*VLOOKUP('Données projet'!$B$17,Paramètres!$A$1:$I$89,3,0)*VLOOKUP('Données projet'!$B$17,Paramètres!$A$1:$I$89,5,0)</f>
        <v>1.6994429238884168</v>
      </c>
      <c r="GB6" s="14">
        <f t="shared" si="49"/>
        <v>0.73629349208879868</v>
      </c>
      <c r="GC6" s="22">
        <f t="shared" si="25"/>
        <v>4.2422409244936503</v>
      </c>
      <c r="GD6" s="62">
        <f t="shared" si="26"/>
        <v>264.57557425782699</v>
      </c>
      <c r="GE6" s="62">
        <f ca="1">AVERAGE(OFFSET($GD$3,0,0,'Données projet'!$E$17+1,1))-AVERAGE(OFFSET($H$3,0,0,'Données projet'!$E$17+1,1))</f>
        <v>280.20599015000306</v>
      </c>
      <c r="GF6" s="62">
        <f t="shared" si="50"/>
        <v>166.97658184507787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2.7777777777777777</v>
      </c>
      <c r="GU6" s="13">
        <f>IF('Données projet'!$A$270&gt;35,GU5+GT6-HC5,IF(A6&lt;'Données projet'!$A$270,$GR$205^A6,IF(A6='Données projet'!$A$270,'Données projet'!$B$270,GU5+GT6-HC5)))</f>
        <v>2.1084230317137496</v>
      </c>
      <c r="GV6" s="18">
        <f>GU6*VLOOKUP('Données projet'!$B$18,Paramètres!$A$1:$I$89,3,0)*VLOOKUP('Données projet'!$B$18,Paramètres!$A$1:$I$89,5,0)</f>
        <v>1.4143301696735833</v>
      </c>
      <c r="GW6" s="14">
        <f t="shared" si="51"/>
        <v>0.62600637611731103</v>
      </c>
      <c r="GX6" s="22">
        <f t="shared" si="28"/>
        <v>3.5535861505858075</v>
      </c>
      <c r="GY6" s="62">
        <f t="shared" si="29"/>
        <v>263.88691948391914</v>
      </c>
      <c r="GZ6" s="62">
        <f ca="1">AVERAGE(OFFSET($GY$3,0,0,'Données projet'!$E$18+1,1))-AVERAGE(OFFSET($H$3,0,0,'Données projet'!$E$18+1,1))</f>
        <v>291.18686311753402</v>
      </c>
      <c r="HA6" s="62">
        <f t="shared" si="52"/>
        <v>215.44422413249839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9">
        <f t="shared" si="1"/>
        <v>256.66666666666669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7.4312217194570129</v>
      </c>
      <c r="N7" s="14">
        <f>IF('Données projet'!$A$36&gt;35,N6+M7-V6,IF(A7&lt;'Données projet'!$A$36,$K$205^A7,IF(A7='Données projet'!$A$36,'Données projet'!$B$36,N6+M7-V6)))</f>
        <v>3.1222864114491768</v>
      </c>
      <c r="O7" s="14">
        <f>N7*VLOOKUP('Données projet'!$B$9,Paramètres!$A$1:$I$89,3,0)*VLOOKUP('Données projet'!$B$9,Paramètres!$A$1:$I$89,5,0)</f>
        <v>1.8671272740466078</v>
      </c>
      <c r="P7" s="14">
        <f t="shared" si="33"/>
        <v>0.80013145376589556</v>
      </c>
      <c r="Q7" s="22">
        <f t="shared" si="2"/>
        <v>4.6454756176067766</v>
      </c>
      <c r="R7" s="62">
        <f t="shared" si="0"/>
        <v>266.20103117316233</v>
      </c>
      <c r="S7" s="62">
        <f ca="1">AVERAGE(OFFSET($R$3,0,0,'Données projet'!$E$9+1,1))-AVERAGE(OFFSET($H$3,0,0,'Données projet'!$E$9+1,1))</f>
        <v>260.02504691866199</v>
      </c>
      <c r="T7" s="62">
        <f t="shared" si="34"/>
        <v>270.11268336406368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2">
        <f t="shared" si="5"/>
        <v>266.8580173405054</v>
      </c>
      <c r="AN7" s="62">
        <f ca="1">AVERAGE(OFFSET($AM$3,0,0,'Données projet'!$E$10+1,1))-AVERAGE(OFFSET($H$3,0,0,'Données projet'!$E$10+1,1))</f>
        <v>475.47920969424894</v>
      </c>
      <c r="AO7" s="62">
        <f t="shared" si="36"/>
        <v>271.73544012419364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1.9107437601419195</v>
      </c>
      <c r="BF7" s="14">
        <f t="shared" si="37"/>
        <v>0.81662477151702284</v>
      </c>
      <c r="BG7" s="22">
        <f t="shared" si="7"/>
        <v>4.7501668593059909</v>
      </c>
      <c r="BH7" s="62">
        <f t="shared" si="8"/>
        <v>266.30572241486152</v>
      </c>
      <c r="BI7" s="62">
        <f ca="1">AVERAGE(OFFSET($BH$3,0,0,'Données projet'!$E$11+1,1))-AVERAGE(OFFSET($H$3,0,0,'Données projet'!$E$11+1,1))</f>
        <v>428.8489304403459</v>
      </c>
      <c r="BJ7" s="62">
        <f t="shared" si="38"/>
        <v>247.01165577562966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2.1333333333333333</v>
      </c>
      <c r="BY7" s="13">
        <f>IF('Données projet'!$A$114&gt;35,BY6+BX7-CG6,IF(A7&lt;'Données projet'!$A$114,$BV$205^A7,IF(A7='Données projet'!$A$114,'Données projet'!$B$114,BY6+BX7-CG6)))</f>
        <v>2.5198420997897468</v>
      </c>
      <c r="BZ7" s="14">
        <f>BY7*VLOOKUP('Données projet'!$B$12,Paramètres!$A$1:$I$89,3,0)*VLOOKUP('Données projet'!$B$12,Paramètres!$A$1:$I$89,5,0)</f>
        <v>2.0440959113494426</v>
      </c>
      <c r="CA7" s="14">
        <f t="shared" si="39"/>
        <v>0.86678420072876483</v>
      </c>
      <c r="CB7" s="22">
        <f t="shared" si="10"/>
        <v>5.0697828618695446</v>
      </c>
      <c r="CC7" s="62">
        <f t="shared" si="11"/>
        <v>266.6253384174251</v>
      </c>
      <c r="CD7" s="62">
        <f ca="1">AVERAGE(OFFSET($CC$3,0,0,'Données projet'!$E$12+1,1))-AVERAGE(OFFSET($H$3,0,0,'Données projet'!$E$12+1,1))</f>
        <v>236.22643401787644</v>
      </c>
      <c r="CE7" s="62">
        <f t="shared" si="40"/>
        <v>188.80444043778022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3.4425641025641025</v>
      </c>
      <c r="CT7" s="13">
        <f>IF('Données projet'!$A$140&gt;35,CT6+CS7-DB6,IF(A7&lt;'Données projet'!$A$140,$CQ$205^A7,IF(A7='Données projet'!$A$140,'Données projet'!$B$140,CT6+CS7-DB6)))</f>
        <v>1.8558111173927514</v>
      </c>
      <c r="CU7" s="18">
        <f>CT7*VLOOKUP('Données projet'!$B$13,Paramètres!$A$1:$I$89,3,0)*VLOOKUP('Données projet'!$B$13,Paramètres!$A$1:$I$89,5,0)</f>
        <v>0.86851960293980757</v>
      </c>
      <c r="CV7" s="14">
        <f t="shared" si="41"/>
        <v>0.40687194183965542</v>
      </c>
      <c r="CW7" s="22">
        <f t="shared" si="13"/>
        <v>2.2213069404908978</v>
      </c>
      <c r="CX7" s="62">
        <f t="shared" si="14"/>
        <v>263.77686249604642</v>
      </c>
      <c r="CY7" s="62">
        <f ca="1">AVERAGE(OFFSET($CX$3,0,0,'Données projet'!$E$13+1,1))-AVERAGE(OFFSET($H$3,0,0,'Données projet'!$E$13+1,1))</f>
        <v>246.73711856758143</v>
      </c>
      <c r="CZ7" s="62">
        <f t="shared" si="42"/>
        <v>145.54897745089966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2.0085470085470085</v>
      </c>
      <c r="DO7" s="13">
        <f>IF('Données projet'!$A$166&gt;35,DO6+DN7-DW6,IF(A7&lt;'Données projet'!$A$166,$DL$205^A7,IF(A7='Données projet'!$A$166,'Données projet'!$B$166,DO6+DN7-DW6)))</f>
        <v>2.4796641843030387</v>
      </c>
      <c r="DP7" s="18">
        <f>DO7*VLOOKUP('Données projet'!$B$14,Paramètres!$A$1:$I$89,3,0)*VLOOKUP('Données projet'!$B$14,Paramètres!$A$1:$I$89,5,0)</f>
        <v>2.5917450054335363</v>
      </c>
      <c r="DQ7" s="14">
        <f t="shared" si="43"/>
        <v>1.069060282146026</v>
      </c>
      <c r="DR7" s="22">
        <f t="shared" si="16"/>
        <v>6.375902542534404</v>
      </c>
      <c r="DS7" s="62">
        <f t="shared" si="17"/>
        <v>267.93145809808993</v>
      </c>
      <c r="DT7" s="62">
        <f ca="1">AVERAGE(OFFSET($DS$3,0,0,'Données projet'!$E$14+1,1))-AVERAGE(OFFSET($H$3,0,0,'Données projet'!$E$14+1,1))</f>
        <v>493.70175665335978</v>
      </c>
      <c r="DU7" s="62">
        <f t="shared" si="44"/>
        <v>325.12357781685949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0.9</v>
      </c>
      <c r="EJ7" s="13">
        <f>IF('Données projet'!$A$192&gt;35,EJ6+EI7-ER6,IF(A7&lt;'Données projet'!$A$192,$EG$205^A7,IF(A7='Données projet'!$A$192,'Données projet'!$B$192,EJ6+EI7-ER6)))</f>
        <v>1.7826024579660036</v>
      </c>
      <c r="EK7" s="18">
        <f>EJ7*VLOOKUP('Données projet'!$B$15,Paramètres!$A$1:$I$89,3,0)*VLOOKUP('Données projet'!$B$15,Paramètres!$A$1:$I$89,5,0)</f>
        <v>1.5572815072791011</v>
      </c>
      <c r="EL7" s="14">
        <f t="shared" si="45"/>
        <v>0.68159698037116012</v>
      </c>
      <c r="EM7" s="22">
        <f t="shared" si="19"/>
        <v>3.8993800326575379</v>
      </c>
      <c r="EN7" s="62">
        <f t="shared" si="20"/>
        <v>265.45493558821306</v>
      </c>
      <c r="EO7" s="62">
        <f ca="1">AVERAGE(OFFSET($EN$3,0,0,'Données projet'!$E$15+1,1))-AVERAGE(OFFSET($H$3,0,0,'Données projet'!$E$15+1,1))</f>
        <v>202.86354781280403</v>
      </c>
      <c r="EP7" s="62">
        <f t="shared" si="46"/>
        <v>217.25323885665131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2.2649572649572649</v>
      </c>
      <c r="FE7" s="13">
        <f>IF('Données projet'!$A$218&gt;35,FE6+FD7-FM6,IF(A7&lt;'Données projet'!$A$218,$FB$205^A7,IF(A7='Données projet'!$A$218,'Données projet'!$B$218,FE6+FD7-FM6)))</f>
        <v>2.5603952077681624</v>
      </c>
      <c r="FF7" s="18">
        <f>FE7*VLOOKUP('Données projet'!$B$16,Paramètres!$A$1:$I$89,3,0)*VLOOKUP('Données projet'!$B$16,Paramètres!$A$1:$I$89,5,0)</f>
        <v>2.4364720797121833</v>
      </c>
      <c r="FG7" s="14">
        <f t="shared" si="47"/>
        <v>1.0122655860238423</v>
      </c>
      <c r="FH7" s="22">
        <f t="shared" si="22"/>
        <v>6.0065514344902446</v>
      </c>
      <c r="FI7" s="62">
        <f t="shared" si="23"/>
        <v>267.56210699004578</v>
      </c>
      <c r="FJ7" s="62">
        <f ca="1">AVERAGE(OFFSET($FI$3,0,0,'Données projet'!$E$16+1,1))-AVERAGE(OFFSET($H$3,0,0,'Données projet'!$E$16+1,1))</f>
        <v>353.61481736740694</v>
      </c>
      <c r="FK7" s="62">
        <f t="shared" si="48"/>
        <v>244.7141066773861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1.05</v>
      </c>
      <c r="FZ7" s="13">
        <f>IF('Données projet'!$A$244&gt;35,FZ6+FY7-GH6,IF(A7&lt;'Données projet'!$A$244,$FW$205^A7,IF(A7='Données projet'!$A$244,'Données projet'!$B$244,FZ6+FY7-GH6)))</f>
        <v>1.8384162872525445</v>
      </c>
      <c r="GA7" s="18">
        <f>FZ7*VLOOKUP('Données projet'!$B$17,Paramètres!$A$1:$I$89,3,0)*VLOOKUP('Données projet'!$B$17,Paramètres!$A$1:$I$89,5,0)</f>
        <v>1.9788712915986386</v>
      </c>
      <c r="GB7" s="14">
        <f t="shared" si="49"/>
        <v>0.84229963077364478</v>
      </c>
      <c r="GC7" s="22">
        <f t="shared" si="25"/>
        <v>4.9135393564650593</v>
      </c>
      <c r="GD7" s="62">
        <f t="shared" si="26"/>
        <v>266.46909491202058</v>
      </c>
      <c r="GE7" s="62">
        <f ca="1">AVERAGE(OFFSET($GD$3,0,0,'Données projet'!$E$17+1,1))-AVERAGE(OFFSET($H$3,0,0,'Données projet'!$E$17+1,1))</f>
        <v>280.20599015000306</v>
      </c>
      <c r="GF7" s="62">
        <f t="shared" si="50"/>
        <v>166.97658184507787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2.7777777777777777</v>
      </c>
      <c r="GU7" s="13">
        <f>IF('Données projet'!$A$270&gt;35,GU6+GT7-HC6,IF(A7&lt;'Données projet'!$A$270,$GR$205^A7,IF(A7='Données projet'!$A$270,'Données projet'!$B$270,GU6+GT7-HC6)))</f>
        <v>2.7036076639735231</v>
      </c>
      <c r="GV7" s="18">
        <f>GU7*VLOOKUP('Données projet'!$B$18,Paramètres!$A$1:$I$89,3,0)*VLOOKUP('Données projet'!$B$18,Paramètres!$A$1:$I$89,5,0)</f>
        <v>1.8135800209934394</v>
      </c>
      <c r="GW7" s="14">
        <f t="shared" si="51"/>
        <v>0.77982133561325717</v>
      </c>
      <c r="GX7" s="22">
        <f t="shared" si="28"/>
        <v>4.5168406960899965</v>
      </c>
      <c r="GY7" s="62">
        <f t="shared" si="29"/>
        <v>266.07239625164556</v>
      </c>
      <c r="GZ7" s="62">
        <f ca="1">AVERAGE(OFFSET($GY$3,0,0,'Données projet'!$E$18+1,1))-AVERAGE(OFFSET($H$3,0,0,'Données projet'!$E$18+1,1))</f>
        <v>291.18686311753402</v>
      </c>
      <c r="HA7" s="62">
        <f t="shared" si="52"/>
        <v>215.44422413249839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9">
        <f t="shared" si="1"/>
        <v>256.66666666666669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7.4312217194570129</v>
      </c>
      <c r="N8" s="14">
        <f>IF('Données projet'!$A$36&gt;35,N7+M8-V7,IF(A8&lt;'Données projet'!$A$36,$K$205^A8,IF(A8='Données projet'!$A$36,'Données projet'!$B$36,N7+M8-V7)))</f>
        <v>4.1504092632222056</v>
      </c>
      <c r="O8" s="14">
        <f>N8*VLOOKUP('Données projet'!$B$9,Paramètres!$A$1:$I$89,3,0)*VLOOKUP('Données projet'!$B$9,Paramètres!$A$1:$I$89,5,0)</f>
        <v>2.4819447394068792</v>
      </c>
      <c r="P8" s="14">
        <f t="shared" si="33"/>
        <v>1.0289407593154982</v>
      </c>
      <c r="Q8" s="22">
        <f t="shared" si="2"/>
        <v>6.1147922436081394</v>
      </c>
      <c r="R8" s="62">
        <f t="shared" si="0"/>
        <v>268.89257002138589</v>
      </c>
      <c r="S8" s="62">
        <f ca="1">AVERAGE(OFFSET($R$3,0,0,'Données projet'!$E$9+1,1))-AVERAGE(OFFSET($H$3,0,0,'Données projet'!$E$9+1,1))</f>
        <v>260.02504691866199</v>
      </c>
      <c r="T8" s="62">
        <f t="shared" si="34"/>
        <v>270.11268336406368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2">
        <f t="shared" si="5"/>
        <v>269.12902329365244</v>
      </c>
      <c r="AN8" s="62">
        <f ca="1">AVERAGE(OFFSET($AM$3,0,0,'Données projet'!$E$10+1,1))-AVERAGE(OFFSET($H$3,0,0,'Données projet'!$E$10+1,1))</f>
        <v>475.47920969424894</v>
      </c>
      <c r="AO8" s="62">
        <f t="shared" si="36"/>
        <v>271.73544012419364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2.3033764090157529</v>
      </c>
      <c r="BF8" s="14">
        <f t="shared" si="37"/>
        <v>0.96324708482559218</v>
      </c>
      <c r="BG8" s="22">
        <f t="shared" si="7"/>
        <v>5.6893692517736758</v>
      </c>
      <c r="BH8" s="62">
        <f t="shared" si="8"/>
        <v>268.46714702955143</v>
      </c>
      <c r="BI8" s="62">
        <f ca="1">AVERAGE(OFFSET($BH$3,0,0,'Données projet'!$E$11+1,1))-AVERAGE(OFFSET($H$3,0,0,'Données projet'!$E$11+1,1))</f>
        <v>428.8489304403459</v>
      </c>
      <c r="BJ8" s="62">
        <f t="shared" si="38"/>
        <v>247.01165577562966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2.1333333333333333</v>
      </c>
      <c r="BY8" s="13">
        <f>IF('Données projet'!$A$114&gt;35,BY7+BX8-CG7,IF(A8&lt;'Données projet'!$A$114,$BV$205^A8,IF(A8='Données projet'!$A$114,'Données projet'!$B$114,BY7+BX8-CG7)))</f>
        <v>3.1748021039363996</v>
      </c>
      <c r="BZ8" s="14">
        <f>BY8*VLOOKUP('Données projet'!$B$12,Paramètres!$A$1:$I$89,3,0)*VLOOKUP('Données projet'!$B$12,Paramètres!$A$1:$I$89,5,0)</f>
        <v>2.5753994667132076</v>
      </c>
      <c r="CA8" s="14">
        <f t="shared" si="39"/>
        <v>1.0631005790263708</v>
      </c>
      <c r="CB8" s="22">
        <f t="shared" si="10"/>
        <v>6.3370542463297648</v>
      </c>
      <c r="CC8" s="62">
        <f t="shared" si="11"/>
        <v>269.11483202410756</v>
      </c>
      <c r="CD8" s="62">
        <f ca="1">AVERAGE(OFFSET($CC$3,0,0,'Données projet'!$E$12+1,1))-AVERAGE(OFFSET($H$3,0,0,'Données projet'!$E$12+1,1))</f>
        <v>236.22643401787644</v>
      </c>
      <c r="CE8" s="62">
        <f t="shared" si="40"/>
        <v>188.80444043778022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3.4425641025641025</v>
      </c>
      <c r="CT8" s="13">
        <f>IF('Données projet'!$A$140&gt;35,CT7+CS8-DB7,IF(A8&lt;'Données projet'!$A$140,$CQ$205^A8,IF(A8='Données projet'!$A$140,'Données projet'!$B$140,CT7+CS8-DB7)))</f>
        <v>2.1660437040287945</v>
      </c>
      <c r="CU8" s="18">
        <f>CT8*VLOOKUP('Données projet'!$B$13,Paramètres!$A$1:$I$89,3,0)*VLOOKUP('Données projet'!$B$13,Paramètres!$A$1:$I$89,5,0)</f>
        <v>1.0137084534854759</v>
      </c>
      <c r="CV8" s="14">
        <f t="shared" si="41"/>
        <v>0.46641966415357117</v>
      </c>
      <c r="CW8" s="22">
        <f t="shared" si="13"/>
        <v>2.5778898048880068</v>
      </c>
      <c r="CX8" s="62">
        <f t="shared" si="14"/>
        <v>265.35566758266577</v>
      </c>
      <c r="CY8" s="62">
        <f ca="1">AVERAGE(OFFSET($CX$3,0,0,'Données projet'!$E$13+1,1))-AVERAGE(OFFSET($H$3,0,0,'Données projet'!$E$13+1,1))</f>
        <v>246.73711856758143</v>
      </c>
      <c r="CZ8" s="62">
        <f t="shared" si="42"/>
        <v>145.54897745089966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2.0085470085470085</v>
      </c>
      <c r="DO8" s="13">
        <f>IF('Données projet'!$A$166&gt;35,DO7+DN8-DW7,IF(A8&lt;'Données projet'!$A$166,$DL$205^A8,IF(A8='Données projet'!$A$166,'Données projet'!$B$166,DO7+DN8-DW7)))</f>
        <v>3.1116524728023753</v>
      </c>
      <c r="DP8" s="18">
        <f>DO8*VLOOKUP('Données projet'!$B$14,Paramètres!$A$1:$I$89,3,0)*VLOOKUP('Données projet'!$B$14,Paramètres!$A$1:$I$89,5,0)</f>
        <v>3.2522991645730426</v>
      </c>
      <c r="DQ8" s="14">
        <f t="shared" si="43"/>
        <v>1.3065426155602187</v>
      </c>
      <c r="DR8" s="22">
        <f t="shared" si="16"/>
        <v>7.9399827670654304</v>
      </c>
      <c r="DS8" s="62">
        <f t="shared" si="17"/>
        <v>270.7177605448432</v>
      </c>
      <c r="DT8" s="62">
        <f ca="1">AVERAGE(OFFSET($DS$3,0,0,'Données projet'!$E$14+1,1))-AVERAGE(OFFSET($H$3,0,0,'Données projet'!$E$14+1,1))</f>
        <v>493.70175665335978</v>
      </c>
      <c r="DU8" s="62">
        <f t="shared" si="44"/>
        <v>325.12357781685949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0.9</v>
      </c>
      <c r="EJ8" s="13">
        <f>IF('Données projet'!$A$192&gt;35,EJ7+EI8-ER7,IF(A8&lt;'Données projet'!$A$192,$EG$205^A8,IF(A8='Données projet'!$A$192,'Données projet'!$B$192,EJ7+EI8-ER7)))</f>
        <v>2.0597671439071181</v>
      </c>
      <c r="EK8" s="18">
        <f>EJ8*VLOOKUP('Données projet'!$B$15,Paramètres!$A$1:$I$89,3,0)*VLOOKUP('Données projet'!$B$15,Paramètres!$A$1:$I$89,5,0)</f>
        <v>1.7994125769172586</v>
      </c>
      <c r="EL8" s="14">
        <f t="shared" si="45"/>
        <v>0.77443611390200762</v>
      </c>
      <c r="EM8" s="22">
        <f t="shared" si="19"/>
        <v>4.4827864698435551</v>
      </c>
      <c r="EN8" s="62">
        <f t="shared" si="20"/>
        <v>267.26056424762135</v>
      </c>
      <c r="EO8" s="62">
        <f ca="1">AVERAGE(OFFSET($EN$3,0,0,'Données projet'!$E$15+1,1))-AVERAGE(OFFSET($H$3,0,0,'Données projet'!$E$15+1,1))</f>
        <v>202.86354781280403</v>
      </c>
      <c r="EP8" s="62">
        <f t="shared" si="46"/>
        <v>217.25323885665131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2.2649572649572649</v>
      </c>
      <c r="FE8" s="13">
        <f>IF('Données projet'!$A$218&gt;35,FE7+FD8-FM7,IF(A8&lt;'Données projet'!$A$218,$FB$205^A8,IF(A8='Données projet'!$A$218,'Données projet'!$B$218,FE7+FD8-FM7)))</f>
        <v>3.2387972144185837</v>
      </c>
      <c r="FF8" s="18">
        <f>FE8*VLOOKUP('Données projet'!$B$16,Paramètres!$A$1:$I$89,3,0)*VLOOKUP('Données projet'!$B$16,Paramètres!$A$1:$I$89,5,0)</f>
        <v>3.0820394292407243</v>
      </c>
      <c r="FG8" s="14">
        <f t="shared" si="47"/>
        <v>1.2459180853304419</v>
      </c>
      <c r="FH8" s="22">
        <f t="shared" si="22"/>
        <v>7.5378593378781131</v>
      </c>
      <c r="FI8" s="62">
        <f t="shared" si="23"/>
        <v>270.31563711565587</v>
      </c>
      <c r="FJ8" s="62">
        <f ca="1">AVERAGE(OFFSET($FI$3,0,0,'Données projet'!$E$16+1,1))-AVERAGE(OFFSET($H$3,0,0,'Données projet'!$E$16+1,1))</f>
        <v>353.61481736740694</v>
      </c>
      <c r="FK8" s="62">
        <f t="shared" si="48"/>
        <v>244.7141066773861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1.05</v>
      </c>
      <c r="FZ8" s="13">
        <f>IF('Données projet'!$A$244&gt;35,FZ7+FY8-GH7,IF(A8&lt;'Données projet'!$A$244,$FW$205^A8,IF(A8='Données projet'!$A$244,'Données projet'!$B$244,FZ7+FY8-GH7)))</f>
        <v>2.1406951429280729</v>
      </c>
      <c r="GA8" s="18">
        <f>FZ8*VLOOKUP('Données projet'!$B$17,Paramètres!$A$1:$I$89,3,0)*VLOOKUP('Données projet'!$B$17,Paramètres!$A$1:$I$89,5,0)</f>
        <v>2.3042442518477775</v>
      </c>
      <c r="GB8" s="14">
        <f t="shared" si="49"/>
        <v>0.96356775609780188</v>
      </c>
      <c r="GC8" s="22">
        <f t="shared" si="25"/>
        <v>5.6914392471718847</v>
      </c>
      <c r="GD8" s="62">
        <f t="shared" si="26"/>
        <v>268.46921702494967</v>
      </c>
      <c r="GE8" s="62">
        <f ca="1">AVERAGE(OFFSET($GD$3,0,0,'Données projet'!$E$17+1,1))-AVERAGE(OFFSET($H$3,0,0,'Données projet'!$E$17+1,1))</f>
        <v>280.20599015000306</v>
      </c>
      <c r="GF8" s="62">
        <f t="shared" si="50"/>
        <v>166.97658184507787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2.7777777777777777</v>
      </c>
      <c r="GU8" s="13">
        <f>IF('Données projet'!$A$270&gt;35,GU7+GT8-HC7,IF(A8&lt;'Données projet'!$A$270,$GR$205^A8,IF(A8='Données projet'!$A$270,'Données projet'!$B$270,GU7+GT8-HC7)))</f>
        <v>3.4668063717531736</v>
      </c>
      <c r="GV8" s="18">
        <f>GU8*VLOOKUP('Données projet'!$B$18,Paramètres!$A$1:$I$89,3,0)*VLOOKUP('Données projet'!$B$18,Paramètres!$A$1:$I$89,5,0)</f>
        <v>2.3255337141720287</v>
      </c>
      <c r="GW8" s="14">
        <f t="shared" si="51"/>
        <v>0.97142990659201334</v>
      </c>
      <c r="GX8" s="22">
        <f t="shared" si="28"/>
        <v>5.7422116394973726</v>
      </c>
      <c r="GY8" s="62">
        <f t="shared" si="29"/>
        <v>268.51998941727516</v>
      </c>
      <c r="GZ8" s="62">
        <f ca="1">AVERAGE(OFFSET($GY$3,0,0,'Données projet'!$E$18+1,1))-AVERAGE(OFFSET($H$3,0,0,'Données projet'!$E$18+1,1))</f>
        <v>291.18686311753402</v>
      </c>
      <c r="HA8" s="62">
        <f t="shared" si="52"/>
        <v>215.44422413249839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9">
        <f t="shared" si="1"/>
        <v>256.66666666666669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7.4312217194570129</v>
      </c>
      <c r="N9" s="14">
        <f>IF('Données projet'!$A$36&gt;35,N8+M9-V8,IF(A9&lt;'Données projet'!$A$36,$K$205^A9,IF(A9='Données projet'!$A$36,'Données projet'!$B$36,N8+M9-V8)))</f>
        <v>5.5170778020474653</v>
      </c>
      <c r="O9" s="14">
        <f>N9*VLOOKUP('Données projet'!$B$9,Paramètres!$A$1:$I$89,3,0)*VLOOKUP('Données projet'!$B$9,Paramètres!$A$1:$I$89,5,0)</f>
        <v>3.2992125256243843</v>
      </c>
      <c r="P9" s="14">
        <f t="shared" si="33"/>
        <v>1.3231814362474952</v>
      </c>
      <c r="Q9" s="22">
        <f t="shared" si="2"/>
        <v>8.0506694835935235</v>
      </c>
      <c r="R9" s="62">
        <f t="shared" si="0"/>
        <v>272.05066948359354</v>
      </c>
      <c r="S9" s="62">
        <f ca="1">AVERAGE(OFFSET($R$3,0,0,'Données projet'!$E$9+1,1))-AVERAGE(OFFSET($H$3,0,0,'Données projet'!$E$9+1,1))</f>
        <v>260.02504691866199</v>
      </c>
      <c r="T9" s="62">
        <f t="shared" si="34"/>
        <v>270.11268336406368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2">
        <f t="shared" si="5"/>
        <v>271.60821456387049</v>
      </c>
      <c r="AN9" s="62">
        <f ca="1">AVERAGE(OFFSET($AM$3,0,0,'Données projet'!$E$10+1,1))-AVERAGE(OFFSET($H$3,0,0,'Données projet'!$E$10+1,1))</f>
        <v>475.47920969424894</v>
      </c>
      <c r="AO9" s="62">
        <f t="shared" si="36"/>
        <v>271.73544012419364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2.7766898902321886</v>
      </c>
      <c r="BF9" s="14">
        <f t="shared" si="37"/>
        <v>1.1361949561012803</v>
      </c>
      <c r="BG9" s="22">
        <f t="shared" si="7"/>
        <v>6.8149411073641248</v>
      </c>
      <c r="BH9" s="62">
        <f t="shared" si="8"/>
        <v>270.81494110736412</v>
      </c>
      <c r="BI9" s="62">
        <f ca="1">AVERAGE(OFFSET($BH$3,0,0,'Données projet'!$E$11+1,1))-AVERAGE(OFFSET($H$3,0,0,'Données projet'!$E$11+1,1))</f>
        <v>428.8489304403459</v>
      </c>
      <c r="BJ9" s="62">
        <f t="shared" si="38"/>
        <v>247.01165577562966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2.1333333333333333</v>
      </c>
      <c r="BY9" s="13">
        <f>IF('Données projet'!$A$114&gt;35,BY8+BX9-CG8,IF(A9&lt;'Données projet'!$A$114,$BV$205^A9,IF(A9='Données projet'!$A$114,'Données projet'!$B$114,BY8+BX9-CG8)))</f>
        <v>4.0000000000000009</v>
      </c>
      <c r="BZ9" s="14">
        <f>BY9*VLOOKUP('Données projet'!$B$12,Paramètres!$A$1:$I$89,3,0)*VLOOKUP('Données projet'!$B$12,Paramètres!$A$1:$I$89,5,0)</f>
        <v>3.244800000000001</v>
      </c>
      <c r="CA9" s="14">
        <f t="shared" si="39"/>
        <v>1.3038802970520027</v>
      </c>
      <c r="CB9" s="22">
        <f t="shared" si="10"/>
        <v>7.9222848506989054</v>
      </c>
      <c r="CC9" s="62">
        <f t="shared" si="11"/>
        <v>271.92228485069893</v>
      </c>
      <c r="CD9" s="62">
        <f ca="1">AVERAGE(OFFSET($CC$3,0,0,'Données projet'!$E$12+1,1))-AVERAGE(OFFSET($H$3,0,0,'Données projet'!$E$12+1,1))</f>
        <v>236.22643401787644</v>
      </c>
      <c r="CE9" s="62">
        <f t="shared" si="40"/>
        <v>188.80444043778022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3.4425641025641025</v>
      </c>
      <c r="CT9" s="13">
        <f>IF('Données projet'!$A$140&gt;35,CT8+CS9-DB8,IF(A9&lt;'Données projet'!$A$140,$CQ$205^A9,IF(A9='Données projet'!$A$140,'Données projet'!$B$140,CT8+CS9-DB8)))</f>
        <v>2.5281373108456551</v>
      </c>
      <c r="CU9" s="18">
        <f>CT9*VLOOKUP('Données projet'!$B$13,Paramètres!$A$1:$I$89,3,0)*VLOOKUP('Données projet'!$B$13,Paramètres!$A$1:$I$89,5,0)</f>
        <v>1.1831682614757666</v>
      </c>
      <c r="CV9" s="14">
        <f t="shared" si="41"/>
        <v>0.53468249033221249</v>
      </c>
      <c r="CW9" s="22">
        <f t="shared" si="13"/>
        <v>2.9919233927322302</v>
      </c>
      <c r="CX9" s="62">
        <f t="shared" si="14"/>
        <v>266.99192339273225</v>
      </c>
      <c r="CY9" s="62">
        <f ca="1">AVERAGE(OFFSET($CX$3,0,0,'Données projet'!$E$13+1,1))-AVERAGE(OFFSET($H$3,0,0,'Données projet'!$E$13+1,1))</f>
        <v>246.73711856758143</v>
      </c>
      <c r="CZ9" s="62">
        <f t="shared" si="42"/>
        <v>145.54897745089966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2.0085470085470085</v>
      </c>
      <c r="DO9" s="13">
        <f>IF('Données projet'!$A$166&gt;35,DO8+DN9-DW8,IF(A9&lt;'Données projet'!$A$166,$DL$205^A9,IF(A9='Données projet'!$A$166,'Données projet'!$B$166,DO8+DN9-DW8)))</f>
        <v>3.9047146677317404</v>
      </c>
      <c r="DP9" s="18">
        <f>DO9*VLOOKUP('Données projet'!$B$14,Paramètres!$A$1:$I$89,3,0)*VLOOKUP('Données projet'!$B$14,Paramètres!$A$1:$I$89,5,0)</f>
        <v>4.0812077707132151</v>
      </c>
      <c r="DQ9" s="14">
        <f t="shared" si="43"/>
        <v>1.5967795593792025</v>
      </c>
      <c r="DR9" s="22">
        <f t="shared" si="16"/>
        <v>9.8891612665776254</v>
      </c>
      <c r="DS9" s="62">
        <f t="shared" si="17"/>
        <v>273.88916126657762</v>
      </c>
      <c r="DT9" s="62">
        <f ca="1">AVERAGE(OFFSET($DS$3,0,0,'Données projet'!$E$14+1,1))-AVERAGE(OFFSET($H$3,0,0,'Données projet'!$E$14+1,1))</f>
        <v>493.70175665335978</v>
      </c>
      <c r="DU9" s="62">
        <f t="shared" si="44"/>
        <v>325.12357781685949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0.9</v>
      </c>
      <c r="EJ9" s="13">
        <f>IF('Données projet'!$A$192&gt;35,EJ8+EI9-ER8,IF(A9&lt;'Données projet'!$A$192,$EG$205^A9,IF(A9='Données projet'!$A$192,'Données projet'!$B$192,EJ8+EI9-ER8)))</f>
        <v>2.3800262745964411</v>
      </c>
      <c r="EK9" s="18">
        <f>EJ9*VLOOKUP('Données projet'!$B$15,Paramètres!$A$1:$I$89,3,0)*VLOOKUP('Données projet'!$B$15,Paramètres!$A$1:$I$89,5,0)</f>
        <v>2.0791909534874513</v>
      </c>
      <c r="EL9" s="14">
        <f t="shared" si="45"/>
        <v>0.87992070356451979</v>
      </c>
      <c r="EM9" s="22">
        <f t="shared" si="19"/>
        <v>5.1537861360321822</v>
      </c>
      <c r="EN9" s="62">
        <f t="shared" si="20"/>
        <v>269.15378613603218</v>
      </c>
      <c r="EO9" s="62">
        <f ca="1">AVERAGE(OFFSET($EN$3,0,0,'Données projet'!$E$15+1,1))-AVERAGE(OFFSET($H$3,0,0,'Données projet'!$E$15+1,1))</f>
        <v>202.86354781280403</v>
      </c>
      <c r="EP9" s="62">
        <f t="shared" si="46"/>
        <v>217.25323885665131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2.2649572649572649</v>
      </c>
      <c r="FE9" s="13">
        <f>IF('Données projet'!$A$218&gt;35,FE8+FD9-FM8,IF(A9&lt;'Données projet'!$A$218,$FB$205^A9,IF(A9='Données projet'!$A$218,'Données projet'!$B$218,FE8+FD9-FM8)))</f>
        <v>4.0969485352494868</v>
      </c>
      <c r="FF9" s="18">
        <f>FE9*VLOOKUP('Données projet'!$B$16,Paramètres!$A$1:$I$89,3,0)*VLOOKUP('Données projet'!$B$16,Paramètres!$A$1:$I$89,5,0)</f>
        <v>3.8986562261434119</v>
      </c>
      <c r="FG9" s="14">
        <f t="shared" si="47"/>
        <v>1.5335025676916687</v>
      </c>
      <c r="FH9" s="22">
        <f t="shared" si="22"/>
        <v>9.4610098992627645</v>
      </c>
      <c r="FI9" s="62">
        <f t="shared" si="23"/>
        <v>273.46100989926276</v>
      </c>
      <c r="FJ9" s="62">
        <f ca="1">AVERAGE(OFFSET($FI$3,0,0,'Données projet'!$E$16+1,1))-AVERAGE(OFFSET($H$3,0,0,'Données projet'!$E$16+1,1))</f>
        <v>353.61481736740694</v>
      </c>
      <c r="FK9" s="62">
        <f t="shared" si="48"/>
        <v>244.7141066773861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1.05</v>
      </c>
      <c r="FZ9" s="13">
        <f>IF('Données projet'!$A$244&gt;35,FZ8+FY9-GH8,IF(A9&lt;'Données projet'!$A$244,$FW$205^A9,IF(A9='Données projet'!$A$244,'Données projet'!$B$244,FZ8+FY9-GH8)))</f>
        <v>2.4926757485402602</v>
      </c>
      <c r="GA9" s="18">
        <f>FZ9*VLOOKUP('Données projet'!$B$17,Paramètres!$A$1:$I$89,3,0)*VLOOKUP('Données projet'!$B$17,Paramètres!$A$1:$I$89,5,0)</f>
        <v>2.6831161757287361</v>
      </c>
      <c r="GB9" s="14">
        <f t="shared" si="49"/>
        <v>1.1022951770008116</v>
      </c>
      <c r="GC9" s="22">
        <f t="shared" si="25"/>
        <v>6.5929247726706288</v>
      </c>
      <c r="GD9" s="62">
        <f t="shared" si="26"/>
        <v>270.59292477267064</v>
      </c>
      <c r="GE9" s="62">
        <f ca="1">AVERAGE(OFFSET($GD$3,0,0,'Données projet'!$E$17+1,1))-AVERAGE(OFFSET($H$3,0,0,'Données projet'!$E$17+1,1))</f>
        <v>280.20599015000306</v>
      </c>
      <c r="GF9" s="62">
        <f t="shared" si="50"/>
        <v>166.97658184507787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2.7777777777777777</v>
      </c>
      <c r="GU9" s="13">
        <f>IF('Données projet'!$A$270&gt;35,GU8+GT9-HC8,IF(A9&lt;'Données projet'!$A$270,$GR$205^A9,IF(A9='Données projet'!$A$270,'Données projet'!$B$270,GU8+GT9-HC8)))</f>
        <v>4.4454476806610002</v>
      </c>
      <c r="GV9" s="18">
        <f>GU9*VLOOKUP('Données projet'!$B$18,Paramètres!$A$1:$I$89,3,0)*VLOOKUP('Données projet'!$B$18,Paramètres!$A$1:$I$89,5,0)</f>
        <v>2.982006304187399</v>
      </c>
      <c r="GW9" s="14">
        <f t="shared" si="51"/>
        <v>1.2101182929026357</v>
      </c>
      <c r="GX9" s="22">
        <f t="shared" si="28"/>
        <v>7.3012836732651438</v>
      </c>
      <c r="GY9" s="62">
        <f t="shared" si="29"/>
        <v>271.30128367326512</v>
      </c>
      <c r="GZ9" s="62">
        <f ca="1">AVERAGE(OFFSET($GY$3,0,0,'Données projet'!$E$18+1,1))-AVERAGE(OFFSET($H$3,0,0,'Données projet'!$E$18+1,1))</f>
        <v>291.18686311753402</v>
      </c>
      <c r="HA9" s="62">
        <f t="shared" si="52"/>
        <v>215.44422413249839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9">
        <f t="shared" si="1"/>
        <v>256.66666666666669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7.4312217194570129</v>
      </c>
      <c r="N10" s="14">
        <f>IF('Données projet'!$A$36&gt;35,N9+M10-V9,IF(A10&lt;'Données projet'!$A$36,$K$205^A10,IF(A10='Données projet'!$A$36,'Données projet'!$B$36,N9+M10-V9)))</f>
        <v>7.3337701280605696</v>
      </c>
      <c r="O10" s="14">
        <f>N10*VLOOKUP('Données projet'!$B$9,Paramètres!$A$1:$I$89,3,0)*VLOOKUP('Données projet'!$B$9,Paramètres!$A$1:$I$89,5,0)</f>
        <v>4.3855945365802205</v>
      </c>
      <c r="P10" s="14">
        <f t="shared" si="33"/>
        <v>1.7015645433219191</v>
      </c>
      <c r="Q10" s="22">
        <f t="shared" si="2"/>
        <v>10.601802064162893</v>
      </c>
      <c r="R10" s="62">
        <f t="shared" si="0"/>
        <v>275.82402428638511</v>
      </c>
      <c r="S10" s="62">
        <f ca="1">AVERAGE(OFFSET($R$3,0,0,'Données projet'!$E$9+1,1))-AVERAGE(OFFSET($H$3,0,0,'Données projet'!$E$9+1,1))</f>
        <v>260.02504691866199</v>
      </c>
      <c r="T10" s="62">
        <f t="shared" si="34"/>
        <v>270.11268336406368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2">
        <f t="shared" si="5"/>
        <v>274.33705514539406</v>
      </c>
      <c r="AN10" s="62">
        <f ca="1">AVERAGE(OFFSET($AM$3,0,0,'Données projet'!$E$10+1,1))-AVERAGE(OFFSET($H$3,0,0,'Données projet'!$E$10+1,1))</f>
        <v>475.47920969424894</v>
      </c>
      <c r="AO10" s="62">
        <f t="shared" si="36"/>
        <v>271.73544012419364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3.3472630510321921</v>
      </c>
      <c r="BF10" s="14">
        <f t="shared" si="37"/>
        <v>1.34019505338418</v>
      </c>
      <c r="BG10" s="22">
        <f t="shared" si="7"/>
        <v>8.1639895318585136</v>
      </c>
      <c r="BH10" s="62">
        <f t="shared" si="8"/>
        <v>273.38621175408076</v>
      </c>
      <c r="BI10" s="62">
        <f ca="1">AVERAGE(OFFSET($BH$3,0,0,'Données projet'!$E$11+1,1))-AVERAGE(OFFSET($H$3,0,0,'Données projet'!$E$11+1,1))</f>
        <v>428.8489304403459</v>
      </c>
      <c r="BJ10" s="62">
        <f t="shared" si="38"/>
        <v>247.01165577562966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2.1333333333333333</v>
      </c>
      <c r="BY10" s="13">
        <f>IF('Données projet'!$A$114&gt;35,BY9+BX10-CG9,IF(A10&lt;'Données projet'!$A$114,$BV$205^A10,IF(A10='Données projet'!$A$114,'Données projet'!$B$114,BY9+BX10-CG9)))</f>
        <v>5.0396841995794937</v>
      </c>
      <c r="BZ10" s="14">
        <f>BY10*VLOOKUP('Données projet'!$B$12,Paramètres!$A$1:$I$89,3,0)*VLOOKUP('Données projet'!$B$12,Paramètres!$A$1:$I$89,5,0)</f>
        <v>4.0881918226988851</v>
      </c>
      <c r="CA10" s="14">
        <f t="shared" si="39"/>
        <v>1.5991937758113535</v>
      </c>
      <c r="CB10" s="22">
        <f t="shared" si="10"/>
        <v>9.9055299174053317</v>
      </c>
      <c r="CC10" s="62">
        <f t="shared" si="11"/>
        <v>275.12775213962755</v>
      </c>
      <c r="CD10" s="62">
        <f ca="1">AVERAGE(OFFSET($CC$3,0,0,'Données projet'!$E$12+1,1))-AVERAGE(OFFSET($H$3,0,0,'Données projet'!$E$12+1,1))</f>
        <v>236.22643401787644</v>
      </c>
      <c r="CE10" s="62">
        <f t="shared" si="40"/>
        <v>188.80444043778022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3.4425641025641025</v>
      </c>
      <c r="CT10" s="13">
        <f>IF('Données projet'!$A$140&gt;35,CT9+CS10-DB9,IF(A10&lt;'Données projet'!$A$140,$CQ$205^A10,IF(A10='Données projet'!$A$140,'Données projet'!$B$140,CT9+CS10-DB9)))</f>
        <v>2.9507614507509188</v>
      </c>
      <c r="CU10" s="18">
        <f>CT10*VLOOKUP('Données projet'!$B$13,Paramètres!$A$1:$I$89,3,0)*VLOOKUP('Données projet'!$B$13,Paramètres!$A$1:$I$89,5,0)</f>
        <v>1.38095635895143</v>
      </c>
      <c r="CV10" s="14">
        <f t="shared" si="41"/>
        <v>0.61293591895758326</v>
      </c>
      <c r="CW10" s="22">
        <f t="shared" si="13"/>
        <v>3.472695717358198</v>
      </c>
      <c r="CX10" s="62">
        <f t="shared" si="14"/>
        <v>268.69491793958042</v>
      </c>
      <c r="CY10" s="62">
        <f ca="1">AVERAGE(OFFSET($CX$3,0,0,'Données projet'!$E$13+1,1))-AVERAGE(OFFSET($H$3,0,0,'Données projet'!$E$13+1,1))</f>
        <v>246.73711856758143</v>
      </c>
      <c r="CZ10" s="62">
        <f t="shared" si="42"/>
        <v>145.54897745089966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2.0085470085470085</v>
      </c>
      <c r="DO10" s="13">
        <f>IF('Données projet'!$A$166&gt;35,DO9+DN10-DW9,IF(A10&lt;'Données projet'!$A$166,$DL$205^A10,IF(A10='Données projet'!$A$166,'Données projet'!$B$166,DO9+DN10-DW9)))</f>
        <v>4.899903433839456</v>
      </c>
      <c r="DP10" s="18">
        <f>DO10*VLOOKUP('Données projet'!$B$14,Paramètres!$A$1:$I$89,3,0)*VLOOKUP('Données projet'!$B$14,Paramètres!$A$1:$I$89,5,0)</f>
        <v>5.1213790690489995</v>
      </c>
      <c r="DQ10" s="14">
        <f t="shared" si="43"/>
        <v>1.9514900860374758</v>
      </c>
      <c r="DR10" s="22">
        <f t="shared" si="16"/>
        <v>12.318580445108942</v>
      </c>
      <c r="DS10" s="62">
        <f t="shared" si="17"/>
        <v>277.54080266733115</v>
      </c>
      <c r="DT10" s="62">
        <f ca="1">AVERAGE(OFFSET($DS$3,0,0,'Données projet'!$E$14+1,1))-AVERAGE(OFFSET($H$3,0,0,'Données projet'!$E$14+1,1))</f>
        <v>493.70175665335978</v>
      </c>
      <c r="DU10" s="62">
        <f t="shared" si="44"/>
        <v>325.12357781685949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0.9</v>
      </c>
      <c r="EJ10" s="13">
        <f>IF('Données projet'!$A$192&gt;35,EJ9+EI10-ER9,IF(A10&lt;'Données projet'!$A$192,$EG$205^A10,IF(A10='Données projet'!$A$192,'Données projet'!$B$192,EJ9+EI10-ER9)))</f>
        <v>2.7500803110319185</v>
      </c>
      <c r="EK10" s="18">
        <f>EJ10*VLOOKUP('Données projet'!$B$15,Paramètres!$A$1:$I$89,3,0)*VLOOKUP('Données projet'!$B$15,Paramètres!$A$1:$I$89,5,0)</f>
        <v>2.4024701597174842</v>
      </c>
      <c r="EL10" s="14">
        <f t="shared" si="45"/>
        <v>0.9997731648390682</v>
      </c>
      <c r="EM10" s="22">
        <f t="shared" si="19"/>
        <v>5.9255737902693291</v>
      </c>
      <c r="EN10" s="62">
        <f t="shared" si="20"/>
        <v>271.14779601249154</v>
      </c>
      <c r="EO10" s="62">
        <f ca="1">AVERAGE(OFFSET($EN$3,0,0,'Données projet'!$E$15+1,1))-AVERAGE(OFFSET($H$3,0,0,'Données projet'!$E$15+1,1))</f>
        <v>202.86354781280403</v>
      </c>
      <c r="EP10" s="62">
        <f t="shared" si="46"/>
        <v>217.25323885665131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2.2649572649572649</v>
      </c>
      <c r="FE10" s="13">
        <f>IF('Données projet'!$A$218&gt;35,FE9+FD10-FM9,IF(A10&lt;'Données projet'!$A$218,$FB$205^A10,IF(A10='Données projet'!$A$218,'Données projet'!$B$218,FE9+FD10-FM9)))</f>
        <v>5.1824755269514737</v>
      </c>
      <c r="FF10" s="18">
        <f>FE10*VLOOKUP('Données projet'!$B$16,Paramètres!$A$1:$I$89,3,0)*VLOOKUP('Données projet'!$B$16,Paramètres!$A$1:$I$89,5,0)</f>
        <v>4.9316437114470224</v>
      </c>
      <c r="FG10" s="14">
        <f t="shared" si="47"/>
        <v>1.8874676857212829</v>
      </c>
      <c r="FH10" s="22">
        <f t="shared" si="22"/>
        <v>11.876619016734798</v>
      </c>
      <c r="FI10" s="62">
        <f t="shared" si="23"/>
        <v>277.09884123895705</v>
      </c>
      <c r="FJ10" s="62">
        <f ca="1">AVERAGE(OFFSET($FI$3,0,0,'Données projet'!$E$16+1,1))-AVERAGE(OFFSET($H$3,0,0,'Données projet'!$E$16+1,1))</f>
        <v>353.61481736740694</v>
      </c>
      <c r="FK10" s="62">
        <f t="shared" si="48"/>
        <v>244.7141066773861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1.05</v>
      </c>
      <c r="FZ10" s="13">
        <f>IF('Données projet'!$A$244&gt;35,FZ9+FY10-GH9,IF(A10&lt;'Données projet'!$A$244,$FW$205^A10,IF(A10='Données projet'!$A$244,'Données projet'!$B$244,FZ9+FY10-GH9)))</f>
        <v>2.9025302401826014</v>
      </c>
      <c r="GA10" s="18">
        <f>FZ10*VLOOKUP('Données projet'!$B$17,Paramètres!$A$1:$I$89,3,0)*VLOOKUP('Données projet'!$B$17,Paramètres!$A$1:$I$89,5,0)</f>
        <v>3.1242835505325521</v>
      </c>
      <c r="GB10" s="14">
        <f t="shared" si="49"/>
        <v>1.2609955548532519</v>
      </c>
      <c r="GC10" s="22">
        <f t="shared" si="25"/>
        <v>7.6376944418802752</v>
      </c>
      <c r="GD10" s="62">
        <f t="shared" si="26"/>
        <v>272.85991666410251</v>
      </c>
      <c r="GE10" s="62">
        <f ca="1">AVERAGE(OFFSET($GD$3,0,0,'Données projet'!$E$17+1,1))-AVERAGE(OFFSET($H$3,0,0,'Données projet'!$E$17+1,1))</f>
        <v>280.20599015000306</v>
      </c>
      <c r="GF10" s="62">
        <f t="shared" si="50"/>
        <v>166.97658184507787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2.7777777777777777</v>
      </c>
      <c r="GU10" s="13">
        <f>IF('Données projet'!$A$270&gt;35,GU9+GT10-HC9,IF(A10&lt;'Données projet'!$A$270,$GR$205^A10,IF(A10='Données projet'!$A$270,'Données projet'!$B$270,GU9+GT10-HC9)))</f>
        <v>5.7003486674395836</v>
      </c>
      <c r="GV10" s="18">
        <f>GU10*VLOOKUP('Données projet'!$B$18,Paramètres!$A$1:$I$89,3,0)*VLOOKUP('Données projet'!$B$18,Paramètres!$A$1:$I$89,5,0)</f>
        <v>3.8237938861184726</v>
      </c>
      <c r="GW10" s="14">
        <f t="shared" si="51"/>
        <v>1.5074543957113413</v>
      </c>
      <c r="GX10" s="22">
        <f t="shared" si="28"/>
        <v>9.2852574241869252</v>
      </c>
      <c r="GY10" s="62">
        <f t="shared" si="29"/>
        <v>274.50747964640914</v>
      </c>
      <c r="GZ10" s="62">
        <f ca="1">AVERAGE(OFFSET($GY$3,0,0,'Données projet'!$E$18+1,1))-AVERAGE(OFFSET($H$3,0,0,'Données projet'!$E$18+1,1))</f>
        <v>291.18686311753402</v>
      </c>
      <c r="HA10" s="62">
        <f t="shared" si="52"/>
        <v>215.44422413249839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9">
        <f t="shared" si="1"/>
        <v>256.66666666666669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7.4312217194570129</v>
      </c>
      <c r="N11" s="14">
        <f>IF('Données projet'!$A$36&gt;35,N10+M11-V10,IF(A11&lt;'Données projet'!$A$36,$K$205^A11,IF(A11='Données projet'!$A$36,'Données projet'!$B$36,N10+M11-V10)))</f>
        <v>9.748672435120179</v>
      </c>
      <c r="O11" s="14">
        <f>N11*VLOOKUP('Données projet'!$B$9,Paramètres!$A$1:$I$89,3,0)*VLOOKUP('Données projet'!$B$9,Paramètres!$A$1:$I$89,5,0)</f>
        <v>5.8297061162018684</v>
      </c>
      <c r="P11" s="14">
        <f t="shared" si="33"/>
        <v>2.1881518405377438</v>
      </c>
      <c r="Q11" s="22">
        <f t="shared" si="2"/>
        <v>13.96443594132149</v>
      </c>
      <c r="R11" s="62">
        <f t="shared" si="0"/>
        <v>280.40888038576594</v>
      </c>
      <c r="S11" s="62">
        <f ca="1">AVERAGE(OFFSET($R$3,0,0,'Données projet'!$E$9+1,1))-AVERAGE(OFFSET($H$3,0,0,'Données projet'!$E$9+1,1))</f>
        <v>260.02504691866199</v>
      </c>
      <c r="T11" s="62">
        <f t="shared" si="34"/>
        <v>270.11268336406368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2">
        <f t="shared" si="5"/>
        <v>277.36529317093459</v>
      </c>
      <c r="AN11" s="62">
        <f ca="1">AVERAGE(OFFSET($AM$3,0,0,'Données projet'!$E$10+1,1))-AVERAGE(OFFSET($H$3,0,0,'Données projet'!$E$10+1,1))</f>
        <v>475.47920969424894</v>
      </c>
      <c r="AO11" s="62">
        <f t="shared" si="36"/>
        <v>271.73544012419364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4.0350814731667564</v>
      </c>
      <c r="BF11" s="14">
        <f t="shared" si="37"/>
        <v>1.5808227025391921</v>
      </c>
      <c r="BG11" s="22">
        <f t="shared" si="7"/>
        <v>9.7810331060211926</v>
      </c>
      <c r="BH11" s="62">
        <f t="shared" si="8"/>
        <v>276.22547755046565</v>
      </c>
      <c r="BI11" s="62">
        <f ca="1">AVERAGE(OFFSET($BH$3,0,0,'Données projet'!$E$11+1,1))-AVERAGE(OFFSET($H$3,0,0,'Données projet'!$E$11+1,1))</f>
        <v>428.8489304403459</v>
      </c>
      <c r="BJ11" s="62">
        <f t="shared" si="38"/>
        <v>247.01165577562966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2.1333333333333333</v>
      </c>
      <c r="BY11" s="13">
        <f>IF('Données projet'!$A$114&gt;35,BY10+BX11-CG10,IF(A11&lt;'Données projet'!$A$114,$BV$205^A11,IF(A11='Données projet'!$A$114,'Données projet'!$B$114,BY10+BX11-CG10)))</f>
        <v>6.3496042078728001</v>
      </c>
      <c r="BZ11" s="14">
        <f>BY11*VLOOKUP('Données projet'!$B$12,Paramètres!$A$1:$I$89,3,0)*VLOOKUP('Données projet'!$B$12,Paramètres!$A$1:$I$89,5,0)</f>
        <v>5.1507989334264161</v>
      </c>
      <c r="CA11" s="14">
        <f t="shared" si="39"/>
        <v>1.9613922676613451</v>
      </c>
      <c r="CB11" s="22">
        <f t="shared" si="10"/>
        <v>12.387066341894517</v>
      </c>
      <c r="CC11" s="62">
        <f t="shared" si="11"/>
        <v>278.83151078633898</v>
      </c>
      <c r="CD11" s="62">
        <f ca="1">AVERAGE(OFFSET($CC$3,0,0,'Données projet'!$E$12+1,1))-AVERAGE(OFFSET($H$3,0,0,'Données projet'!$E$12+1,1))</f>
        <v>236.22643401787644</v>
      </c>
      <c r="CE11" s="62">
        <f t="shared" si="40"/>
        <v>188.80444043778022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3.4425641025641025</v>
      </c>
      <c r="CT11" s="13">
        <f>IF('Données projet'!$A$140&gt;35,CT10+CS11-DB10,IF(A11&lt;'Données projet'!$A$140,$CQ$205^A11,IF(A11='Données projet'!$A$140,'Données projet'!$B$140,CT10+CS11-DB10)))</f>
        <v>3.4440349034385327</v>
      </c>
      <c r="CU11" s="18">
        <f>CT11*VLOOKUP('Données projet'!$B$13,Paramètres!$A$1:$I$89,3,0)*VLOOKUP('Données projet'!$B$13,Paramètres!$A$1:$I$89,5,0)</f>
        <v>1.6118083348092334</v>
      </c>
      <c r="CV11" s="14">
        <f t="shared" si="41"/>
        <v>0.70264212414165761</v>
      </c>
      <c r="CW11" s="22">
        <f t="shared" si="13"/>
        <v>4.0310012160061346</v>
      </c>
      <c r="CX11" s="62">
        <f t="shared" si="14"/>
        <v>270.47544566045059</v>
      </c>
      <c r="CY11" s="62">
        <f ca="1">AVERAGE(OFFSET($CX$3,0,0,'Données projet'!$E$13+1,1))-AVERAGE(OFFSET($H$3,0,0,'Données projet'!$E$13+1,1))</f>
        <v>246.73711856758143</v>
      </c>
      <c r="CZ11" s="62">
        <f t="shared" si="42"/>
        <v>145.54897745089966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2.0085470085470085</v>
      </c>
      <c r="DO11" s="13">
        <f>IF('Données projet'!$A$166&gt;35,DO10+DN11-DW10,IF(A11&lt;'Données projet'!$A$166,$DL$205^A11,IF(A11='Données projet'!$A$166,'Données projet'!$B$166,DO10+DN11-DW10)))</f>
        <v>6.1487344669152542</v>
      </c>
      <c r="DP11" s="18">
        <f>DO11*VLOOKUP('Données projet'!$B$14,Paramètres!$A$1:$I$89,3,0)*VLOOKUP('Données projet'!$B$14,Paramètres!$A$1:$I$89,5,0)</f>
        <v>6.4266572648198244</v>
      </c>
      <c r="DQ11" s="14">
        <f t="shared" si="43"/>
        <v>2.3849964345630501</v>
      </c>
      <c r="DR11" s="22">
        <f t="shared" si="16"/>
        <v>15.346963526425172</v>
      </c>
      <c r="DS11" s="62">
        <f t="shared" si="17"/>
        <v>281.79140797086961</v>
      </c>
      <c r="DT11" s="62">
        <f ca="1">AVERAGE(OFFSET($DS$3,0,0,'Données projet'!$E$14+1,1))-AVERAGE(OFFSET($H$3,0,0,'Données projet'!$E$14+1,1))</f>
        <v>493.70175665335978</v>
      </c>
      <c r="DU11" s="62">
        <f t="shared" si="44"/>
        <v>325.12357781685949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0.9</v>
      </c>
      <c r="EJ11" s="13">
        <f>IF('Données projet'!$A$192&gt;35,EJ10+EI11-ER10,IF(A11&lt;'Données projet'!$A$192,$EG$205^A11,IF(A11='Données projet'!$A$192,'Données projet'!$B$192,EJ10+EI11-ER10)))</f>
        <v>3.1776715231464374</v>
      </c>
      <c r="EK11" s="18">
        <f>EJ11*VLOOKUP('Données projet'!$B$15,Paramètres!$A$1:$I$89,3,0)*VLOOKUP('Données projet'!$B$15,Paramètres!$A$1:$I$89,5,0)</f>
        <v>2.7760138426207281</v>
      </c>
      <c r="EL11" s="14">
        <f t="shared" si="45"/>
        <v>1.135950520408497</v>
      </c>
      <c r="EM11" s="22">
        <f t="shared" si="19"/>
        <v>6.8133379322758998</v>
      </c>
      <c r="EN11" s="62">
        <f t="shared" si="20"/>
        <v>273.25778237672034</v>
      </c>
      <c r="EO11" s="62">
        <f ca="1">AVERAGE(OFFSET($EN$3,0,0,'Données projet'!$E$15+1,1))-AVERAGE(OFFSET($H$3,0,0,'Données projet'!$E$15+1,1))</f>
        <v>202.86354781280403</v>
      </c>
      <c r="EP11" s="62">
        <f t="shared" si="46"/>
        <v>217.25323885665131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2.2649572649572649</v>
      </c>
      <c r="FE11" s="13">
        <f>IF('Données projet'!$A$218&gt;35,FE10+FD11-FM10,IF(A11&lt;'Données projet'!$A$218,$FB$205^A11,IF(A11='Données projet'!$A$218,'Données projet'!$B$218,FE10+FD11-FM10)))</f>
        <v>6.555623619962172</v>
      </c>
      <c r="FF11" s="18">
        <f>FE11*VLOOKUP('Données projet'!$B$16,Paramètres!$A$1:$I$89,3,0)*VLOOKUP('Données projet'!$B$16,Paramètres!$A$1:$I$89,5,0)</f>
        <v>6.2383314367560025</v>
      </c>
      <c r="FG11" s="14">
        <f t="shared" si="47"/>
        <v>2.3231355067142938</v>
      </c>
      <c r="FH11" s="22">
        <f t="shared" si="22"/>
        <v>14.911221593210763</v>
      </c>
      <c r="FI11" s="62">
        <f t="shared" si="23"/>
        <v>281.35566603765523</v>
      </c>
      <c r="FJ11" s="62">
        <f ca="1">AVERAGE(OFFSET($FI$3,0,0,'Données projet'!$E$16+1,1))-AVERAGE(OFFSET($H$3,0,0,'Données projet'!$E$16+1,1))</f>
        <v>353.61481736740694</v>
      </c>
      <c r="FK11" s="62">
        <f t="shared" si="48"/>
        <v>244.7141066773861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1.05</v>
      </c>
      <c r="FZ11" s="13">
        <f>IF('Données projet'!$A$244&gt;35,FZ10+FY11-GH10,IF(A11&lt;'Données projet'!$A$244,$FW$205^A11,IF(A11='Données projet'!$A$244,'Données projet'!$B$244,FZ10+FY11-GH10)))</f>
        <v>3.3797744452354301</v>
      </c>
      <c r="GA11" s="18">
        <f>FZ11*VLOOKUP('Données projet'!$B$17,Paramètres!$A$1:$I$89,3,0)*VLOOKUP('Données projet'!$B$17,Paramètres!$A$1:$I$89,5,0)</f>
        <v>3.6379892128514166</v>
      </c>
      <c r="GB11" s="14">
        <f t="shared" si="49"/>
        <v>1.4425444495603463</v>
      </c>
      <c r="GC11" s="22">
        <f t="shared" si="25"/>
        <v>8.8485961287004873</v>
      </c>
      <c r="GD11" s="62">
        <f t="shared" si="26"/>
        <v>275.29304057314494</v>
      </c>
      <c r="GE11" s="62">
        <f ca="1">AVERAGE(OFFSET($GD$3,0,0,'Données projet'!$E$17+1,1))-AVERAGE(OFFSET($H$3,0,0,'Données projet'!$E$17+1,1))</f>
        <v>280.20599015000306</v>
      </c>
      <c r="GF11" s="62">
        <f t="shared" si="50"/>
        <v>166.97658184507787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2.7777777777777777</v>
      </c>
      <c r="GU11" s="13">
        <f>IF('Données projet'!$A$270&gt;35,GU10+GT11-HC10,IF(A11&lt;'Données projet'!$A$270,$GR$205^A11,IF(A11='Données projet'!$A$270,'Données projet'!$B$270,GU10+GT11-HC10)))</f>
        <v>7.3094944006963711</v>
      </c>
      <c r="GV11" s="18">
        <f>GU11*VLOOKUP('Données projet'!$B$18,Paramètres!$A$1:$I$89,3,0)*VLOOKUP('Données projet'!$B$18,Paramètres!$A$1:$I$89,5,0)</f>
        <v>4.9032088439871258</v>
      </c>
      <c r="GW11" s="14">
        <f t="shared" si="51"/>
        <v>1.8778484454596058</v>
      </c>
      <c r="GX11" s="22">
        <f t="shared" si="28"/>
        <v>11.810341445786392</v>
      </c>
      <c r="GY11" s="62">
        <f t="shared" si="29"/>
        <v>278.25478589023083</v>
      </c>
      <c r="GZ11" s="62">
        <f ca="1">AVERAGE(OFFSET($GY$3,0,0,'Données projet'!$E$18+1,1))-AVERAGE(OFFSET($H$3,0,0,'Données projet'!$E$18+1,1))</f>
        <v>291.18686311753402</v>
      </c>
      <c r="HA11" s="62">
        <f t="shared" si="52"/>
        <v>215.44422413249839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9">
        <f t="shared" si="1"/>
        <v>256.66666666666669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7.4312217194570129</v>
      </c>
      <c r="N12" s="14">
        <f>IF('Données projet'!$A$36&gt;35,N11+M12-V11,IF(A12&lt;'Données projet'!$A$36,$K$205^A12,IF(A12='Données projet'!$A$36,'Données projet'!$B$36,N11+M12-V11)))</f>
        <v>12.958766444511483</v>
      </c>
      <c r="O12" s="14">
        <f>N12*VLOOKUP('Données projet'!$B$9,Paramètres!$A$1:$I$89,3,0)*VLOOKUP('Données projet'!$B$9,Paramètres!$A$1:$I$89,5,0)</f>
        <v>7.7493423338178671</v>
      </c>
      <c r="P12" s="14">
        <f t="shared" si="33"/>
        <v>2.8138859005026107</v>
      </c>
      <c r="Q12" s="22">
        <f t="shared" si="2"/>
        <v>18.397622508108167</v>
      </c>
      <c r="R12" s="62">
        <f t="shared" si="0"/>
        <v>286.06428917477484</v>
      </c>
      <c r="S12" s="62">
        <f ca="1">AVERAGE(OFFSET($R$3,0,0,'Données projet'!$E$9+1,1))-AVERAGE(OFFSET($H$3,0,0,'Données projet'!$E$9+1,1))</f>
        <v>260.02504691866199</v>
      </c>
      <c r="T12" s="62">
        <f t="shared" si="34"/>
        <v>270.11268336406368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2">
        <f t="shared" si="5"/>
        <v>280.75262079014198</v>
      </c>
      <c r="AN12" s="62">
        <f ca="1">AVERAGE(OFFSET($AM$3,0,0,'Données projet'!$E$10+1,1))-AVERAGE(OFFSET($H$3,0,0,'Données projet'!$E$10+1,1))</f>
        <v>475.47920969424894</v>
      </c>
      <c r="AO12" s="62">
        <f t="shared" si="36"/>
        <v>271.73544012419364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4.8642375119197085</v>
      </c>
      <c r="BF12" s="14">
        <f t="shared" si="37"/>
        <v>1.8646542609995393</v>
      </c>
      <c r="BG12" s="22">
        <f t="shared" si="7"/>
        <v>11.719486504501022</v>
      </c>
      <c r="BH12" s="62">
        <f t="shared" si="8"/>
        <v>279.38615317116773</v>
      </c>
      <c r="BI12" s="62">
        <f ca="1">AVERAGE(OFFSET($BH$3,0,0,'Données projet'!$E$11+1,1))-AVERAGE(OFFSET($H$3,0,0,'Données projet'!$E$11+1,1))</f>
        <v>428.8489304403459</v>
      </c>
      <c r="BJ12" s="62">
        <f t="shared" si="38"/>
        <v>247.01165577562966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2.1333333333333333</v>
      </c>
      <c r="BY12" s="13">
        <f>IF('Données projet'!$A$114&gt;35,BY11+BX12-CG11,IF(A12&lt;'Données projet'!$A$114,$BV$205^A12,IF(A12='Données projet'!$A$114,'Données projet'!$B$114,BY11+BX12-CG11)))</f>
        <v>8.0000000000000036</v>
      </c>
      <c r="BZ12" s="14">
        <f>BY12*VLOOKUP('Données projet'!$B$12,Paramètres!$A$1:$I$89,3,0)*VLOOKUP('Données projet'!$B$12,Paramètres!$A$1:$I$89,5,0)</f>
        <v>6.4896000000000029</v>
      </c>
      <c r="CA12" s="14">
        <f t="shared" si="39"/>
        <v>2.4056244376575937</v>
      </c>
      <c r="CB12" s="22">
        <f t="shared" si="10"/>
        <v>15.492515895586982</v>
      </c>
      <c r="CC12" s="62">
        <f t="shared" si="11"/>
        <v>283.15918256225365</v>
      </c>
      <c r="CD12" s="62">
        <f ca="1">AVERAGE(OFFSET($CC$3,0,0,'Données projet'!$E$12+1,1))-AVERAGE(OFFSET($H$3,0,0,'Données projet'!$E$12+1,1))</f>
        <v>236.22643401787644</v>
      </c>
      <c r="CE12" s="62">
        <f t="shared" si="40"/>
        <v>188.80444043778022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3.4425641025641025</v>
      </c>
      <c r="CT12" s="13">
        <f>IF('Données projet'!$A$140&gt;35,CT11+CS12-DB11,IF(A12&lt;'Données projet'!$A$140,$CQ$205^A12,IF(A12='Données projet'!$A$140,'Données projet'!$B$140,CT11+CS12-DB11)))</f>
        <v>4.0197679866952116</v>
      </c>
      <c r="CU12" s="18">
        <f>CT12*VLOOKUP('Données projet'!$B$13,Paramètres!$A$1:$I$89,3,0)*VLOOKUP('Données projet'!$B$13,Paramètres!$A$1:$I$89,5,0)</f>
        <v>1.881251417773359</v>
      </c>
      <c r="CV12" s="14">
        <f t="shared" si="41"/>
        <v>0.80547727641405575</v>
      </c>
      <c r="CW12" s="22">
        <f t="shared" si="13"/>
        <v>4.6793858090430804</v>
      </c>
      <c r="CX12" s="62">
        <f t="shared" si="14"/>
        <v>272.34605247570977</v>
      </c>
      <c r="CY12" s="62">
        <f ca="1">AVERAGE(OFFSET($CX$3,0,0,'Données projet'!$E$13+1,1))-AVERAGE(OFFSET($H$3,0,0,'Données projet'!$E$13+1,1))</f>
        <v>246.73711856758143</v>
      </c>
      <c r="CZ12" s="62">
        <f t="shared" si="42"/>
        <v>145.54897745089966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2.0085470085470085</v>
      </c>
      <c r="DO12" s="13">
        <f>IF('Données projet'!$A$166&gt;35,DO11+DN12-DW11,IF(A12&lt;'Données projet'!$A$166,$DL$205^A12,IF(A12='Données projet'!$A$166,'Données projet'!$B$166,DO11+DN12-DW11)))</f>
        <v>7.715853190806035</v>
      </c>
      <c r="DP12" s="18">
        <f>DO12*VLOOKUP('Données projet'!$B$14,Paramètres!$A$1:$I$89,3,0)*VLOOKUP('Données projet'!$B$14,Paramètres!$A$1:$I$89,5,0)</f>
        <v>8.0646097550304692</v>
      </c>
      <c r="DQ12" s="14">
        <f t="shared" si="43"/>
        <v>2.9148024033411493</v>
      </c>
      <c r="DR12" s="22">
        <f t="shared" si="16"/>
        <v>19.122476175830567</v>
      </c>
      <c r="DS12" s="62">
        <f t="shared" si="17"/>
        <v>286.78914284249726</v>
      </c>
      <c r="DT12" s="62">
        <f ca="1">AVERAGE(OFFSET($DS$3,0,0,'Données projet'!$E$14+1,1))-AVERAGE(OFFSET($H$3,0,0,'Données projet'!$E$14+1,1))</f>
        <v>493.70175665335978</v>
      </c>
      <c r="DU12" s="62">
        <f t="shared" si="44"/>
        <v>325.12357781685949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0.9</v>
      </c>
      <c r="EJ12" s="13">
        <f>IF('Données projet'!$A$192&gt;35,EJ11+EI12-ER11,IF(A12&lt;'Données projet'!$A$192,$EG$205^A12,IF(A12='Données projet'!$A$192,'Données projet'!$B$192,EJ11+EI12-ER11)))</f>
        <v>3.6717459735664435</v>
      </c>
      <c r="EK12" s="18">
        <f>EJ12*VLOOKUP('Données projet'!$B$15,Paramètres!$A$1:$I$89,3,0)*VLOOKUP('Données projet'!$B$15,Paramètres!$A$1:$I$89,5,0)</f>
        <v>3.2076372825076458</v>
      </c>
      <c r="EL12" s="14">
        <f t="shared" si="45"/>
        <v>1.290676355595167</v>
      </c>
      <c r="EM12" s="22">
        <f t="shared" si="19"/>
        <v>7.834562919695732</v>
      </c>
      <c r="EN12" s="62">
        <f t="shared" si="20"/>
        <v>275.5012295863624</v>
      </c>
      <c r="EO12" s="62">
        <f ca="1">AVERAGE(OFFSET($EN$3,0,0,'Données projet'!$E$15+1,1))-AVERAGE(OFFSET($H$3,0,0,'Données projet'!$E$15+1,1))</f>
        <v>202.86354781280403</v>
      </c>
      <c r="EP12" s="62">
        <f t="shared" si="46"/>
        <v>217.25323885665131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2.2649572649572649</v>
      </c>
      <c r="FE12" s="13">
        <f>IF('Données projet'!$A$218&gt;35,FE11+FD12-FM11,IF(A12&lt;'Données projet'!$A$218,$FB$205^A12,IF(A12='Données projet'!$A$218,'Données projet'!$B$218,FE11+FD12-FM11)))</f>
        <v>8.2926008667302167</v>
      </c>
      <c r="FF12" s="18">
        <f>FE12*VLOOKUP('Données projet'!$B$16,Paramètres!$A$1:$I$89,3,0)*VLOOKUP('Données projet'!$B$16,Paramètres!$A$1:$I$89,5,0)</f>
        <v>7.8912389847804736</v>
      </c>
      <c r="FG12" s="14">
        <f t="shared" si="47"/>
        <v>2.8593647580749275</v>
      </c>
      <c r="FH12" s="22">
        <f t="shared" si="22"/>
        <v>18.723968185473154</v>
      </c>
      <c r="FI12" s="62">
        <f t="shared" si="23"/>
        <v>286.39063485213984</v>
      </c>
      <c r="FJ12" s="62">
        <f ca="1">AVERAGE(OFFSET($FI$3,0,0,'Données projet'!$E$16+1,1))-AVERAGE(OFFSET($H$3,0,0,'Données projet'!$E$16+1,1))</f>
        <v>353.61481736740694</v>
      </c>
      <c r="FK12" s="62">
        <f t="shared" si="48"/>
        <v>244.7141066773861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1.05</v>
      </c>
      <c r="FZ12" s="13">
        <f>IF('Données projet'!$A$244&gt;35,FZ11+FY12-GH11,IF(A12&lt;'Données projet'!$A$244,$FW$205^A12,IF(A12='Données projet'!$A$244,'Données projet'!$B$244,FZ11+FY12-GH11)))</f>
        <v>3.9354888168013828</v>
      </c>
      <c r="GA12" s="18">
        <f>FZ12*VLOOKUP('Données projet'!$B$17,Paramètres!$A$1:$I$89,3,0)*VLOOKUP('Données projet'!$B$17,Paramètres!$A$1:$I$89,5,0)</f>
        <v>4.2361601624050085</v>
      </c>
      <c r="GB12" s="14">
        <f t="shared" si="49"/>
        <v>1.6502314230596411</v>
      </c>
      <c r="GC12" s="22">
        <f t="shared" si="25"/>
        <v>10.252132011350932</v>
      </c>
      <c r="GD12" s="62">
        <f t="shared" si="26"/>
        <v>277.91879867801759</v>
      </c>
      <c r="GE12" s="62">
        <f ca="1">AVERAGE(OFFSET($GD$3,0,0,'Données projet'!$E$17+1,1))-AVERAGE(OFFSET($H$3,0,0,'Données projet'!$E$17+1,1))</f>
        <v>280.20599015000306</v>
      </c>
      <c r="GF12" s="62">
        <f t="shared" si="50"/>
        <v>166.97658184507787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2.7777777777777777</v>
      </c>
      <c r="GU12" s="13">
        <f>IF('Données projet'!$A$270&gt;35,GU11+GT12-HC11,IF(A12&lt;'Données projet'!$A$270,$GR$205^A12,IF(A12='Données projet'!$A$270,'Données projet'!$B$270,GU11+GT12-HC11)))</f>
        <v>9.3728842761841236</v>
      </c>
      <c r="GV12" s="18">
        <f>GU12*VLOOKUP('Données projet'!$B$18,Paramètres!$A$1:$I$89,3,0)*VLOOKUP('Données projet'!$B$18,Paramètres!$A$1:$I$89,5,0)</f>
        <v>6.2873307724643102</v>
      </c>
      <c r="GW12" s="14">
        <f t="shared" si="51"/>
        <v>2.3392513857449408</v>
      </c>
      <c r="GX12" s="22">
        <f t="shared" si="28"/>
        <v>15.024630592214445</v>
      </c>
      <c r="GY12" s="62">
        <f t="shared" si="29"/>
        <v>282.69129725888115</v>
      </c>
      <c r="GZ12" s="62">
        <f ca="1">AVERAGE(OFFSET($GY$3,0,0,'Données projet'!$E$18+1,1))-AVERAGE(OFFSET($H$3,0,0,'Données projet'!$E$18+1,1))</f>
        <v>291.18686311753402</v>
      </c>
      <c r="HA12" s="62">
        <f t="shared" si="52"/>
        <v>215.44422413249839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9">
        <f t="shared" si="1"/>
        <v>256.66666666666669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7.4312217194570129</v>
      </c>
      <c r="N13" s="14">
        <f>IF('Données projet'!$A$36&gt;35,N12+M13-V12,IF(A13&lt;'Données projet'!$A$36,$K$205^A13,IF(A13='Données projet'!$A$36,'Données projet'!$B$36,N12+M13-V12)))</f>
        <v>17.225897052240693</v>
      </c>
      <c r="O13" s="14">
        <f>N13*VLOOKUP('Données projet'!$B$9,Paramètres!$A$1:$I$89,3,0)*VLOOKUP('Données projet'!$B$9,Paramètres!$A$1:$I$89,5,0)</f>
        <v>10.301086437239935</v>
      </c>
      <c r="P13" s="14">
        <f t="shared" si="33"/>
        <v>3.6185577775542006</v>
      </c>
      <c r="Q13" s="22">
        <f t="shared" si="2"/>
        <v>24.243380340766453</v>
      </c>
      <c r="R13" s="62">
        <f t="shared" si="0"/>
        <v>293.13226922965532</v>
      </c>
      <c r="S13" s="62">
        <f ca="1">AVERAGE(OFFSET($R$3,0,0,'Données projet'!$E$9+1,1))-AVERAGE(OFFSET($H$3,0,0,'Données projet'!$E$9+1,1))</f>
        <v>260.02504691866199</v>
      </c>
      <c r="T13" s="62">
        <f t="shared" si="34"/>
        <v>270.11268336406368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2">
        <f t="shared" si="5"/>
        <v>284.57066751792433</v>
      </c>
      <c r="AN13" s="62">
        <f ca="1">AVERAGE(OFFSET($AM$3,0,0,'Données projet'!$E$10+1,1))-AVERAGE(OFFSET($H$3,0,0,'Données projet'!$E$10+1,1))</f>
        <v>475.47920969424894</v>
      </c>
      <c r="AO13" s="62">
        <f t="shared" si="36"/>
        <v>271.73544012419364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5.8637741839194364</v>
      </c>
      <c r="BF13" s="14">
        <f t="shared" si="37"/>
        <v>2.1994468497187687</v>
      </c>
      <c r="BG13" s="22">
        <f t="shared" si="7"/>
        <v>14.043443300253207</v>
      </c>
      <c r="BH13" s="62">
        <f t="shared" si="8"/>
        <v>282.93233218914207</v>
      </c>
      <c r="BI13" s="62">
        <f ca="1">AVERAGE(OFFSET($BH$3,0,0,'Données projet'!$E$11+1,1))-AVERAGE(OFFSET($H$3,0,0,'Données projet'!$E$11+1,1))</f>
        <v>428.8489304403459</v>
      </c>
      <c r="BJ13" s="62">
        <f t="shared" si="38"/>
        <v>247.01165577562966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2.1333333333333333</v>
      </c>
      <c r="BY13" s="13">
        <f>IF('Données projet'!$A$114&gt;35,BY12+BX13-CG12,IF(A13&lt;'Données projet'!$A$114,$BV$205^A13,IF(A13='Données projet'!$A$114,'Données projet'!$B$114,BY12+BX13-CG12)))</f>
        <v>10.079368399158989</v>
      </c>
      <c r="BZ13" s="14">
        <f>BY13*VLOOKUP('Données projet'!$B$12,Paramètres!$A$1:$I$89,3,0)*VLOOKUP('Données projet'!$B$12,Paramètres!$A$1:$I$89,5,0)</f>
        <v>8.1763836453977721</v>
      </c>
      <c r="CA13" s="14">
        <f t="shared" si="39"/>
        <v>2.9504699444724252</v>
      </c>
      <c r="CB13" s="22">
        <f t="shared" si="10"/>
        <v>19.379270002357259</v>
      </c>
      <c r="CC13" s="62">
        <f t="shared" si="11"/>
        <v>288.26815889124612</v>
      </c>
      <c r="CD13" s="62">
        <f ca="1">AVERAGE(OFFSET($CC$3,0,0,'Données projet'!$E$12+1,1))-AVERAGE(OFFSET($H$3,0,0,'Données projet'!$E$12+1,1))</f>
        <v>236.22643401787644</v>
      </c>
      <c r="CE13" s="62">
        <f t="shared" si="40"/>
        <v>188.80444043778022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3.4425641025641025</v>
      </c>
      <c r="CT13" s="13">
        <f>IF('Données projet'!$A$140&gt;35,CT12+CS13-DB12,IF(A13&lt;'Données projet'!$A$140,$CQ$205^A13,IF(A13='Données projet'!$A$140,'Données projet'!$B$140,CT12+CS13-DB12)))</f>
        <v>4.6917453277627805</v>
      </c>
      <c r="CU13" s="18">
        <f>CT13*VLOOKUP('Données projet'!$B$13,Paramètres!$A$1:$I$89,3,0)*VLOOKUP('Données projet'!$B$13,Paramètres!$A$1:$I$89,5,0)</f>
        <v>2.1957368133929811</v>
      </c>
      <c r="CV13" s="14">
        <f t="shared" si="41"/>
        <v>0.9233628621568436</v>
      </c>
      <c r="CW13" s="22">
        <f t="shared" si="13"/>
        <v>5.432431934915944</v>
      </c>
      <c r="CX13" s="62">
        <f t="shared" si="14"/>
        <v>274.3213208238048</v>
      </c>
      <c r="CY13" s="62">
        <f ca="1">AVERAGE(OFFSET($CX$3,0,0,'Données projet'!$E$13+1,1))-AVERAGE(OFFSET($H$3,0,0,'Données projet'!$E$13+1,1))</f>
        <v>246.73711856758143</v>
      </c>
      <c r="CZ13" s="62">
        <f t="shared" si="42"/>
        <v>145.54897745089966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2.0085470085470085</v>
      </c>
      <c r="DO13" s="13">
        <f>IF('Données projet'!$A$166&gt;35,DO12+DN13-DW12,IF(A13&lt;'Données projet'!$A$166,$DL$205^A13,IF(A13='Données projet'!$A$166,'Données projet'!$B$166,DO12+DN13-DW12)))</f>
        <v>9.6823811114971363</v>
      </c>
      <c r="DP13" s="18">
        <f>DO13*VLOOKUP('Données projet'!$B$14,Paramètres!$A$1:$I$89,3,0)*VLOOKUP('Données projet'!$B$14,Paramètres!$A$1:$I$89,5,0)</f>
        <v>10.120024737736808</v>
      </c>
      <c r="DQ13" s="14">
        <f t="shared" si="43"/>
        <v>3.5623001055261061</v>
      </c>
      <c r="DR13" s="22">
        <f t="shared" si="16"/>
        <v>23.830049102016243</v>
      </c>
      <c r="DS13" s="62">
        <f t="shared" si="17"/>
        <v>292.71893799090509</v>
      </c>
      <c r="DT13" s="62">
        <f ca="1">AVERAGE(OFFSET($DS$3,0,0,'Données projet'!$E$14+1,1))-AVERAGE(OFFSET($H$3,0,0,'Données projet'!$E$14+1,1))</f>
        <v>493.70175665335978</v>
      </c>
      <c r="DU13" s="62">
        <f t="shared" si="44"/>
        <v>325.12357781685949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0.9</v>
      </c>
      <c r="EJ13" s="13">
        <f>IF('Données projet'!$A$192&gt;35,EJ12+EI13-ER12,IF(A13&lt;'Données projet'!$A$192,$EG$205^A13,IF(A13='Données projet'!$A$192,'Données projet'!$B$192,EJ12+EI13-ER12)))</f>
        <v>4.2426406871192865</v>
      </c>
      <c r="EK13" s="18">
        <f>EJ13*VLOOKUP('Données projet'!$B$15,Paramètres!$A$1:$I$89,3,0)*VLOOKUP('Données projet'!$B$15,Paramètres!$A$1:$I$89,5,0)</f>
        <v>3.7063709042674091</v>
      </c>
      <c r="EL13" s="14">
        <f t="shared" si="45"/>
        <v>1.4664771263922398</v>
      </c>
      <c r="EM13" s="22">
        <f t="shared" si="19"/>
        <v>9.0093769867322209</v>
      </c>
      <c r="EN13" s="62">
        <f t="shared" si="20"/>
        <v>277.89826587562106</v>
      </c>
      <c r="EO13" s="62">
        <f ca="1">AVERAGE(OFFSET($EN$3,0,0,'Données projet'!$E$15+1,1))-AVERAGE(OFFSET($H$3,0,0,'Données projet'!$E$15+1,1))</f>
        <v>202.86354781280403</v>
      </c>
      <c r="EP13" s="62">
        <f t="shared" si="46"/>
        <v>217.25323885665131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2.2649572649572649</v>
      </c>
      <c r="FE13" s="13">
        <f>IF('Données projet'!$A$218&gt;35,FE12+FD13-FM12,IF(A13&lt;'Données projet'!$A$218,$FB$205^A13,IF(A13='Données projet'!$A$218,'Données projet'!$B$218,FE12+FD13-FM12)))</f>
        <v>10.489807396125579</v>
      </c>
      <c r="FF13" s="18">
        <f>FE13*VLOOKUP('Données projet'!$B$16,Paramètres!$A$1:$I$89,3,0)*VLOOKUP('Données projet'!$B$16,Paramètres!$A$1:$I$89,5,0)</f>
        <v>9.9821007181531005</v>
      </c>
      <c r="FG13" s="14">
        <f t="shared" si="47"/>
        <v>3.5193671639432234</v>
      </c>
      <c r="FH13" s="22">
        <f t="shared" si="22"/>
        <v>23.515056561317763</v>
      </c>
      <c r="FI13" s="62">
        <f t="shared" si="23"/>
        <v>292.40394545020661</v>
      </c>
      <c r="FJ13" s="62">
        <f ca="1">AVERAGE(OFFSET($FI$3,0,0,'Données projet'!$E$16+1,1))-AVERAGE(OFFSET($H$3,0,0,'Données projet'!$E$16+1,1))</f>
        <v>353.61481736740694</v>
      </c>
      <c r="FK13" s="62">
        <f t="shared" si="48"/>
        <v>244.7141066773861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1.05</v>
      </c>
      <c r="FZ13" s="13">
        <f>IF('Données projet'!$A$244&gt;35,FZ12+FY13-GH12,IF(A13&lt;'Données projet'!$A$244,$FW$205^A13,IF(A13='Données projet'!$A$244,'Données projet'!$B$244,FZ12+FY13-GH12)))</f>
        <v>4.5825756949558425</v>
      </c>
      <c r="GA13" s="18">
        <f>FZ13*VLOOKUP('Données projet'!$B$17,Paramètres!$A$1:$I$89,3,0)*VLOOKUP('Données projet'!$B$17,Paramètres!$A$1:$I$89,5,0)</f>
        <v>4.9326844780504686</v>
      </c>
      <c r="GB13" s="14">
        <f t="shared" si="49"/>
        <v>1.8878196442982629</v>
      </c>
      <c r="GC13" s="22">
        <f t="shared" si="25"/>
        <v>11.879044679757373</v>
      </c>
      <c r="GD13" s="62">
        <f t="shared" si="26"/>
        <v>280.76793356864624</v>
      </c>
      <c r="GE13" s="62">
        <f ca="1">AVERAGE(OFFSET($GD$3,0,0,'Données projet'!$E$17+1,1))-AVERAGE(OFFSET($H$3,0,0,'Données projet'!$E$17+1,1))</f>
        <v>280.20599015000306</v>
      </c>
      <c r="GF13" s="62">
        <f t="shared" si="50"/>
        <v>166.97658184507787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2.7777777777777777</v>
      </c>
      <c r="GU13" s="13">
        <f>IF('Données projet'!$A$270&gt;35,GU12+GT13-HC12,IF(A13&lt;'Données projet'!$A$270,$GR$205^A13,IF(A13='Données projet'!$A$270,'Données projet'!$B$270,GU12+GT13-HC12)))</f>
        <v>12.018746419228403</v>
      </c>
      <c r="GV13" s="18">
        <f>GU13*VLOOKUP('Données projet'!$B$18,Paramètres!$A$1:$I$89,3,0)*VLOOKUP('Données projet'!$B$18,Paramètres!$A$1:$I$89,5,0)</f>
        <v>8.0621750980184128</v>
      </c>
      <c r="GW13" s="14">
        <f t="shared" si="51"/>
        <v>2.9140248559144633</v>
      </c>
      <c r="GX13" s="22">
        <f t="shared" si="28"/>
        <v>19.116881586433095</v>
      </c>
      <c r="GY13" s="62">
        <f t="shared" si="29"/>
        <v>288.00577047532192</v>
      </c>
      <c r="GZ13" s="62">
        <f ca="1">AVERAGE(OFFSET($GY$3,0,0,'Données projet'!$E$18+1,1))-AVERAGE(OFFSET($H$3,0,0,'Données projet'!$E$18+1,1))</f>
        <v>291.18686311753402</v>
      </c>
      <c r="HA13" s="62">
        <f t="shared" si="52"/>
        <v>215.44422413249839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9">
        <f t="shared" si="1"/>
        <v>256.66666666666669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7.4312217194570129</v>
      </c>
      <c r="N14" s="14">
        <f>IF('Données projet'!$A$36&gt;35,N13+M14-V13,IF(A14&lt;'Données projet'!$A$36,$K$205^A14,IF(A14='Données projet'!$A$36,'Données projet'!$B$36,N13+M14-V13)))</f>
        <v>22.89813081553541</v>
      </c>
      <c r="O14" s="14">
        <f>N14*VLOOKUP('Données projet'!$B$9,Paramètres!$A$1:$I$89,3,0)*VLOOKUP('Données projet'!$B$9,Paramètres!$A$1:$I$89,5,0)</f>
        <v>13.693082227690176</v>
      </c>
      <c r="P14" s="14">
        <f t="shared" si="33"/>
        <v>4.6533373606794726</v>
      </c>
      <c r="Q14" s="22">
        <f t="shared" si="2"/>
        <v>31.953347449743802</v>
      </c>
      <c r="R14" s="62">
        <f t="shared" si="0"/>
        <v>302.06445856085497</v>
      </c>
      <c r="S14" s="62">
        <f ca="1">AVERAGE(OFFSET($R$3,0,0,'Données projet'!$E$9+1,1))-AVERAGE(OFFSET($H$3,0,0,'Données projet'!$E$9+1,1))</f>
        <v>260.02504691866199</v>
      </c>
      <c r="T14" s="62">
        <f t="shared" si="34"/>
        <v>270.11268336406368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2">
        <f t="shared" si="5"/>
        <v>288.90539420934834</v>
      </c>
      <c r="AN14" s="62">
        <f ca="1">AVERAGE(OFFSET($AM$3,0,0,'Données projet'!$E$10+1,1))-AVERAGE(OFFSET($H$3,0,0,'Données projet'!$E$10+1,1))</f>
        <v>475.47920969424894</v>
      </c>
      <c r="AO14" s="62">
        <f t="shared" si="36"/>
        <v>271.73544012419364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7.0687024627689707</v>
      </c>
      <c r="BF14" s="14">
        <f t="shared" si="37"/>
        <v>2.5943503554083325</v>
      </c>
      <c r="BG14" s="22">
        <f t="shared" si="7"/>
        <v>16.829816991658799</v>
      </c>
      <c r="BH14" s="62">
        <f t="shared" si="8"/>
        <v>286.94092810276993</v>
      </c>
      <c r="BI14" s="62">
        <f ca="1">AVERAGE(OFFSET($BH$3,0,0,'Données projet'!$E$11+1,1))-AVERAGE(OFFSET($H$3,0,0,'Données projet'!$E$11+1,1))</f>
        <v>428.8489304403459</v>
      </c>
      <c r="BJ14" s="62">
        <f t="shared" si="38"/>
        <v>247.01165577562966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2.1333333333333333</v>
      </c>
      <c r="BY14" s="13">
        <f>IF('Données projet'!$A$114&gt;35,BY13+BX14-CG13,IF(A14&lt;'Données projet'!$A$114,$BV$205^A14,IF(A14='Données projet'!$A$114,'Données projet'!$B$114,BY13+BX14-CG13)))</f>
        <v>12.6992084157456</v>
      </c>
      <c r="BZ14" s="14">
        <f>BY14*VLOOKUP('Données projet'!$B$12,Paramètres!$A$1:$I$89,3,0)*VLOOKUP('Données projet'!$B$12,Paramètres!$A$1:$I$89,5,0)</f>
        <v>10.301597866852832</v>
      </c>
      <c r="CA14" s="14">
        <f t="shared" si="39"/>
        <v>3.6187165199035083</v>
      </c>
      <c r="CB14" s="22">
        <f t="shared" si="10"/>
        <v>24.244547556933963</v>
      </c>
      <c r="CC14" s="62">
        <f t="shared" si="11"/>
        <v>294.35565866804512</v>
      </c>
      <c r="CD14" s="62">
        <f ca="1">AVERAGE(OFFSET($CC$3,0,0,'Données projet'!$E$12+1,1))-AVERAGE(OFFSET($H$3,0,0,'Données projet'!$E$12+1,1))</f>
        <v>236.22643401787644</v>
      </c>
      <c r="CE14" s="62">
        <f t="shared" si="40"/>
        <v>188.80444043778022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3.4425641025641025</v>
      </c>
      <c r="CT14" s="13">
        <f>IF('Données projet'!$A$140&gt;35,CT13+CS14-DB13,IF(A14&lt;'Données projet'!$A$140,$CQ$205^A14,IF(A14='Données projet'!$A$140,'Données projet'!$B$140,CT13+CS14-DB13)))</f>
        <v>5.4760559050775193</v>
      </c>
      <c r="CU14" s="18">
        <f>CT14*VLOOKUP('Données projet'!$B$13,Paramètres!$A$1:$I$89,3,0)*VLOOKUP('Données projet'!$B$13,Paramètres!$A$1:$I$89,5,0)</f>
        <v>2.562794163576279</v>
      </c>
      <c r="CV14" s="14">
        <f t="shared" si="41"/>
        <v>1.0585015867936163</v>
      </c>
      <c r="CW14" s="22">
        <f t="shared" si="13"/>
        <v>6.3070900985608995</v>
      </c>
      <c r="CX14" s="62">
        <f t="shared" si="14"/>
        <v>276.41820120967202</v>
      </c>
      <c r="CY14" s="62">
        <f ca="1">AVERAGE(OFFSET($CX$3,0,0,'Données projet'!$E$13+1,1))-AVERAGE(OFFSET($H$3,0,0,'Données projet'!$E$13+1,1))</f>
        <v>246.73711856758143</v>
      </c>
      <c r="CZ14" s="62">
        <f t="shared" si="42"/>
        <v>145.54897745089966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2.0085470085470085</v>
      </c>
      <c r="DO14" s="13">
        <f>IF('Données projet'!$A$166&gt;35,DO13+DN14-DW13,IF(A14&lt;'Données projet'!$A$166,$DL$205^A14,IF(A14='Données projet'!$A$166,'Données projet'!$B$166,DO13+DN14-DW13)))</f>
        <v>12.150115051435174</v>
      </c>
      <c r="DP14" s="18">
        <f>DO14*VLOOKUP('Données projet'!$B$14,Paramètres!$A$1:$I$89,3,0)*VLOOKUP('Données projet'!$B$14,Paramètres!$A$1:$I$89,5,0)</f>
        <v>12.699300251760045</v>
      </c>
      <c r="DQ14" s="14">
        <f t="shared" si="43"/>
        <v>4.3536337239482048</v>
      </c>
      <c r="DR14" s="22">
        <f t="shared" si="16"/>
        <v>29.700526674358532</v>
      </c>
      <c r="DS14" s="62">
        <f t="shared" si="17"/>
        <v>299.81163778546966</v>
      </c>
      <c r="DT14" s="62">
        <f ca="1">AVERAGE(OFFSET($DS$3,0,0,'Données projet'!$E$14+1,1))-AVERAGE(OFFSET($H$3,0,0,'Données projet'!$E$14+1,1))</f>
        <v>493.70175665335978</v>
      </c>
      <c r="DU14" s="62">
        <f t="shared" si="44"/>
        <v>325.12357781685949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0.9</v>
      </c>
      <c r="EJ14" s="13">
        <f>IF('Données projet'!$A$192&gt;35,EJ13+EI14-ER13,IF(A14&lt;'Données projet'!$A$192,$EG$205^A14,IF(A14='Données projet'!$A$192,'Données projet'!$B$192,EJ13+EI14-ER13)))</f>
        <v>4.9022999220494095</v>
      </c>
      <c r="EK14" s="18">
        <f>EJ14*VLOOKUP('Données projet'!$B$15,Paramètres!$A$1:$I$89,3,0)*VLOOKUP('Données projet'!$B$15,Paramètres!$A$1:$I$89,5,0)</f>
        <v>4.2826492119023651</v>
      </c>
      <c r="EL14" s="14">
        <f t="shared" si="45"/>
        <v>1.6662234129484463</v>
      </c>
      <c r="EM14" s="22">
        <f t="shared" si="19"/>
        <v>10.360953154948495</v>
      </c>
      <c r="EN14" s="62">
        <f t="shared" si="20"/>
        <v>280.47206426605965</v>
      </c>
      <c r="EO14" s="62">
        <f ca="1">AVERAGE(OFFSET($EN$3,0,0,'Données projet'!$E$15+1,1))-AVERAGE(OFFSET($H$3,0,0,'Données projet'!$E$15+1,1))</f>
        <v>202.86354781280403</v>
      </c>
      <c r="EP14" s="62">
        <f t="shared" si="46"/>
        <v>217.25323885665131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2.2649572649572649</v>
      </c>
      <c r="FE14" s="13">
        <f>IF('Données projet'!$A$218&gt;35,FE13+FD14-FM13,IF(A14&lt;'Données projet'!$A$218,$FB$205^A14,IF(A14='Données projet'!$A$218,'Données projet'!$B$218,FE13+FD14-FM13)))</f>
        <v>13.269185503582337</v>
      </c>
      <c r="FF14" s="18">
        <f>FE14*VLOOKUP('Données projet'!$B$16,Paramètres!$A$1:$I$89,3,0)*VLOOKUP('Données projet'!$B$16,Paramètres!$A$1:$I$89,5,0)</f>
        <v>12.626956925208951</v>
      </c>
      <c r="FG14" s="14">
        <f t="shared" si="47"/>
        <v>4.3317122097359233</v>
      </c>
      <c r="FH14" s="22">
        <f t="shared" si="22"/>
        <v>29.536348743362321</v>
      </c>
      <c r="FI14" s="62">
        <f t="shared" si="23"/>
        <v>299.64745985447348</v>
      </c>
      <c r="FJ14" s="62">
        <f ca="1">AVERAGE(OFFSET($FI$3,0,0,'Données projet'!$E$16+1,1))-AVERAGE(OFFSET($H$3,0,0,'Données projet'!$E$16+1,1))</f>
        <v>353.61481736740694</v>
      </c>
      <c r="FK14" s="62">
        <f t="shared" si="48"/>
        <v>244.7141066773861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1.05</v>
      </c>
      <c r="FZ14" s="13">
        <f>IF('Données projet'!$A$244&gt;35,FZ13+FY14-GH13,IF(A14&lt;'Données projet'!$A$244,$FW$205^A14,IF(A14='Données projet'!$A$244,'Données projet'!$B$244,FZ13+FY14-GH13)))</f>
        <v>5.3360588677947343</v>
      </c>
      <c r="GA14" s="18">
        <f>FZ14*VLOOKUP('Données projet'!$B$17,Paramètres!$A$1:$I$89,3,0)*VLOOKUP('Données projet'!$B$17,Paramètres!$A$1:$I$89,5,0)</f>
        <v>5.7437337652942517</v>
      </c>
      <c r="GB14" s="14">
        <f t="shared" si="49"/>
        <v>2.1596140756978057</v>
      </c>
      <c r="GC14" s="22">
        <f t="shared" si="25"/>
        <v>13.764997489727833</v>
      </c>
      <c r="GD14" s="62">
        <f t="shared" si="26"/>
        <v>283.87610860083896</v>
      </c>
      <c r="GE14" s="62">
        <f ca="1">AVERAGE(OFFSET($GD$3,0,0,'Données projet'!$E$17+1,1))-AVERAGE(OFFSET($H$3,0,0,'Données projet'!$E$17+1,1))</f>
        <v>280.20599015000306</v>
      </c>
      <c r="GF14" s="62">
        <f t="shared" si="50"/>
        <v>166.97658184507787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2.7777777777777777</v>
      </c>
      <c r="GU14" s="13">
        <f>IF('Données projet'!$A$270&gt;35,GU13+GT14-HC13,IF(A14&lt;'Données projet'!$A$270,$GR$205^A14,IF(A14='Données projet'!$A$270,'Données projet'!$B$270,GU13+GT14-HC13)))</f>
        <v>15.41150634461092</v>
      </c>
      <c r="GV14" s="18">
        <f>GU14*VLOOKUP('Données projet'!$B$18,Paramètres!$A$1:$I$89,3,0)*VLOOKUP('Données projet'!$B$18,Paramètres!$A$1:$I$89,5,0)</f>
        <v>10.338038455965005</v>
      </c>
      <c r="GW14" s="14">
        <f t="shared" si="51"/>
        <v>3.6300249355984251</v>
      </c>
      <c r="GX14" s="22">
        <f t="shared" si="28"/>
        <v>24.327710406972969</v>
      </c>
      <c r="GY14" s="62">
        <f t="shared" si="29"/>
        <v>294.43882151808413</v>
      </c>
      <c r="GZ14" s="62">
        <f ca="1">AVERAGE(OFFSET($GY$3,0,0,'Données projet'!$E$18+1,1))-AVERAGE(OFFSET($H$3,0,0,'Données projet'!$E$18+1,1))</f>
        <v>291.18686311753402</v>
      </c>
      <c r="HA14" s="62">
        <f t="shared" si="52"/>
        <v>215.44422413249839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9">
        <f t="shared" si="1"/>
        <v>256.66666666666669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7.4312217194570129</v>
      </c>
      <c r="N15" s="14">
        <f>IF('Données projet'!$A$36&gt;35,N14+M15-V14,IF(A15&lt;'Données projet'!$A$36,$K$205^A15,IF(A15='Données projet'!$A$36,'Données projet'!$B$36,N14+M15-V14)))</f>
        <v>30.438147473844893</v>
      </c>
      <c r="O15" s="14">
        <f>N15*VLOOKUP('Données projet'!$B$9,Paramètres!$A$1:$I$89,3,0)*VLOOKUP('Données projet'!$B$9,Paramètres!$A$1:$I$89,5,0)</f>
        <v>18.202012189359248</v>
      </c>
      <c r="P15" s="14">
        <f t="shared" si="33"/>
        <v>5.984027317903192</v>
      </c>
      <c r="Q15" s="22">
        <f t="shared" si="2"/>
        <v>42.124018808482084</v>
      </c>
      <c r="R15" s="62">
        <f t="shared" si="0"/>
        <v>313.45735214181542</v>
      </c>
      <c r="S15" s="62">
        <f ca="1">AVERAGE(OFFSET($R$3,0,0,'Données projet'!$E$9+1,1))-AVERAGE(OFFSET($H$3,0,0,'Données projet'!$E$9+1,1))</f>
        <v>260.02504691866199</v>
      </c>
      <c r="T15" s="62">
        <f t="shared" si="34"/>
        <v>270.11268336406368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2">
        <f t="shared" si="5"/>
        <v>293.85996837222763</v>
      </c>
      <c r="AN15" s="62">
        <f ca="1">AVERAGE(OFFSET($AM$3,0,0,'Données projet'!$E$10+1,1))-AVERAGE(OFFSET($H$3,0,0,'Données projet'!$E$10+1,1))</f>
        <v>475.47920969424894</v>
      </c>
      <c r="AO15" s="62">
        <f t="shared" si="36"/>
        <v>271.73544012419364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8.521227615514638</v>
      </c>
      <c r="BF15" s="14">
        <f t="shared" si="37"/>
        <v>3.0601574970852128</v>
      </c>
      <c r="BG15" s="22">
        <f t="shared" si="7"/>
        <v>20.170912404444739</v>
      </c>
      <c r="BH15" s="62">
        <f t="shared" si="8"/>
        <v>291.50424573777804</v>
      </c>
      <c r="BI15" s="62">
        <f ca="1">AVERAGE(OFFSET($BH$3,0,0,'Données projet'!$E$11+1,1))-AVERAGE(OFFSET($H$3,0,0,'Données projet'!$E$11+1,1))</f>
        <v>428.8489304403459</v>
      </c>
      <c r="BJ15" s="62">
        <f t="shared" si="38"/>
        <v>247.01165577562966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2.1333333333333333</v>
      </c>
      <c r="BY15" s="13">
        <f>IF('Données projet'!$A$114&gt;35,BY14+BX15-CG14,IF(A15&lt;'Données projet'!$A$114,$BV$205^A15,IF(A15='Données projet'!$A$114,'Données projet'!$B$114,BY14+BX15-CG14)))</f>
        <v>16.000000000000007</v>
      </c>
      <c r="BZ15" s="14">
        <f>BY15*VLOOKUP('Données projet'!$B$12,Paramètres!$A$1:$I$89,3,0)*VLOOKUP('Données projet'!$B$12,Paramètres!$A$1:$I$89,5,0)</f>
        <v>12.979200000000006</v>
      </c>
      <c r="CA15" s="14">
        <f t="shared" si="39"/>
        <v>4.4383130477080988</v>
      </c>
      <c r="CB15" s="22">
        <f t="shared" si="10"/>
        <v>30.335501891424943</v>
      </c>
      <c r="CC15" s="62">
        <f t="shared" si="11"/>
        <v>301.66883522475825</v>
      </c>
      <c r="CD15" s="62">
        <f ca="1">AVERAGE(OFFSET($CC$3,0,0,'Données projet'!$E$12+1,1))-AVERAGE(OFFSET($H$3,0,0,'Données projet'!$E$12+1,1))</f>
        <v>236.22643401787644</v>
      </c>
      <c r="CE15" s="62">
        <f t="shared" si="40"/>
        <v>188.80444043778022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3.4425641025641025</v>
      </c>
      <c r="CT15" s="13">
        <f>IF('Données projet'!$A$140&gt;35,CT14+CS15-DB14,IF(A15&lt;'Données projet'!$A$140,$CQ$205^A15,IF(A15='Données projet'!$A$140,'Données projet'!$B$140,CT14+CS15-DB14)))</f>
        <v>6.3914782624899003</v>
      </c>
      <c r="CU15" s="18">
        <f>CT15*VLOOKUP('Données projet'!$B$13,Paramètres!$A$1:$I$89,3,0)*VLOOKUP('Données projet'!$B$13,Paramètres!$A$1:$I$89,5,0)</f>
        <v>2.9912118268452734</v>
      </c>
      <c r="CV15" s="14">
        <f t="shared" si="41"/>
        <v>1.2134185325879896</v>
      </c>
      <c r="CW15" s="22">
        <f t="shared" si="13"/>
        <v>7.3230645426796004</v>
      </c>
      <c r="CX15" s="62">
        <f t="shared" si="14"/>
        <v>278.65639787601293</v>
      </c>
      <c r="CY15" s="62">
        <f ca="1">AVERAGE(OFFSET($CX$3,0,0,'Données projet'!$E$13+1,1))-AVERAGE(OFFSET($H$3,0,0,'Données projet'!$E$13+1,1))</f>
        <v>246.73711856758143</v>
      </c>
      <c r="CZ15" s="62">
        <f t="shared" si="42"/>
        <v>145.54897745089966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2.0085470085470085</v>
      </c>
      <c r="DO15" s="13">
        <f>IF('Données projet'!$A$166&gt;35,DO14+DN15-DW14,IF(A15&lt;'Données projet'!$A$166,$DL$205^A15,IF(A15='Données projet'!$A$166,'Données projet'!$B$166,DO14+DN15-DW14)))</f>
        <v>15.246796636399393</v>
      </c>
      <c r="DP15" s="18">
        <f>DO15*VLOOKUP('Données projet'!$B$14,Paramètres!$A$1:$I$89,3,0)*VLOOKUP('Données projet'!$B$14,Paramètres!$A$1:$I$89,5,0)</f>
        <v>15.935951844364647</v>
      </c>
      <c r="DQ15" s="14">
        <f t="shared" si="43"/>
        <v>5.3207551415716088</v>
      </c>
      <c r="DR15" s="22">
        <f t="shared" si="16"/>
        <v>37.022098000505643</v>
      </c>
      <c r="DS15" s="62">
        <f t="shared" si="17"/>
        <v>308.35543133383896</v>
      </c>
      <c r="DT15" s="62">
        <f ca="1">AVERAGE(OFFSET($DS$3,0,0,'Données projet'!$E$14+1,1))-AVERAGE(OFFSET($H$3,0,0,'Données projet'!$E$14+1,1))</f>
        <v>493.70175665335978</v>
      </c>
      <c r="DU15" s="62">
        <f t="shared" si="44"/>
        <v>325.12357781685949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0.9</v>
      </c>
      <c r="EJ15" s="13">
        <f>IF('Données projet'!$A$192&gt;35,EJ14+EI15-ER14,IF(A15&lt;'Données projet'!$A$192,$EG$205^A15,IF(A15='Données projet'!$A$192,'Données projet'!$B$192,EJ14+EI15-ER14)))</f>
        <v>5.6645250677694134</v>
      </c>
      <c r="EK15" s="18">
        <f>EJ15*VLOOKUP('Données projet'!$B$15,Paramètres!$A$1:$I$89,3,0)*VLOOKUP('Données projet'!$B$15,Paramètres!$A$1:$I$89,5,0)</f>
        <v>4.9485290992033608</v>
      </c>
      <c r="EL15" s="14">
        <f t="shared" si="45"/>
        <v>1.8931767921179217</v>
      </c>
      <c r="EM15" s="22">
        <f t="shared" si="19"/>
        <v>11.915971094051232</v>
      </c>
      <c r="EN15" s="62">
        <f t="shared" si="20"/>
        <v>283.24930442738457</v>
      </c>
      <c r="EO15" s="62">
        <f ca="1">AVERAGE(OFFSET($EN$3,0,0,'Données projet'!$E$15+1,1))-AVERAGE(OFFSET($H$3,0,0,'Données projet'!$E$15+1,1))</f>
        <v>202.86354781280403</v>
      </c>
      <c r="EP15" s="62">
        <f t="shared" si="46"/>
        <v>217.25323885665131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2.2649572649572649</v>
      </c>
      <c r="FE15" s="13">
        <f>IF('Données projet'!$A$218&gt;35,FE14+FD15-FM14,IF(A15&lt;'Données projet'!$A$218,$FB$205^A15,IF(A15='Données projet'!$A$218,'Données projet'!$B$218,FE14+FD15-FM14)))</f>
        <v>16.784987300482918</v>
      </c>
      <c r="FF15" s="18">
        <f>FE15*VLOOKUP('Données projet'!$B$16,Paramètres!$A$1:$I$89,3,0)*VLOOKUP('Données projet'!$B$16,Paramètres!$A$1:$I$89,5,0)</f>
        <v>15.972593915139546</v>
      </c>
      <c r="FG15" s="14">
        <f t="shared" si="47"/>
        <v>5.3315638277853701</v>
      </c>
      <c r="FH15" s="22">
        <f t="shared" si="22"/>
        <v>37.104741402260892</v>
      </c>
      <c r="FI15" s="62">
        <f t="shared" si="23"/>
        <v>308.43807473559423</v>
      </c>
      <c r="FJ15" s="62">
        <f ca="1">AVERAGE(OFFSET($FI$3,0,0,'Données projet'!$E$16+1,1))-AVERAGE(OFFSET($H$3,0,0,'Données projet'!$E$16+1,1))</f>
        <v>353.61481736740694</v>
      </c>
      <c r="FK15" s="62">
        <f t="shared" si="48"/>
        <v>244.7141066773861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1.05</v>
      </c>
      <c r="FZ15" s="13">
        <f>IF('Données projet'!$A$244&gt;35,FZ14+FY15-GH14,IF(A15&lt;'Données projet'!$A$244,$FW$205^A15,IF(A15='Données projet'!$A$244,'Données projet'!$B$244,FZ14+FY15-GH14)))</f>
        <v>6.213432387360748</v>
      </c>
      <c r="GA15" s="18">
        <f>FZ15*VLOOKUP('Données projet'!$B$17,Paramètres!$A$1:$I$89,3,0)*VLOOKUP('Données projet'!$B$17,Paramètres!$A$1:$I$89,5,0)</f>
        <v>6.6881386217551091</v>
      </c>
      <c r="GB15" s="14">
        <f t="shared" si="49"/>
        <v>2.4705394766064934</v>
      </c>
      <c r="GC15" s="22">
        <f t="shared" si="25"/>
        <v>15.951364354646456</v>
      </c>
      <c r="GD15" s="62">
        <f t="shared" si="26"/>
        <v>287.28469768797976</v>
      </c>
      <c r="GE15" s="62">
        <f ca="1">AVERAGE(OFFSET($GD$3,0,0,'Données projet'!$E$17+1,1))-AVERAGE(OFFSET($H$3,0,0,'Données projet'!$E$17+1,1))</f>
        <v>280.20599015000306</v>
      </c>
      <c r="GF15" s="62">
        <f t="shared" si="50"/>
        <v>166.97658184507787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2.7777777777777777</v>
      </c>
      <c r="GU15" s="13">
        <f>IF('Données projet'!$A$270&gt;35,GU14+GT15-HC14,IF(A15&lt;'Données projet'!$A$270,$GR$205^A15,IF(A15='Données projet'!$A$270,'Données projet'!$B$270,GU14+GT15-HC14)))</f>
        <v>19.762005081494262</v>
      </c>
      <c r="GV15" s="18">
        <f>GU15*VLOOKUP('Données projet'!$B$18,Paramètres!$A$1:$I$89,3,0)*VLOOKUP('Données projet'!$B$18,Paramètres!$A$1:$I$89,5,0)</f>
        <v>13.256353008666352</v>
      </c>
      <c r="GW15" s="14">
        <f t="shared" si="51"/>
        <v>4.5219521742655813</v>
      </c>
      <c r="GX15" s="22">
        <f t="shared" si="28"/>
        <v>30.963881526939787</v>
      </c>
      <c r="GY15" s="62">
        <f t="shared" si="29"/>
        <v>302.29721486027313</v>
      </c>
      <c r="GZ15" s="62">
        <f ca="1">AVERAGE(OFFSET($GY$3,0,0,'Données projet'!$E$18+1,1))-AVERAGE(OFFSET($H$3,0,0,'Données projet'!$E$18+1,1))</f>
        <v>291.18686311753402</v>
      </c>
      <c r="HA15" s="62">
        <f t="shared" si="52"/>
        <v>215.44422413249839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9">
        <f t="shared" si="1"/>
        <v>256.66666666666669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7.4312217194570129</v>
      </c>
      <c r="N16" s="14">
        <f>IF('Données projet'!$A$36&gt;35,N15+M16-V15,IF(A16&lt;'Données projet'!$A$36,$K$205^A16,IF(A16='Données projet'!$A$36,'Données projet'!$B$36,N15+M16-V15)))</f>
        <v>40.460980378841768</v>
      </c>
      <c r="O16" s="14">
        <f>N16*VLOOKUP('Données projet'!$B$9,Paramètres!$A$1:$I$89,3,0)*VLOOKUP('Données projet'!$B$9,Paramètres!$A$1:$I$89,5,0)</f>
        <v>24.195666266547377</v>
      </c>
      <c r="P16" s="14">
        <f t="shared" si="33"/>
        <v>7.6952475537219458</v>
      </c>
      <c r="Q16" s="22">
        <f t="shared" si="2"/>
        <v>55.543341570302402</v>
      </c>
      <c r="R16" s="62">
        <f t="shared" si="0"/>
        <v>328.09889712585795</v>
      </c>
      <c r="S16" s="62">
        <f ca="1">AVERAGE(OFFSET($R$3,0,0,'Données projet'!$E$9+1,1))-AVERAGE(OFFSET($H$3,0,0,'Données projet'!$E$9+1,1))</f>
        <v>260.02504691866199</v>
      </c>
      <c r="T16" s="62">
        <f t="shared" si="34"/>
        <v>270.11268336406368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2">
        <f t="shared" si="5"/>
        <v>299.55821782408742</v>
      </c>
      <c r="AN16" s="62">
        <f ca="1">AVERAGE(OFFSET($AM$3,0,0,'Données projet'!$E$10+1,1))-AVERAGE(OFFSET($H$3,0,0,'Données projet'!$E$10+1,1))</f>
        <v>475.47920969424894</v>
      </c>
      <c r="AO16" s="62">
        <f t="shared" si="36"/>
        <v>271.73544012419364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10.272227535089344</v>
      </c>
      <c r="BF16" s="14">
        <f t="shared" si="37"/>
        <v>3.6095987912522753</v>
      </c>
      <c r="BG16" s="22">
        <f t="shared" si="7"/>
        <v>24.177514185044988</v>
      </c>
      <c r="BH16" s="62">
        <f t="shared" si="8"/>
        <v>296.73306974060051</v>
      </c>
      <c r="BI16" s="62">
        <f ca="1">AVERAGE(OFFSET($BH$3,0,0,'Données projet'!$E$11+1,1))-AVERAGE(OFFSET($H$3,0,0,'Données projet'!$E$11+1,1))</f>
        <v>428.8489304403459</v>
      </c>
      <c r="BJ16" s="62">
        <f t="shared" si="38"/>
        <v>247.01165577562966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2.1333333333333333</v>
      </c>
      <c r="BY16" s="13">
        <f>IF('Données projet'!$A$114&gt;35,BY15+BX16-CG15,IF(A16&lt;'Données projet'!$A$114,$BV$205^A16,IF(A16='Données projet'!$A$114,'Données projet'!$B$114,BY15+BX16-CG15)))</f>
        <v>20.158736798317982</v>
      </c>
      <c r="BZ16" s="14">
        <f>BY16*VLOOKUP('Données projet'!$B$12,Paramètres!$A$1:$I$89,3,0)*VLOOKUP('Données projet'!$B$12,Paramètres!$A$1:$I$89,5,0)</f>
        <v>16.352767290795548</v>
      </c>
      <c r="CA16" s="14">
        <f t="shared" si="39"/>
        <v>5.4435385035303101</v>
      </c>
      <c r="CB16" s="22">
        <f t="shared" si="10"/>
        <v>37.961899258450863</v>
      </c>
      <c r="CC16" s="62">
        <f t="shared" si="11"/>
        <v>310.51745481400638</v>
      </c>
      <c r="CD16" s="62">
        <f ca="1">AVERAGE(OFFSET($CC$3,0,0,'Données projet'!$E$12+1,1))-AVERAGE(OFFSET($H$3,0,0,'Données projet'!$E$12+1,1))</f>
        <v>236.22643401787644</v>
      </c>
      <c r="CE16" s="62">
        <f t="shared" si="40"/>
        <v>188.80444043778022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3.4425641025641025</v>
      </c>
      <c r="CT16" s="13">
        <f>IF('Données projet'!$A$140&gt;35,CT15+CS16-DB15,IF(A16&lt;'Données projet'!$A$140,$CQ$205^A16,IF(A16='Données projet'!$A$140,'Données projet'!$B$140,CT15+CS16-DB15)))</f>
        <v>7.459930119048451</v>
      </c>
      <c r="CU16" s="18">
        <f>CT16*VLOOKUP('Données projet'!$B$13,Paramètres!$A$1:$I$89,3,0)*VLOOKUP('Données projet'!$B$13,Paramètres!$A$1:$I$89,5,0)</f>
        <v>3.4912472957146754</v>
      </c>
      <c r="CV16" s="14">
        <f t="shared" si="41"/>
        <v>1.3910083400895945</v>
      </c>
      <c r="CW16" s="22">
        <f t="shared" si="13"/>
        <v>8.5032618990257713</v>
      </c>
      <c r="CX16" s="62">
        <f t="shared" si="14"/>
        <v>281.05881745458129</v>
      </c>
      <c r="CY16" s="62">
        <f ca="1">AVERAGE(OFFSET($CX$3,0,0,'Données projet'!$E$13+1,1))-AVERAGE(OFFSET($H$3,0,0,'Données projet'!$E$13+1,1))</f>
        <v>246.73711856758143</v>
      </c>
      <c r="CZ16" s="62">
        <f t="shared" si="42"/>
        <v>145.54897745089966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2.0085470085470085</v>
      </c>
      <c r="DO16" s="13">
        <f>IF('Données projet'!$A$166&gt;35,DO15+DN16-DW15,IF(A16&lt;'Données projet'!$A$166,$DL$205^A16,IF(A16='Données projet'!$A$166,'Données projet'!$B$166,DO15+DN16-DW15)))</f>
        <v>19.132724808582047</v>
      </c>
      <c r="DP16" s="18">
        <f>DO16*VLOOKUP('Données projet'!$B$14,Paramètres!$A$1:$I$89,3,0)*VLOOKUP('Données projet'!$B$14,Paramètres!$A$1:$I$89,5,0)</f>
        <v>19.997523969929958</v>
      </c>
      <c r="DQ16" s="14">
        <f t="shared" si="43"/>
        <v>6.5027140709684383</v>
      </c>
      <c r="DR16" s="22">
        <f t="shared" si="16"/>
        <v>46.154581254564704</v>
      </c>
      <c r="DS16" s="62">
        <f t="shared" si="17"/>
        <v>318.71013681012028</v>
      </c>
      <c r="DT16" s="62">
        <f ca="1">AVERAGE(OFFSET($DS$3,0,0,'Données projet'!$E$14+1,1))-AVERAGE(OFFSET($H$3,0,0,'Données projet'!$E$14+1,1))</f>
        <v>493.70175665335978</v>
      </c>
      <c r="DU16" s="62">
        <f t="shared" si="44"/>
        <v>325.12357781685949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0.9</v>
      </c>
      <c r="EJ16" s="13">
        <f>IF('Données projet'!$A$192&gt;35,EJ15+EI16-ER15,IF(A16&lt;'Données projet'!$A$192,$EG$205^A16,IF(A16='Données projet'!$A$192,'Données projet'!$B$192,EJ15+EI16-ER15)))</f>
        <v>6.5452633975063188</v>
      </c>
      <c r="EK16" s="18">
        <f>EJ16*VLOOKUP('Données projet'!$B$15,Paramètres!$A$1:$I$89,3,0)*VLOOKUP('Données projet'!$B$15,Paramètres!$A$1:$I$89,5,0)</f>
        <v>5.717942104061521</v>
      </c>
      <c r="EL16" s="14">
        <f t="shared" si="45"/>
        <v>2.1510430944381391</v>
      </c>
      <c r="EM16" s="22">
        <f t="shared" si="19"/>
        <v>13.705149220720239</v>
      </c>
      <c r="EN16" s="62">
        <f t="shared" si="20"/>
        <v>286.26070477627576</v>
      </c>
      <c r="EO16" s="62">
        <f ca="1">AVERAGE(OFFSET($EN$3,0,0,'Données projet'!$E$15+1,1))-AVERAGE(OFFSET($H$3,0,0,'Données projet'!$E$15+1,1))</f>
        <v>202.86354781280403</v>
      </c>
      <c r="EP16" s="62">
        <f t="shared" si="46"/>
        <v>217.25323885665131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2.2649572649572649</v>
      </c>
      <c r="FE16" s="13">
        <f>IF('Données projet'!$A$218&gt;35,FE15+FD16-FM15,IF(A16&lt;'Données projet'!$A$218,$FB$205^A16,IF(A16='Données projet'!$A$218,'Données projet'!$B$218,FE15+FD16-FM15)))</f>
        <v>21.232335519110155</v>
      </c>
      <c r="FF16" s="18">
        <f>FE16*VLOOKUP('Données projet'!$B$16,Paramètres!$A$1:$I$89,3,0)*VLOOKUP('Données projet'!$B$16,Paramètres!$A$1:$I$89,5,0)</f>
        <v>20.204690479985224</v>
      </c>
      <c r="FG16" s="14">
        <f t="shared" si="47"/>
        <v>6.5622025364151133</v>
      </c>
      <c r="FH16" s="22">
        <f t="shared" si="22"/>
        <v>46.619005336897253</v>
      </c>
      <c r="FI16" s="62">
        <f t="shared" si="23"/>
        <v>319.1745608924528</v>
      </c>
      <c r="FJ16" s="62">
        <f ca="1">AVERAGE(OFFSET($FI$3,0,0,'Données projet'!$E$16+1,1))-AVERAGE(OFFSET($H$3,0,0,'Données projet'!$E$16+1,1))</f>
        <v>353.61481736740694</v>
      </c>
      <c r="FK16" s="62">
        <f t="shared" si="48"/>
        <v>244.7141066773861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1.05</v>
      </c>
      <c r="FZ16" s="13">
        <f>IF('Données projet'!$A$244&gt;35,FZ15+FY16-GH15,IF(A16&lt;'Données projet'!$A$244,$FW$205^A16,IF(A16='Données projet'!$A$244,'Données projet'!$B$244,FZ15+FY16-GH15)))</f>
        <v>7.235066739107908</v>
      </c>
      <c r="GA16" s="18">
        <f>FZ16*VLOOKUP('Données projet'!$B$17,Paramètres!$A$1:$I$89,3,0)*VLOOKUP('Données projet'!$B$17,Paramètres!$A$1:$I$89,5,0)</f>
        <v>7.7878258379757526</v>
      </c>
      <c r="GB16" s="14">
        <f t="shared" si="49"/>
        <v>2.8262296371164966</v>
      </c>
      <c r="GC16" s="22">
        <f t="shared" si="25"/>
        <v>18.486146619119001</v>
      </c>
      <c r="GD16" s="62">
        <f t="shared" si="26"/>
        <v>291.04170217467453</v>
      </c>
      <c r="GE16" s="62">
        <f ca="1">AVERAGE(OFFSET($GD$3,0,0,'Données projet'!$E$17+1,1))-AVERAGE(OFFSET($H$3,0,0,'Données projet'!$E$17+1,1))</f>
        <v>280.20599015000306</v>
      </c>
      <c r="GF16" s="62">
        <f t="shared" si="50"/>
        <v>166.97658184507787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2.7777777777777777</v>
      </c>
      <c r="GU16" s="13">
        <f>IF('Données projet'!$A$270&gt;35,GU15+GT16-HC15,IF(A16&lt;'Données projet'!$A$270,$GR$205^A16,IF(A16='Données projet'!$A$270,'Données projet'!$B$270,GU15+GT16-HC15)))</f>
        <v>25.340601762628324</v>
      </c>
      <c r="GV16" s="18">
        <f>GU16*VLOOKUP('Données projet'!$B$18,Paramètres!$A$1:$I$89,3,0)*VLOOKUP('Données projet'!$B$18,Paramètres!$A$1:$I$89,5,0)</f>
        <v>16.998475662371082</v>
      </c>
      <c r="GW16" s="14">
        <f t="shared" si="51"/>
        <v>5.6330333342391405</v>
      </c>
      <c r="GX16" s="22">
        <f t="shared" si="28"/>
        <v>39.416544835762807</v>
      </c>
      <c r="GY16" s="62">
        <f t="shared" si="29"/>
        <v>311.97210039131835</v>
      </c>
      <c r="GZ16" s="62">
        <f ca="1">AVERAGE(OFFSET($GY$3,0,0,'Données projet'!$E$18+1,1))-AVERAGE(OFFSET($H$3,0,0,'Données projet'!$E$18+1,1))</f>
        <v>291.18686311753402</v>
      </c>
      <c r="HA16" s="62">
        <f t="shared" si="52"/>
        <v>215.44422413249839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9">
        <f t="shared" si="1"/>
        <v>256.66666666666669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7.4312217194570129</v>
      </c>
      <c r="N17" s="14">
        <f>IF('Données projet'!$A$36&gt;35,N16+M17-V16,IF(A17&lt;'Données projet'!$A$36,$K$205^A17,IF(A17='Données projet'!$A$36,'Données projet'!$B$36,N16+M17-V16)))</f>
        <v>53.784184291233551</v>
      </c>
      <c r="O17" s="14">
        <f>N17*VLOOKUP('Données projet'!$B$9,Paramètres!$A$1:$I$89,3,0)*VLOOKUP('Données projet'!$B$9,Paramètres!$A$1:$I$89,5,0)</f>
        <v>32.162942206157666</v>
      </c>
      <c r="P17" s="14">
        <f t="shared" si="33"/>
        <v>9.8958162734145461</v>
      </c>
      <c r="Q17" s="22">
        <f t="shared" si="2"/>
        <v>73.252337685254929</v>
      </c>
      <c r="R17" s="62">
        <f t="shared" si="0"/>
        <v>347.0301154630327</v>
      </c>
      <c r="S17" s="62">
        <f ca="1">AVERAGE(OFFSET($R$3,0,0,'Données projet'!$E$9+1,1))-AVERAGE(OFFSET($H$3,0,0,'Données projet'!$E$9+1,1))</f>
        <v>260.02504691866199</v>
      </c>
      <c r="T17" s="62">
        <f t="shared" si="34"/>
        <v>270.11268336406368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2">
        <f t="shared" si="5"/>
        <v>306.14877929230755</v>
      </c>
      <c r="AN17" s="62">
        <f ca="1">AVERAGE(OFFSET($AM$3,0,0,'Données projet'!$E$10+1,1))-AVERAGE(OFFSET($H$3,0,0,'Données projet'!$E$10+1,1))</f>
        <v>475.47920969424894</v>
      </c>
      <c r="AO17" s="62">
        <f t="shared" si="36"/>
        <v>271.73544012419364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12.383034850580612</v>
      </c>
      <c r="BF17" s="14">
        <f t="shared" si="37"/>
        <v>4.2576904771143838</v>
      </c>
      <c r="BG17" s="22">
        <f t="shared" si="7"/>
        <v>28.982596612402116</v>
      </c>
      <c r="BH17" s="62">
        <f t="shared" si="8"/>
        <v>302.76037439017989</v>
      </c>
      <c r="BI17" s="62">
        <f ca="1">AVERAGE(OFFSET($BH$3,0,0,'Données projet'!$E$11+1,1))-AVERAGE(OFFSET($H$3,0,0,'Données projet'!$E$11+1,1))</f>
        <v>428.8489304403459</v>
      </c>
      <c r="BJ17" s="62">
        <f t="shared" si="38"/>
        <v>247.01165577562966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2.1333333333333333</v>
      </c>
      <c r="BY17" s="13">
        <f>IF('Données projet'!$A$114&gt;35,BY16+BX17-CG16,IF(A17&lt;'Données projet'!$A$114,$BV$205^A17,IF(A17='Données projet'!$A$114,'Données projet'!$B$114,BY16+BX17-CG16)))</f>
        <v>25.398416831491208</v>
      </c>
      <c r="BZ17" s="14">
        <f>BY17*VLOOKUP('Données projet'!$B$12,Paramètres!$A$1:$I$89,3,0)*VLOOKUP('Données projet'!$B$12,Paramètres!$A$1:$I$89,5,0)</f>
        <v>20.603195733705668</v>
      </c>
      <c r="CA17" s="14">
        <f t="shared" si="39"/>
        <v>6.6764356459080147</v>
      </c>
      <c r="CB17" s="22">
        <f t="shared" si="10"/>
        <v>47.512024652827165</v>
      </c>
      <c r="CC17" s="62">
        <f t="shared" si="11"/>
        <v>321.28980243060494</v>
      </c>
      <c r="CD17" s="62">
        <f ca="1">AVERAGE(OFFSET($CC$3,0,0,'Données projet'!$E$12+1,1))-AVERAGE(OFFSET($H$3,0,0,'Données projet'!$E$12+1,1))</f>
        <v>236.22643401787644</v>
      </c>
      <c r="CE17" s="62">
        <f t="shared" si="40"/>
        <v>188.80444043778022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3.4425641025641025</v>
      </c>
      <c r="CT17" s="13">
        <f>IF('Données projet'!$A$140&gt;35,CT16+CS17-DB16,IF(A17&lt;'Données projet'!$A$140,$CQ$205^A17,IF(A17='Données projet'!$A$140,'Données projet'!$B$140,CT16+CS17-DB16)))</f>
        <v>8.7069931392376674</v>
      </c>
      <c r="CU17" s="18">
        <f>CT17*VLOOKUP('Données projet'!$B$13,Paramètres!$A$1:$I$89,3,0)*VLOOKUP('Données projet'!$B$13,Paramètres!$A$1:$I$89,5,0)</f>
        <v>4.0748727891632281</v>
      </c>
      <c r="CV17" s="14">
        <f t="shared" si="41"/>
        <v>1.5945892948181934</v>
      </c>
      <c r="CW17" s="22">
        <f t="shared" si="13"/>
        <v>9.8743131296009761</v>
      </c>
      <c r="CX17" s="62">
        <f t="shared" si="14"/>
        <v>283.65209090737875</v>
      </c>
      <c r="CY17" s="62">
        <f ca="1">AVERAGE(OFFSET($CX$3,0,0,'Données projet'!$E$13+1,1))-AVERAGE(OFFSET($H$3,0,0,'Données projet'!$E$13+1,1))</f>
        <v>246.73711856758143</v>
      </c>
      <c r="CZ17" s="62">
        <f t="shared" si="42"/>
        <v>145.54897745089966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2.0085470085470085</v>
      </c>
      <c r="DO17" s="13">
        <f>IF('Données projet'!$A$166&gt;35,DO16+DN17-DW16,IF(A17&lt;'Données projet'!$A$166,$DL$205^A17,IF(A17='Données projet'!$A$166,'Données projet'!$B$166,DO16+DN17-DW16)))</f>
        <v>24.009053660951697</v>
      </c>
      <c r="DP17" s="18">
        <f>DO17*VLOOKUP('Données projet'!$B$14,Paramètres!$A$1:$I$89,3,0)*VLOOKUP('Données projet'!$B$14,Paramètres!$A$1:$I$89,5,0)</f>
        <v>25.094262886426712</v>
      </c>
      <c r="DQ17" s="14">
        <f t="shared" si="43"/>
        <v>7.9472347747017285</v>
      </c>
      <c r="DR17" s="22">
        <f t="shared" si="16"/>
        <v>57.547275093132022</v>
      </c>
      <c r="DS17" s="62">
        <f t="shared" si="17"/>
        <v>331.32505287090981</v>
      </c>
      <c r="DT17" s="62">
        <f ca="1">AVERAGE(OFFSET($DS$3,0,0,'Données projet'!$E$14+1,1))-AVERAGE(OFFSET($H$3,0,0,'Données projet'!$E$14+1,1))</f>
        <v>493.70175665335978</v>
      </c>
      <c r="DU17" s="62">
        <f t="shared" si="44"/>
        <v>325.12357781685949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0.9</v>
      </c>
      <c r="EJ17" s="13">
        <f>IF('Données projet'!$A$192&gt;35,EJ16+EI17-ER16,IF(A17&lt;'Données projet'!$A$192,$EG$205^A17,IF(A17='Données projet'!$A$192,'Données projet'!$B$192,EJ16+EI17-ER16)))</f>
        <v>7.5629417171254145</v>
      </c>
      <c r="EK17" s="18">
        <f>EJ17*VLOOKUP('Données projet'!$B$15,Paramètres!$A$1:$I$89,3,0)*VLOOKUP('Données projet'!$B$15,Paramètres!$A$1:$I$89,5,0)</f>
        <v>6.6069858840807631</v>
      </c>
      <c r="EL17" s="14">
        <f t="shared" si="45"/>
        <v>2.4440329151477385</v>
      </c>
      <c r="EM17" s="22">
        <f t="shared" si="19"/>
        <v>15.763857741989639</v>
      </c>
      <c r="EN17" s="62">
        <f t="shared" si="20"/>
        <v>289.5416355197674</v>
      </c>
      <c r="EO17" s="62">
        <f ca="1">AVERAGE(OFFSET($EN$3,0,0,'Données projet'!$E$15+1,1))-AVERAGE(OFFSET($H$3,0,0,'Données projet'!$E$15+1,1))</f>
        <v>202.86354781280403</v>
      </c>
      <c r="EP17" s="62">
        <f t="shared" si="46"/>
        <v>217.25323885665131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2.2649572649572649</v>
      </c>
      <c r="FE17" s="13">
        <f>IF('Données projet'!$A$218&gt;35,FE16+FD17-FM16,IF(A17&lt;'Données projet'!$A$218,$FB$205^A17,IF(A17='Données projet'!$A$218,'Données projet'!$B$218,FE16+FD17-FM16)))</f>
        <v>26.85805258745096</v>
      </c>
      <c r="FF17" s="18">
        <f>FE17*VLOOKUP('Données projet'!$B$16,Paramètres!$A$1:$I$89,3,0)*VLOOKUP('Données projet'!$B$16,Paramètres!$A$1:$I$89,5,0)</f>
        <v>25.558122842218335</v>
      </c>
      <c r="FG17" s="14">
        <f t="shared" si="47"/>
        <v>8.0768989211970617</v>
      </c>
      <c r="FH17" s="22">
        <f t="shared" si="22"/>
        <v>58.580996237948476</v>
      </c>
      <c r="FI17" s="62">
        <f t="shared" si="23"/>
        <v>332.35877401572623</v>
      </c>
      <c r="FJ17" s="62">
        <f ca="1">AVERAGE(OFFSET($FI$3,0,0,'Données projet'!$E$16+1,1))-AVERAGE(OFFSET($H$3,0,0,'Données projet'!$E$16+1,1))</f>
        <v>353.61481736740694</v>
      </c>
      <c r="FK17" s="62">
        <f t="shared" si="48"/>
        <v>244.7141066773861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1.05</v>
      </c>
      <c r="FZ17" s="13">
        <f>IF('Données projet'!$A$244&gt;35,FZ16+FY17-GH16,IF(A17&lt;'Données projet'!$A$244,$FW$205^A17,IF(A17='Données projet'!$A$244,'Données projet'!$B$244,FZ16+FY17-GH16)))</f>
        <v>8.4246817951744681</v>
      </c>
      <c r="GA17" s="18">
        <f>FZ17*VLOOKUP('Données projet'!$B$17,Paramètres!$A$1:$I$89,3,0)*VLOOKUP('Données projet'!$B$17,Paramètres!$A$1:$I$89,5,0)</f>
        <v>9.0683274843257973</v>
      </c>
      <c r="GB17" s="14">
        <f t="shared" si="49"/>
        <v>3.2331294591120168</v>
      </c>
      <c r="GC17" s="22">
        <f t="shared" si="25"/>
        <v>21.425037509820857</v>
      </c>
      <c r="GD17" s="62">
        <f t="shared" si="26"/>
        <v>295.20281528759864</v>
      </c>
      <c r="GE17" s="62">
        <f ca="1">AVERAGE(OFFSET($GD$3,0,0,'Données projet'!$E$17+1,1))-AVERAGE(OFFSET($H$3,0,0,'Données projet'!$E$17+1,1))</f>
        <v>280.20599015000306</v>
      </c>
      <c r="GF17" s="62">
        <f t="shared" si="50"/>
        <v>166.97658184507787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2.7777777777777777</v>
      </c>
      <c r="GU17" s="13">
        <f>IF('Données projet'!$A$270&gt;35,GU16+GT17-HC16,IF(A17&lt;'Données projet'!$A$270,$GR$205^A17,IF(A17='Données projet'!$A$270,'Données projet'!$B$270,GU16+GT17-HC16)))</f>
        <v>32.493974930380247</v>
      </c>
      <c r="GV17" s="18">
        <f>GU17*VLOOKUP('Données projet'!$B$18,Paramètres!$A$1:$I$89,3,0)*VLOOKUP('Données projet'!$B$18,Paramètres!$A$1:$I$89,5,0)</f>
        <v>21.796958383299071</v>
      </c>
      <c r="GW17" s="14">
        <f t="shared" si="51"/>
        <v>7.0171163519222377</v>
      </c>
      <c r="GX17" s="22">
        <f t="shared" si="28"/>
        <v>50.184513497177107</v>
      </c>
      <c r="GY17" s="62">
        <f t="shared" si="29"/>
        <v>323.96229127495485</v>
      </c>
      <c r="GZ17" s="62">
        <f ca="1">AVERAGE(OFFSET($GY$3,0,0,'Données projet'!$E$18+1,1))-AVERAGE(OFFSET($H$3,0,0,'Données projet'!$E$18+1,1))</f>
        <v>291.18686311753402</v>
      </c>
      <c r="HA17" s="62">
        <f t="shared" si="52"/>
        <v>215.44422413249839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9">
        <f t="shared" si="1"/>
        <v>256.66666666666669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7.4312217194570129</v>
      </c>
      <c r="N18" s="14">
        <f>IF('Données projet'!$A$36&gt;35,N17+M18-V17,IF(A18&lt;'Données projet'!$A$36,$K$205^A18,IF(A18='Données projet'!$A$36,'Données projet'!$B$36,N17+M18-V17)))</f>
        <v>71.494522692931866</v>
      </c>
      <c r="O18" s="14">
        <f>N18*VLOOKUP('Données projet'!$B$9,Paramètres!$A$1:$I$89,3,0)*VLOOKUP('Données projet'!$B$9,Paramètres!$A$1:$I$89,5,0)</f>
        <v>42.753724570373258</v>
      </c>
      <c r="P18" s="14">
        <f t="shared" si="33"/>
        <v>12.725669841487028</v>
      </c>
      <c r="Q18" s="22">
        <f t="shared" si="2"/>
        <v>96.626611933989992</v>
      </c>
      <c r="R18" s="62">
        <f t="shared" si="0"/>
        <v>371.62661193398998</v>
      </c>
      <c r="S18" s="62">
        <f ca="1">AVERAGE(OFFSET($R$3,0,0,'Données projet'!$E$9+1,1))-AVERAGE(OFFSET($H$3,0,0,'Données projet'!$E$9+1,1))</f>
        <v>260.02504691866199</v>
      </c>
      <c r="T18" s="62">
        <f t="shared" si="34"/>
        <v>270.11268336406368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2">
        <f t="shared" si="5"/>
        <v>313.81008211298388</v>
      </c>
      <c r="AN18" s="62">
        <f ca="1">AVERAGE(OFFSET($AM$3,0,0,'Données projet'!$E$10+1,1))-AVERAGE(OFFSET($H$3,0,0,'Données projet'!$E$10+1,1))</f>
        <v>475.47920969424894</v>
      </c>
      <c r="AO18" s="62">
        <f t="shared" si="36"/>
        <v>271.73544012419364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14.927585237660953</v>
      </c>
      <c r="BF18" s="14">
        <f t="shared" si="37"/>
        <v>5.0221449106318534</v>
      </c>
      <c r="BG18" s="22">
        <f t="shared" si="7"/>
        <v>34.745780008276633</v>
      </c>
      <c r="BH18" s="62">
        <f t="shared" si="8"/>
        <v>309.74578000827665</v>
      </c>
      <c r="BI18" s="62">
        <f ca="1">AVERAGE(OFFSET($BH$3,0,0,'Données projet'!$E$11+1,1))-AVERAGE(OFFSET($H$3,0,0,'Données projet'!$E$11+1,1))</f>
        <v>428.8489304403459</v>
      </c>
      <c r="BJ18" s="62">
        <f t="shared" si="38"/>
        <v>247.01165577562966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32</v>
      </c>
      <c r="BW18" s="13">
        <f>VLOOKUP(A18,'Données projet'!$A$113:$I$133,9,0)</f>
        <v>2.1333333333333333</v>
      </c>
      <c r="BX18" s="13">
        <f t="array" ref="BX18">INDEX(BW:BW,MIN(IF(ISNUMBER(BW18:BW214),ROW(BW18:BW214),"")))</f>
        <v>2.1333333333333333</v>
      </c>
      <c r="BY18" s="13">
        <f>IF('Données projet'!$A$114&gt;35,BY17+BX18-CG17,IF(A18&lt;'Données projet'!$A$114,$BV$205^A18,IF(A18='Données projet'!$A$114,'Données projet'!$B$114,BY17+BX18-CG17)))</f>
        <v>32</v>
      </c>
      <c r="BZ18" s="14">
        <f>BY18*VLOOKUP('Données projet'!$B$12,Paramètres!$A$1:$I$89,3,0)*VLOOKUP('Données projet'!$B$12,Paramètres!$A$1:$I$89,5,0)</f>
        <v>25.958400000000001</v>
      </c>
      <c r="CA18" s="14">
        <f t="shared" si="39"/>
        <v>8.1885694213502802</v>
      </c>
      <c r="CB18" s="22">
        <f t="shared" si="10"/>
        <v>59.472638408851729</v>
      </c>
      <c r="CC18" s="62">
        <f t="shared" si="11"/>
        <v>334.47263840885171</v>
      </c>
      <c r="CD18" s="62">
        <f ca="1">AVERAGE(OFFSET($CC$3,0,0,'Données projet'!$E$12+1,1))-AVERAGE(OFFSET($H$3,0,0,'Données projet'!$E$12+1,1))</f>
        <v>236.22643401787644</v>
      </c>
      <c r="CE18" s="62">
        <f t="shared" si="40"/>
        <v>188.80444043778022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3.4425641025641025</v>
      </c>
      <c r="CT18" s="13">
        <f>IF('Données projet'!$A$140&gt;35,CT17+CS18-DB17,IF(A18&lt;'Données projet'!$A$140,$CQ$205^A18,IF(A18='Données projet'!$A$140,'Données projet'!$B$140,CT17+CS18-DB17)))</f>
        <v>10.162525428107084</v>
      </c>
      <c r="CU18" s="18">
        <f>CT18*VLOOKUP('Données projet'!$B$13,Paramètres!$A$1:$I$89,3,0)*VLOOKUP('Données projet'!$B$13,Paramètres!$A$1:$I$89,5,0)</f>
        <v>4.7560619003541156</v>
      </c>
      <c r="CV18" s="14">
        <f t="shared" si="41"/>
        <v>1.8279653298016947</v>
      </c>
      <c r="CW18" s="22">
        <f t="shared" si="13"/>
        <v>11.467180759188034</v>
      </c>
      <c r="CX18" s="62">
        <f t="shared" si="14"/>
        <v>286.46718075918801</v>
      </c>
      <c r="CY18" s="62">
        <f ca="1">AVERAGE(OFFSET($CX$3,0,0,'Données projet'!$E$13+1,1))-AVERAGE(OFFSET($H$3,0,0,'Données projet'!$E$13+1,1))</f>
        <v>246.73711856758143</v>
      </c>
      <c r="CZ18" s="62">
        <f t="shared" si="42"/>
        <v>145.54897745089966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30.128205128205128</v>
      </c>
      <c r="DM18" s="13">
        <f>VLOOKUP(A18,'Données projet'!$A$165:$I$185,9,0)</f>
        <v>2.0085470085470085</v>
      </c>
      <c r="DN18" s="13">
        <f t="array" ref="DN18">INDEX(DM:DM,MIN(IF(ISNUMBER(DM18:DM214),ROW(DM18:DM214),"")))</f>
        <v>2.0085470085470085</v>
      </c>
      <c r="DO18" s="13">
        <f>IF('Données projet'!$A$166&gt;35,DO17+DN18-DW17,IF(A18&lt;'Données projet'!$A$166,$DL$205^A18,IF(A18='Données projet'!$A$166,'Données projet'!$B$166,DO17+DN18-DW17)))</f>
        <v>30.128205128205128</v>
      </c>
      <c r="DP18" s="18">
        <f>DO18*VLOOKUP('Données projet'!$B$14,Paramètres!$A$1:$I$89,3,0)*VLOOKUP('Données projet'!$B$14,Paramètres!$A$1:$I$89,5,0)</f>
        <v>31.490000000000006</v>
      </c>
      <c r="DQ18" s="14">
        <f t="shared" si="43"/>
        <v>9.7126430402655597</v>
      </c>
      <c r="DR18" s="22">
        <f t="shared" si="16"/>
        <v>71.761269961795847</v>
      </c>
      <c r="DS18" s="62">
        <f t="shared" si="17"/>
        <v>346.76126996179585</v>
      </c>
      <c r="DT18" s="62">
        <f ca="1">AVERAGE(OFFSET($DS$3,0,0,'Données projet'!$E$14+1,1))-AVERAGE(OFFSET($H$3,0,0,'Données projet'!$E$14+1,1))</f>
        <v>493.70175665335978</v>
      </c>
      <c r="DU18" s="62">
        <f t="shared" si="44"/>
        <v>325.12357781685949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0.9</v>
      </c>
      <c r="EJ18" s="13">
        <f>IF('Données projet'!$A$192&gt;35,EJ17+EI18-ER17,IF(A18&lt;'Données projet'!$A$192,$EG$205^A18,IF(A18='Données projet'!$A$192,'Données projet'!$B$192,EJ17+EI18-ER17)))</f>
        <v>8.7388518907318247</v>
      </c>
      <c r="EK18" s="18">
        <f>EJ18*VLOOKUP('Données projet'!$B$15,Paramètres!$A$1:$I$89,3,0)*VLOOKUP('Données projet'!$B$15,Paramètres!$A$1:$I$89,5,0)</f>
        <v>7.6342610117433241</v>
      </c>
      <c r="EL18" s="14">
        <f t="shared" si="45"/>
        <v>2.7769303673043324</v>
      </c>
      <c r="EM18" s="22">
        <f t="shared" si="19"/>
        <v>18.132824985174668</v>
      </c>
      <c r="EN18" s="62">
        <f t="shared" si="20"/>
        <v>293.13282498517469</v>
      </c>
      <c r="EO18" s="62">
        <f ca="1">AVERAGE(OFFSET($EN$3,0,0,'Données projet'!$E$15+1,1))-AVERAGE(OFFSET($H$3,0,0,'Données projet'!$E$15+1,1))</f>
        <v>202.86354781280403</v>
      </c>
      <c r="EP18" s="62">
        <f t="shared" si="46"/>
        <v>217.25323885665131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33.974358974358971</v>
      </c>
      <c r="FC18" s="13">
        <f>VLOOKUP(A18,'Données projet'!$A$217:$I$237,9,0)</f>
        <v>2.2649572649572649</v>
      </c>
      <c r="FD18" s="13">
        <f t="array" ref="FD18">INDEX(FC:FC,MIN(IF(ISNUMBER(FC18:FC214),ROW(FC18:FC214),"")))</f>
        <v>2.2649572649572649</v>
      </c>
      <c r="FE18" s="13">
        <f>IF('Données projet'!$A$218&gt;35,FE17+FD18-FM17,IF(A18&lt;'Données projet'!$A$218,$FB$205^A18,IF(A18='Données projet'!$A$218,'Données projet'!$B$218,FE17+FD18-FM17)))</f>
        <v>33.974358974358971</v>
      </c>
      <c r="FF18" s="18">
        <f>FE18*VLOOKUP('Données projet'!$B$16,Paramètres!$A$1:$I$89,3,0)*VLOOKUP('Données projet'!$B$16,Paramètres!$A$1:$I$89,5,0)</f>
        <v>32.33</v>
      </c>
      <c r="FG18" s="14">
        <f t="shared" si="47"/>
        <v>9.9412195556634533</v>
      </c>
      <c r="FH18" s="22">
        <f t="shared" si="22"/>
        <v>73.622374059447182</v>
      </c>
      <c r="FI18" s="62">
        <f t="shared" si="23"/>
        <v>348.62237405944717</v>
      </c>
      <c r="FJ18" s="62">
        <f ca="1">AVERAGE(OFFSET($FI$3,0,0,'Données projet'!$E$16+1,1))-AVERAGE(OFFSET($H$3,0,0,'Données projet'!$E$16+1,1))</f>
        <v>353.61481736740694</v>
      </c>
      <c r="FK18" s="62">
        <f t="shared" si="48"/>
        <v>244.7141066773861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1.05</v>
      </c>
      <c r="FZ18" s="13">
        <f>IF('Données projet'!$A$244&gt;35,FZ17+FY18-GH17,IF(A18&lt;'Données projet'!$A$244,$FW$205^A18,IF(A18='Données projet'!$A$244,'Données projet'!$B$244,FZ17+FY18-GH17)))</f>
        <v>9.8098975322922115</v>
      </c>
      <c r="GA18" s="18">
        <f>FZ18*VLOOKUP('Données projet'!$B$17,Paramètres!$A$1:$I$89,3,0)*VLOOKUP('Données projet'!$B$17,Paramètres!$A$1:$I$89,5,0)</f>
        <v>10.559373703759336</v>
      </c>
      <c r="GB18" s="14">
        <f t="shared" si="49"/>
        <v>3.6986117341982632</v>
      </c>
      <c r="GC18" s="22">
        <f t="shared" si="25"/>
        <v>24.832657971109484</v>
      </c>
      <c r="GD18" s="62">
        <f t="shared" si="26"/>
        <v>299.83265797110948</v>
      </c>
      <c r="GE18" s="62">
        <f ca="1">AVERAGE(OFFSET($GD$3,0,0,'Données projet'!$E$17+1,1))-AVERAGE(OFFSET($H$3,0,0,'Données projet'!$E$17+1,1))</f>
        <v>280.20599015000306</v>
      </c>
      <c r="GF18" s="62">
        <f t="shared" si="50"/>
        <v>166.97658184507787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41.666666666666664</v>
      </c>
      <c r="GS18" s="13">
        <f>VLOOKUP(A18,'Données projet'!$A$269:$I$289,9,0)</f>
        <v>2.7777777777777777</v>
      </c>
      <c r="GT18" s="13">
        <f t="array" ref="GT18">INDEX(GS:GS,MIN(IF(ISNUMBER(GS18:GS214),ROW(GS18:GS214),"")))</f>
        <v>2.7777777777777777</v>
      </c>
      <c r="GU18" s="13">
        <f>IF('Données projet'!$A$270&gt;35,GU17+GT18-HC17,IF(A18&lt;'Données projet'!$A$270,$GR$205^A18,IF(A18='Données projet'!$A$270,'Données projet'!$B$270,GU17+GT18-HC17)))</f>
        <v>41.666666666666664</v>
      </c>
      <c r="GV18" s="18">
        <f>GU18*VLOOKUP('Données projet'!$B$18,Paramètres!$A$1:$I$89,3,0)*VLOOKUP('Données projet'!$B$18,Paramètres!$A$1:$I$89,5,0)</f>
        <v>27.949999999999996</v>
      </c>
      <c r="GW18" s="14">
        <f t="shared" si="51"/>
        <v>8.7412800483747386</v>
      </c>
      <c r="GX18" s="22">
        <f t="shared" si="28"/>
        <v>63.903979417585994</v>
      </c>
      <c r="GY18" s="62">
        <f t="shared" si="29"/>
        <v>338.90397941758602</v>
      </c>
      <c r="GZ18" s="62">
        <f ca="1">AVERAGE(OFFSET($GY$3,0,0,'Données projet'!$E$18+1,1))-AVERAGE(OFFSET($H$3,0,0,'Données projet'!$E$18+1,1))</f>
        <v>291.18686311753402</v>
      </c>
      <c r="HA18" s="62">
        <f t="shared" si="52"/>
        <v>215.44422413249839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9">
        <f t="shared" si="1"/>
        <v>256.66666666666669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7.4312217194570129</v>
      </c>
      <c r="N19" s="14">
        <f>IF('Données projet'!$A$36&gt;35,N18+M19-V18,IF(A19&lt;'Données projet'!$A$36,$K$205^A19,IF(A19='Données projet'!$A$36,'Données projet'!$B$36,N18+M19-V18)))</f>
        <v>95.036614247271999</v>
      </c>
      <c r="O19" s="14">
        <f>N19*VLOOKUP('Données projet'!$B$9,Paramètres!$A$1:$I$89,3,0)*VLOOKUP('Données projet'!$B$9,Paramètres!$A$1:$I$89,5,0)</f>
        <v>56.831895319868664</v>
      </c>
      <c r="P19" s="14">
        <f t="shared" si="33"/>
        <v>16.364761474967661</v>
      </c>
      <c r="Q19" s="22">
        <f t="shared" si="2"/>
        <v>127.4841772510066</v>
      </c>
      <c r="R19" s="62">
        <f t="shared" si="0"/>
        <v>403.70639947322883</v>
      </c>
      <c r="S19" s="62">
        <f ca="1">AVERAGE(OFFSET($R$3,0,0,'Données projet'!$E$9+1,1))-AVERAGE(OFFSET($H$3,0,0,'Données projet'!$E$9+1,1))</f>
        <v>260.02504691866199</v>
      </c>
      <c r="T19" s="62">
        <f t="shared" si="34"/>
        <v>270.11268336406368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2">
        <f t="shared" si="5"/>
        <v>322.75633550905911</v>
      </c>
      <c r="AN19" s="62">
        <f ca="1">AVERAGE(OFFSET($AM$3,0,0,'Données projet'!$E$10+1,1))-AVERAGE(OFFSET($H$3,0,0,'Données projet'!$E$10+1,1))</f>
        <v>475.47920969424894</v>
      </c>
      <c r="AO19" s="62">
        <f t="shared" si="36"/>
        <v>271.73544012419364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17.995007178485412</v>
      </c>
      <c r="BF19" s="14">
        <f t="shared" si="37"/>
        <v>5.9238546434872337</v>
      </c>
      <c r="BG19" s="22">
        <f t="shared" si="7"/>
        <v>41.658684339935689</v>
      </c>
      <c r="BH19" s="62">
        <f t="shared" si="8"/>
        <v>317.88090656215792</v>
      </c>
      <c r="BI19" s="62">
        <f ca="1">AVERAGE(OFFSET($BH$3,0,0,'Données projet'!$E$11+1,1))-AVERAGE(OFFSET($H$3,0,0,'Données projet'!$E$11+1,1))</f>
        <v>428.8489304403459</v>
      </c>
      <c r="BJ19" s="62">
        <f t="shared" si="38"/>
        <v>247.01165577562966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4.4000000000000004</v>
      </c>
      <c r="BY19" s="13">
        <f>IF('Données projet'!$A$114&gt;35,BY18+BX19-CG18,IF(A19&lt;'Données projet'!$A$114,$BV$205^A19,IF(A19='Données projet'!$A$114,'Données projet'!$B$114,BY18+BX19-CG18)))</f>
        <v>36.4</v>
      </c>
      <c r="BZ19" s="14">
        <f>BY19*VLOOKUP('Données projet'!$B$12,Paramètres!$A$1:$I$89,3,0)*VLOOKUP('Données projet'!$B$12,Paramètres!$A$1:$I$89,5,0)</f>
        <v>29.527680000000004</v>
      </c>
      <c r="CA19" s="14">
        <f t="shared" si="39"/>
        <v>9.1758582733085685</v>
      </c>
      <c r="CB19" s="22">
        <f t="shared" si="10"/>
        <v>67.408662492679099</v>
      </c>
      <c r="CC19" s="62">
        <f t="shared" si="11"/>
        <v>343.6308847149013</v>
      </c>
      <c r="CD19" s="62">
        <f ca="1">AVERAGE(OFFSET($CC$3,0,0,'Données projet'!$E$12+1,1))-AVERAGE(OFFSET($H$3,0,0,'Données projet'!$E$12+1,1))</f>
        <v>236.22643401787644</v>
      </c>
      <c r="CE19" s="62">
        <f t="shared" si="40"/>
        <v>188.80444043778022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3.4425641025641025</v>
      </c>
      <c r="CT19" s="13">
        <f>IF('Données projet'!$A$140&gt;35,CT18+CS19-DB18,IF(A19&lt;'Données projet'!$A$140,$CQ$205^A19,IF(A19='Données projet'!$A$140,'Données projet'!$B$140,CT18+CS19-DB18)))</f>
        <v>11.861376416102864</v>
      </c>
      <c r="CU19" s="18">
        <f>CT19*VLOOKUP('Données projet'!$B$13,Paramètres!$A$1:$I$89,3,0)*VLOOKUP('Données projet'!$B$13,Paramètres!$A$1:$I$89,5,0)</f>
        <v>5.5511241627361398</v>
      </c>
      <c r="CV19" s="14">
        <f t="shared" si="41"/>
        <v>2.0954971024924585</v>
      </c>
      <c r="CW19" s="22">
        <f t="shared" si="13"/>
        <v>13.31786537027314</v>
      </c>
      <c r="CX19" s="62">
        <f t="shared" si="14"/>
        <v>289.54008759249535</v>
      </c>
      <c r="CY19" s="62">
        <f ca="1">AVERAGE(OFFSET($CX$3,0,0,'Données projet'!$E$13+1,1))-AVERAGE(OFFSET($H$3,0,0,'Données projet'!$E$13+1,1))</f>
        <v>246.73711856758143</v>
      </c>
      <c r="CZ19" s="62">
        <f t="shared" si="42"/>
        <v>145.54897745089966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5.7692307692307683</v>
      </c>
      <c r="DO19" s="13">
        <f>IF('Données projet'!$A$166&gt;35,DO18+DN19-DW18,IF(A19&lt;'Données projet'!$A$166,$DL$205^A19,IF(A19='Données projet'!$A$166,'Données projet'!$B$166,DO18+DN19-DW18)))</f>
        <v>35.897435897435898</v>
      </c>
      <c r="DP19" s="18">
        <f>DO19*VLOOKUP('Données projet'!$B$14,Paramètres!$A$1:$I$89,3,0)*VLOOKUP('Données projet'!$B$14,Paramètres!$A$1:$I$89,5,0)</f>
        <v>37.520000000000003</v>
      </c>
      <c r="DQ19" s="14">
        <f t="shared" si="43"/>
        <v>11.338894152047692</v>
      </c>
      <c r="DR19" s="22">
        <f t="shared" si="16"/>
        <v>85.095907314816401</v>
      </c>
      <c r="DS19" s="62">
        <f t="shared" si="17"/>
        <v>361.31812953703866</v>
      </c>
      <c r="DT19" s="62">
        <f ca="1">AVERAGE(OFFSET($DS$3,0,0,'Données projet'!$E$14+1,1))-AVERAGE(OFFSET($H$3,0,0,'Données projet'!$E$14+1,1))</f>
        <v>493.70175665335978</v>
      </c>
      <c r="DU19" s="62">
        <f t="shared" si="44"/>
        <v>325.12357781685949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0.9</v>
      </c>
      <c r="EJ19" s="13">
        <f>IF('Données projet'!$A$192&gt;35,EJ18+EI19-ER18,IF(A19&lt;'Données projet'!$A$192,$EG$205^A19,IF(A19='Données projet'!$A$192,'Données projet'!$B$192,EJ18+EI19-ER18)))</f>
        <v>10.097596309015799</v>
      </c>
      <c r="EK19" s="18">
        <f>EJ19*VLOOKUP('Données projet'!$B$15,Paramètres!$A$1:$I$89,3,0)*VLOOKUP('Données projet'!$B$15,Paramètres!$A$1:$I$89,5,0)</f>
        <v>8.8212601355562033</v>
      </c>
      <c r="EL19" s="14">
        <f t="shared" si="45"/>
        <v>3.1551711996443523</v>
      </c>
      <c r="EM19" s="22">
        <f t="shared" si="19"/>
        <v>20.858951242140964</v>
      </c>
      <c r="EN19" s="62">
        <f t="shared" si="20"/>
        <v>297.08117346436319</v>
      </c>
      <c r="EO19" s="62">
        <f ca="1">AVERAGE(OFFSET($EN$3,0,0,'Données projet'!$E$15+1,1))-AVERAGE(OFFSET($H$3,0,0,'Données projet'!$E$15+1,1))</f>
        <v>202.86354781280403</v>
      </c>
      <c r="EP19" s="62">
        <f t="shared" si="46"/>
        <v>217.25323885665131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5.8974358974358978</v>
      </c>
      <c r="FE19" s="13">
        <f>IF('Données projet'!$A$218&gt;35,FE18+FD19-FM18,IF(A19&lt;'Données projet'!$A$218,$FB$205^A19,IF(A19='Données projet'!$A$218,'Données projet'!$B$218,FE18+FD19-FM18)))</f>
        <v>39.871794871794869</v>
      </c>
      <c r="FF19" s="18">
        <f>FE19*VLOOKUP('Données projet'!$B$16,Paramètres!$A$1:$I$89,3,0)*VLOOKUP('Données projet'!$B$16,Paramètres!$A$1:$I$89,5,0)</f>
        <v>37.941999999999993</v>
      </c>
      <c r="FG19" s="14">
        <f t="shared" si="47"/>
        <v>11.45150826835841</v>
      </c>
      <c r="FH19" s="22">
        <f t="shared" si="22"/>
        <v>86.027026900724209</v>
      </c>
      <c r="FI19" s="62">
        <f t="shared" si="23"/>
        <v>362.24924912294642</v>
      </c>
      <c r="FJ19" s="62">
        <f ca="1">AVERAGE(OFFSET($FI$3,0,0,'Données projet'!$E$16+1,1))-AVERAGE(OFFSET($H$3,0,0,'Données projet'!$E$16+1,1))</f>
        <v>353.61481736740694</v>
      </c>
      <c r="FK19" s="62">
        <f t="shared" si="48"/>
        <v>244.7141066773861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1.05</v>
      </c>
      <c r="FZ19" s="13">
        <f>IF('Données projet'!$A$244&gt;35,FZ18+FY19-GH18,IF(A19&lt;'Données projet'!$A$244,$FW$205^A19,IF(A19='Données projet'!$A$244,'Données projet'!$B$244,FZ18+FY19-GH18)))</f>
        <v>11.42287530066646</v>
      </c>
      <c r="GA19" s="18">
        <f>FZ19*VLOOKUP('Données projet'!$B$17,Paramètres!$A$1:$I$89,3,0)*VLOOKUP('Données projet'!$B$17,Paramètres!$A$1:$I$89,5,0)</f>
        <v>12.295582973637377</v>
      </c>
      <c r="GB19" s="14">
        <f t="shared" si="49"/>
        <v>4.2311107344604242</v>
      </c>
      <c r="GC19" s="22">
        <f t="shared" si="25"/>
        <v>28.783991541603669</v>
      </c>
      <c r="GD19" s="62">
        <f t="shared" si="26"/>
        <v>305.00621376382588</v>
      </c>
      <c r="GE19" s="62">
        <f ca="1">AVERAGE(OFFSET($GD$3,0,0,'Données projet'!$E$17+1,1))-AVERAGE(OFFSET($H$3,0,0,'Données projet'!$E$17+1,1))</f>
        <v>280.20599015000306</v>
      </c>
      <c r="GF19" s="62">
        <f t="shared" si="50"/>
        <v>166.97658184507787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7.4358974358974352</v>
      </c>
      <c r="GU19" s="13">
        <f>IF('Données projet'!$A$270&gt;35,GU18+GT19-HC18,IF(A19&lt;'Données projet'!$A$270,$GR$205^A19,IF(A19='Données projet'!$A$270,'Données projet'!$B$270,GU18+GT19-HC18)))</f>
        <v>49.102564102564102</v>
      </c>
      <c r="GV19" s="18">
        <f>GU19*VLOOKUP('Données projet'!$B$18,Paramètres!$A$1:$I$89,3,0)*VLOOKUP('Données projet'!$B$18,Paramètres!$A$1:$I$89,5,0)</f>
        <v>32.938000000000002</v>
      </c>
      <c r="GW19" s="14">
        <f t="shared" si="51"/>
        <v>10.106233613312263</v>
      </c>
      <c r="GX19" s="22">
        <f t="shared" si="28"/>
        <v>74.968706876518851</v>
      </c>
      <c r="GY19" s="62">
        <f t="shared" si="29"/>
        <v>351.19092909874109</v>
      </c>
      <c r="GZ19" s="62">
        <f ca="1">AVERAGE(OFFSET($GY$3,0,0,'Données projet'!$E$18+1,1))-AVERAGE(OFFSET($H$3,0,0,'Données projet'!$E$18+1,1))</f>
        <v>291.18686311753402</v>
      </c>
      <c r="HA19" s="62">
        <f t="shared" si="52"/>
        <v>215.44422413249839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9">
        <f t="shared" si="1"/>
        <v>256.66666666666669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126.33076923076922</v>
      </c>
      <c r="L20" s="13">
        <f>VLOOKUP(A20,'Données projet'!$A$35:$I$55,9,0)</f>
        <v>7.4312217194570129</v>
      </c>
      <c r="M20" s="13">
        <f t="array" ref="M20">INDEX(L:L,MIN(IF(ISNUMBER(L20:L216),ROW(L20:L216),"")))</f>
        <v>7.4312217194570129</v>
      </c>
      <c r="N20" s="14">
        <f>IF('Données projet'!$A$36&gt;35,N19+M20-V19,IF(A20&lt;'Données projet'!$A$36,$K$205^A20,IF(A20='Données projet'!$A$36,'Données projet'!$B$36,N19+M20-V19)))</f>
        <v>126.33076923076922</v>
      </c>
      <c r="O20" s="14">
        <f>N20*VLOOKUP('Données projet'!$B$9,Paramètres!$A$1:$I$89,3,0)*VLOOKUP('Données projet'!$B$9,Paramètres!$A$1:$I$89,5,0)</f>
        <v>75.5458</v>
      </c>
      <c r="P20" s="14">
        <f t="shared" si="33"/>
        <v>21.044504648353485</v>
      </c>
      <c r="Q20" s="22">
        <f t="shared" si="2"/>
        <v>168.22811392921565</v>
      </c>
      <c r="R20" s="62">
        <f t="shared" si="0"/>
        <v>445.67255837366008</v>
      </c>
      <c r="S20" s="62">
        <f ca="1">AVERAGE(OFFSET($R$3,0,0,'Données projet'!$E$9+1,1))-AVERAGE(OFFSET($H$3,0,0,'Données projet'!$E$9+1,1))</f>
        <v>260.02504691866199</v>
      </c>
      <c r="T20" s="62">
        <f t="shared" si="34"/>
        <v>270.11268336406368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42.084615384615375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0.22500000000000001</v>
      </c>
      <c r="Y20" s="17">
        <f>IF(ISNA(VLOOKUP(A20,'Données projet'!$A$35:$I$55,7,0)),0%,VLOOKUP(A20,'Données projet'!$A$35:$I$55,7,0))</f>
        <v>0.5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7.4820750970079972</v>
      </c>
      <c r="AB20" s="23">
        <f>EXP(-LN(2)/2)*AB19+(1-EXP(-LN(2)/2))/(LN(2)/2)*V20*Y20*VLOOKUP('Données projet'!$B$9,Paramètres!$A$1:$I$89,3,0)*0.475*44/12</f>
        <v>14.247218669464777</v>
      </c>
      <c r="AC20" s="24">
        <f t="shared" si="3"/>
        <v>21.729293766472775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2">
        <f t="shared" si="5"/>
        <v>333.24472198839982</v>
      </c>
      <c r="AN20" s="62">
        <f ca="1">AVERAGE(OFFSET($AM$3,0,0,'Données projet'!$E$10+1,1))-AVERAGE(OFFSET($H$3,0,0,'Données projet'!$E$10+1,1))</f>
        <v>475.47920969424894</v>
      </c>
      <c r="AO20" s="62">
        <f t="shared" si="36"/>
        <v>271.73544012419364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21.692743883101215</v>
      </c>
      <c r="BF20" s="14">
        <f t="shared" si="37"/>
        <v>6.98746341685115</v>
      </c>
      <c r="BG20" s="22">
        <f t="shared" si="7"/>
        <v>49.951361047417038</v>
      </c>
      <c r="BH20" s="62">
        <f t="shared" si="8"/>
        <v>327.39580549186149</v>
      </c>
      <c r="BI20" s="62">
        <f ca="1">AVERAGE(OFFSET($BH$3,0,0,'Données projet'!$E$11+1,1))-AVERAGE(OFFSET($H$3,0,0,'Données projet'!$E$11+1,1))</f>
        <v>428.8489304403459</v>
      </c>
      <c r="BJ20" s="62">
        <f t="shared" si="38"/>
        <v>247.01165577562966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4.4000000000000004</v>
      </c>
      <c r="BY20" s="13">
        <f>IF('Données projet'!$A$114&gt;35,BY19+BX20-CG19,IF(A20&lt;'Données projet'!$A$114,$BV$205^A20,IF(A20='Données projet'!$A$114,'Données projet'!$B$114,BY19+BX20-CG19)))</f>
        <v>40.799999999999997</v>
      </c>
      <c r="BZ20" s="14">
        <f>BY20*VLOOKUP('Données projet'!$B$12,Paramètres!$A$1:$I$89,3,0)*VLOOKUP('Données projet'!$B$12,Paramètres!$A$1:$I$89,5,0)</f>
        <v>33.096959999999996</v>
      </c>
      <c r="CA20" s="14">
        <f t="shared" si="39"/>
        <v>10.149317402083243</v>
      </c>
      <c r="CB20" s="22">
        <f t="shared" si="10"/>
        <v>75.320599808628302</v>
      </c>
      <c r="CC20" s="62">
        <f t="shared" si="11"/>
        <v>352.76504425307274</v>
      </c>
      <c r="CD20" s="62">
        <f ca="1">AVERAGE(OFFSET($CC$3,0,0,'Données projet'!$E$12+1,1))-AVERAGE(OFFSET($H$3,0,0,'Données projet'!$E$12+1,1))</f>
        <v>236.22643401787644</v>
      </c>
      <c r="CE20" s="62">
        <f t="shared" si="40"/>
        <v>188.80444043778022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3.4425641025641025</v>
      </c>
      <c r="CT20" s="13">
        <f>IF('Données projet'!$A$140&gt;35,CT19+CS20-DB19,IF(A20&lt;'Données projet'!$A$140,$CQ$205^A20,IF(A20='Données projet'!$A$140,'Données projet'!$B$140,CT19+CS20-DB19)))</f>
        <v>13.84422124990315</v>
      </c>
      <c r="CU20" s="18">
        <f>CT20*VLOOKUP('Données projet'!$B$13,Paramètres!$A$1:$I$89,3,0)*VLOOKUP('Données projet'!$B$13,Paramètres!$A$1:$I$89,5,0)</f>
        <v>6.4790955449546734</v>
      </c>
      <c r="CV20" s="14">
        <f t="shared" si="41"/>
        <v>2.4021834741420709</v>
      </c>
      <c r="CW20" s="22">
        <f t="shared" si="13"/>
        <v>15.468227624926827</v>
      </c>
      <c r="CX20" s="62">
        <f t="shared" si="14"/>
        <v>292.9126720693713</v>
      </c>
      <c r="CY20" s="62">
        <f ca="1">AVERAGE(OFFSET($CX$3,0,0,'Données projet'!$E$13+1,1))-AVERAGE(OFFSET($H$3,0,0,'Données projet'!$E$13+1,1))</f>
        <v>246.73711856758143</v>
      </c>
      <c r="CZ20" s="62">
        <f t="shared" si="42"/>
        <v>145.54897745089966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5.7692307692307683</v>
      </c>
      <c r="DO20" s="13">
        <f>IF('Données projet'!$A$166&gt;35,DO19+DN20-DW19,IF(A20&lt;'Données projet'!$A$166,$DL$205^A20,IF(A20='Données projet'!$A$166,'Données projet'!$B$166,DO19+DN20-DW19)))</f>
        <v>41.666666666666664</v>
      </c>
      <c r="DP20" s="18">
        <f>DO20*VLOOKUP('Données projet'!$B$14,Paramètres!$A$1:$I$89,3,0)*VLOOKUP('Données projet'!$B$14,Paramètres!$A$1:$I$89,5,0)</f>
        <v>43.550000000000004</v>
      </c>
      <c r="DQ20" s="14">
        <f t="shared" si="43"/>
        <v>12.934868040345785</v>
      </c>
      <c r="DR20" s="22">
        <f t="shared" si="16"/>
        <v>98.377811836935564</v>
      </c>
      <c r="DS20" s="62">
        <f t="shared" si="17"/>
        <v>375.82225628138002</v>
      </c>
      <c r="DT20" s="62">
        <f ca="1">AVERAGE(OFFSET($DS$3,0,0,'Données projet'!$E$14+1,1))-AVERAGE(OFFSET($H$3,0,0,'Données projet'!$E$14+1,1))</f>
        <v>493.70175665335978</v>
      </c>
      <c r="DU20" s="62">
        <f t="shared" si="44"/>
        <v>325.12357781685949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0.9</v>
      </c>
      <c r="EJ20" s="13">
        <f>IF('Données projet'!$A$192&gt;35,EJ19+EI20-ER19,IF(A20&lt;'Données projet'!$A$192,$EG$205^A20,IF(A20='Données projet'!$A$192,'Données projet'!$B$192,EJ19+EI20-ER19)))</f>
        <v>11.667602620429678</v>
      </c>
      <c r="EK20" s="18">
        <f>EJ20*VLOOKUP('Données projet'!$B$15,Paramètres!$A$1:$I$89,3,0)*VLOOKUP('Données projet'!$B$15,Paramètres!$A$1:$I$89,5,0)</f>
        <v>10.192817649207369</v>
      </c>
      <c r="EL20" s="14">
        <f t="shared" si="45"/>
        <v>3.5849315547400531</v>
      </c>
      <c r="EM20" s="22">
        <f t="shared" si="19"/>
        <v>23.996246530208428</v>
      </c>
      <c r="EN20" s="62">
        <f t="shared" si="20"/>
        <v>301.44069097465291</v>
      </c>
      <c r="EO20" s="62">
        <f ca="1">AVERAGE(OFFSET($EN$3,0,0,'Données projet'!$E$15+1,1))-AVERAGE(OFFSET($H$3,0,0,'Données projet'!$E$15+1,1))</f>
        <v>202.86354781280403</v>
      </c>
      <c r="EP20" s="62">
        <f t="shared" si="46"/>
        <v>217.25323885665131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5.8974358974358978</v>
      </c>
      <c r="FE20" s="13">
        <f>IF('Données projet'!$A$218&gt;35,FE19+FD20-FM19,IF(A20&lt;'Données projet'!$A$218,$FB$205^A20,IF(A20='Données projet'!$A$218,'Données projet'!$B$218,FE19+FD20-FM19)))</f>
        <v>45.769230769230766</v>
      </c>
      <c r="FF20" s="18">
        <f>FE20*VLOOKUP('Données projet'!$B$16,Paramètres!$A$1:$I$89,3,0)*VLOOKUP('Données projet'!$B$16,Paramètres!$A$1:$I$89,5,0)</f>
        <v>43.554000000000002</v>
      </c>
      <c r="FG20" s="14">
        <f t="shared" si="47"/>
        <v>12.935917793577156</v>
      </c>
      <c r="FH20" s="22">
        <f t="shared" si="22"/>
        <v>98.386606823813551</v>
      </c>
      <c r="FI20" s="62">
        <f t="shared" si="23"/>
        <v>375.83105126825802</v>
      </c>
      <c r="FJ20" s="62">
        <f ca="1">AVERAGE(OFFSET($FI$3,0,0,'Données projet'!$E$16+1,1))-AVERAGE(OFFSET($H$3,0,0,'Données projet'!$E$16+1,1))</f>
        <v>353.61481736740694</v>
      </c>
      <c r="FK20" s="62">
        <f t="shared" si="48"/>
        <v>244.7141066773861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1.05</v>
      </c>
      <c r="FZ20" s="13">
        <f>IF('Données projet'!$A$244&gt;35,FZ19+FY20-GH19,IF(A20&lt;'Données projet'!$A$244,$FW$205^A20,IF(A20='Données projet'!$A$244,'Données projet'!$B$244,FZ19+FY20-GH19)))</f>
        <v>13.301064532535134</v>
      </c>
      <c r="GA20" s="18">
        <f>FZ20*VLOOKUP('Données projet'!$B$17,Paramètres!$A$1:$I$89,3,0)*VLOOKUP('Données projet'!$B$17,Paramètres!$A$1:$I$89,5,0)</f>
        <v>14.317265862820818</v>
      </c>
      <c r="GB20" s="14">
        <f t="shared" si="49"/>
        <v>4.8402750366406995</v>
      </c>
      <c r="GC20" s="22">
        <f t="shared" si="25"/>
        <v>33.366050399895471</v>
      </c>
      <c r="GD20" s="62">
        <f t="shared" si="26"/>
        <v>310.81049484433993</v>
      </c>
      <c r="GE20" s="62">
        <f ca="1">AVERAGE(OFFSET($GD$3,0,0,'Données projet'!$E$17+1,1))-AVERAGE(OFFSET($H$3,0,0,'Données projet'!$E$17+1,1))</f>
        <v>280.20599015000306</v>
      </c>
      <c r="GF20" s="62">
        <f t="shared" si="50"/>
        <v>166.97658184507787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7.4358974358974352</v>
      </c>
      <c r="GU20" s="13">
        <f>IF('Données projet'!$A$270&gt;35,GU19+GT20-HC19,IF(A20&lt;'Données projet'!$A$270,$GR$205^A20,IF(A20='Données projet'!$A$270,'Données projet'!$B$270,GU19+GT20-HC19)))</f>
        <v>56.53846153846154</v>
      </c>
      <c r="GV20" s="18">
        <f>GU20*VLOOKUP('Données projet'!$B$18,Paramètres!$A$1:$I$89,3,0)*VLOOKUP('Données projet'!$B$18,Paramètres!$A$1:$I$89,5,0)</f>
        <v>37.926000000000002</v>
      </c>
      <c r="GW20" s="14">
        <f t="shared" si="51"/>
        <v>11.447241207652391</v>
      </c>
      <c r="GX20" s="22">
        <f t="shared" si="28"/>
        <v>85.991728436661262</v>
      </c>
      <c r="GY20" s="62">
        <f t="shared" si="29"/>
        <v>363.43617288110573</v>
      </c>
      <c r="GZ20" s="62">
        <f ca="1">AVERAGE(OFFSET($GY$3,0,0,'Données projet'!$E$18+1,1))-AVERAGE(OFFSET($H$3,0,0,'Données projet'!$E$18+1,1))</f>
        <v>291.18686311753402</v>
      </c>
      <c r="HA20" s="62">
        <f t="shared" si="52"/>
        <v>215.44422413249839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9">
        <f t="shared" si="1"/>
        <v>256.66666666666669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14.926923076923075</v>
      </c>
      <c r="N21" s="14">
        <f>IF('Données projet'!$A$36&gt;35,N20+M21-V20,IF(A21&lt;'Données projet'!$A$36,$K$205^A21,IF(A21='Données projet'!$A$36,'Données projet'!$B$36,N20+M21-V20)))</f>
        <v>99.173076923076934</v>
      </c>
      <c r="O21" s="14">
        <f>N21*VLOOKUP('Données projet'!$B$9,Paramètres!$A$1:$I$89,3,0)*VLOOKUP('Données projet'!$B$9,Paramètres!$A$1:$I$89,5,0)</f>
        <v>59.305500000000016</v>
      </c>
      <c r="P21" s="14">
        <f t="shared" si="33"/>
        <v>16.992558820122873</v>
      </c>
      <c r="Q21" s="22">
        <f t="shared" si="2"/>
        <v>132.88578577838067</v>
      </c>
      <c r="R21" s="62">
        <f t="shared" si="0"/>
        <v>411.55245244504738</v>
      </c>
      <c r="S21" s="62">
        <f ca="1">AVERAGE(OFFSET($R$3,0,0,'Données projet'!$E$9+1,1))-AVERAGE(OFFSET($H$3,0,0,'Données projet'!$E$9+1,1))</f>
        <v>260.02504691866199</v>
      </c>
      <c r="T21" s="62">
        <f t="shared" si="34"/>
        <v>270.11268336406368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7.2774773600150846</v>
      </c>
      <c r="AB21" s="23">
        <f>EXP(-LN(2)/2)*AB20+(1-EXP(-LN(2)/2))/(LN(2)/2)*V21*Y21*VLOOKUP('Données projet'!$B$9,Paramètres!$A$1:$I$89,3,0)*0.475*44/12</f>
        <v>10.074304934226125</v>
      </c>
      <c r="AC21" s="24">
        <f t="shared" si="3"/>
        <v>17.351782294241211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2">
        <f t="shared" si="5"/>
        <v>345.58404036091088</v>
      </c>
      <c r="AN21" s="62">
        <f ca="1">AVERAGE(OFFSET($AM$3,0,0,'Données projet'!$E$10+1,1))-AVERAGE(OFFSET($H$3,0,0,'Données projet'!$E$10+1,1))</f>
        <v>475.47920969424894</v>
      </c>
      <c r="AO21" s="62">
        <f t="shared" si="36"/>
        <v>271.73544012419364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26.150316724543362</v>
      </c>
      <c r="BF21" s="14">
        <f t="shared" si="37"/>
        <v>8.2420396752158016</v>
      </c>
      <c r="BG21" s="22">
        <f t="shared" si="7"/>
        <v>59.900020729580547</v>
      </c>
      <c r="BH21" s="62">
        <f t="shared" si="8"/>
        <v>338.56668739624723</v>
      </c>
      <c r="BI21" s="62">
        <f ca="1">AVERAGE(OFFSET($BH$3,0,0,'Données projet'!$E$11+1,1))-AVERAGE(OFFSET($H$3,0,0,'Données projet'!$E$11+1,1))</f>
        <v>428.8489304403459</v>
      </c>
      <c r="BJ21" s="62">
        <f t="shared" si="38"/>
        <v>247.01165577562966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4.4000000000000004</v>
      </c>
      <c r="BY21" s="13">
        <f>IF('Données projet'!$A$114&gt;35,BY20+BX21-CG20,IF(A21&lt;'Données projet'!$A$114,$BV$205^A21,IF(A21='Données projet'!$A$114,'Données projet'!$B$114,BY20+BX21-CG20)))</f>
        <v>45.199999999999996</v>
      </c>
      <c r="BZ21" s="14">
        <f>BY21*VLOOKUP('Données projet'!$B$12,Paramètres!$A$1:$I$89,3,0)*VLOOKUP('Données projet'!$B$12,Paramètres!$A$1:$I$89,5,0)</f>
        <v>36.666239999999995</v>
      </c>
      <c r="CA21" s="14">
        <f t="shared" si="39"/>
        <v>11.110608259650514</v>
      </c>
      <c r="CB21" s="22">
        <f t="shared" si="10"/>
        <v>83.211344052224632</v>
      </c>
      <c r="CC21" s="62">
        <f t="shared" si="11"/>
        <v>361.87801071889135</v>
      </c>
      <c r="CD21" s="62">
        <f ca="1">AVERAGE(OFFSET($CC$3,0,0,'Données projet'!$E$12+1,1))-AVERAGE(OFFSET($H$3,0,0,'Données projet'!$E$12+1,1))</f>
        <v>236.22643401787644</v>
      </c>
      <c r="CE21" s="62">
        <f t="shared" si="40"/>
        <v>188.80444043778022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3.4425641025641025</v>
      </c>
      <c r="CT21" s="13">
        <f>IF('Données projet'!$A$140&gt;35,CT20+CS21-DB20,IF(A21&lt;'Données projet'!$A$140,$CQ$205^A21,IF(A21='Données projet'!$A$140,'Données projet'!$B$140,CT20+CS21-DB20)))</f>
        <v>16.158534666859676</v>
      </c>
      <c r="CU21" s="18">
        <f>CT21*VLOOKUP('Données projet'!$B$13,Paramètres!$A$1:$I$89,3,0)*VLOOKUP('Données projet'!$B$13,Paramètres!$A$1:$I$89,5,0)</f>
        <v>7.5621942240903284</v>
      </c>
      <c r="CV21" s="14">
        <f t="shared" si="41"/>
        <v>2.7537549140858508</v>
      </c>
      <c r="CW21" s="22">
        <f t="shared" si="13"/>
        <v>17.96694474899018</v>
      </c>
      <c r="CX21" s="62">
        <f t="shared" si="14"/>
        <v>296.63361141565684</v>
      </c>
      <c r="CY21" s="62">
        <f ca="1">AVERAGE(OFFSET($CX$3,0,0,'Données projet'!$E$13+1,1))-AVERAGE(OFFSET($H$3,0,0,'Données projet'!$E$13+1,1))</f>
        <v>246.73711856758143</v>
      </c>
      <c r="CZ21" s="62">
        <f t="shared" si="42"/>
        <v>145.54897745089966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5.7692307692307683</v>
      </c>
      <c r="DO21" s="13">
        <f>IF('Données projet'!$A$166&gt;35,DO20+DN21-DW20,IF(A21&lt;'Données projet'!$A$166,$DL$205^A21,IF(A21='Données projet'!$A$166,'Données projet'!$B$166,DO20+DN21-DW20)))</f>
        <v>47.435897435897431</v>
      </c>
      <c r="DP21" s="18">
        <f>DO21*VLOOKUP('Données projet'!$B$14,Paramètres!$A$1:$I$89,3,0)*VLOOKUP('Données projet'!$B$14,Paramètres!$A$1:$I$89,5,0)</f>
        <v>49.58</v>
      </c>
      <c r="DQ21" s="14">
        <f t="shared" si="43"/>
        <v>14.505239638165149</v>
      </c>
      <c r="DR21" s="22">
        <f t="shared" si="16"/>
        <v>111.61512570313762</v>
      </c>
      <c r="DS21" s="62">
        <f t="shared" si="17"/>
        <v>390.28179236980429</v>
      </c>
      <c r="DT21" s="62">
        <f ca="1">AVERAGE(OFFSET($DS$3,0,0,'Données projet'!$E$14+1,1))-AVERAGE(OFFSET($H$3,0,0,'Données projet'!$E$14+1,1))</f>
        <v>493.70175665335978</v>
      </c>
      <c r="DU21" s="62">
        <f t="shared" si="44"/>
        <v>325.12357781685949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0.9</v>
      </c>
      <c r="EJ21" s="13">
        <f>IF('Données projet'!$A$192&gt;35,EJ20+EI21-ER20,IF(A21&lt;'Données projet'!$A$192,$EG$205^A21,IF(A21='Données projet'!$A$192,'Données projet'!$B$192,EJ20+EI21-ER20)))</f>
        <v>13.48171849440139</v>
      </c>
      <c r="EK21" s="18">
        <f>EJ21*VLOOKUP('Données projet'!$B$15,Paramètres!$A$1:$I$89,3,0)*VLOOKUP('Données projet'!$B$15,Paramètres!$A$1:$I$89,5,0)</f>
        <v>11.777629276709055</v>
      </c>
      <c r="EL21" s="14">
        <f t="shared" si="45"/>
        <v>4.0732288167499631</v>
      </c>
      <c r="EM21" s="22">
        <f t="shared" si="19"/>
        <v>27.606911179441123</v>
      </c>
      <c r="EN21" s="62">
        <f t="shared" si="20"/>
        <v>306.2735778461078</v>
      </c>
      <c r="EO21" s="62">
        <f ca="1">AVERAGE(OFFSET($EN$3,0,0,'Données projet'!$E$15+1,1))-AVERAGE(OFFSET($H$3,0,0,'Données projet'!$E$15+1,1))</f>
        <v>202.86354781280403</v>
      </c>
      <c r="EP21" s="62">
        <f t="shared" si="46"/>
        <v>217.25323885665131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5.8974358974358978</v>
      </c>
      <c r="FE21" s="13">
        <f>IF('Données projet'!$A$218&gt;35,FE20+FD21-FM20,IF(A21&lt;'Données projet'!$A$218,$FB$205^A21,IF(A21='Données projet'!$A$218,'Données projet'!$B$218,FE20+FD21-FM20)))</f>
        <v>51.666666666666664</v>
      </c>
      <c r="FF21" s="18">
        <f>FE21*VLOOKUP('Données projet'!$B$16,Paramètres!$A$1:$I$89,3,0)*VLOOKUP('Données projet'!$B$16,Paramètres!$A$1:$I$89,5,0)</f>
        <v>49.165999999999997</v>
      </c>
      <c r="FG21" s="14">
        <f t="shared" si="47"/>
        <v>14.398165127385489</v>
      </c>
      <c r="FH21" s="22">
        <f t="shared" si="22"/>
        <v>110.70758759686305</v>
      </c>
      <c r="FI21" s="62">
        <f t="shared" si="23"/>
        <v>389.37425426352974</v>
      </c>
      <c r="FJ21" s="62">
        <f ca="1">AVERAGE(OFFSET($FI$3,0,0,'Données projet'!$E$16+1,1))-AVERAGE(OFFSET($H$3,0,0,'Données projet'!$E$16+1,1))</f>
        <v>353.61481736740694</v>
      </c>
      <c r="FK21" s="62">
        <f t="shared" si="48"/>
        <v>244.7141066773861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1.05</v>
      </c>
      <c r="FZ21" s="13">
        <f>IF('Données projet'!$A$244&gt;35,FZ20+FY21-GH20,IF(A21&lt;'Données projet'!$A$244,$FW$205^A21,IF(A21='Données projet'!$A$244,'Données projet'!$B$244,FZ20+FY21-GH20)))</f>
        <v>15.48807222716875</v>
      </c>
      <c r="GA21" s="18">
        <f>FZ21*VLOOKUP('Données projet'!$B$17,Paramètres!$A$1:$I$89,3,0)*VLOOKUP('Données projet'!$B$17,Paramètres!$A$1:$I$89,5,0)</f>
        <v>16.671360945324444</v>
      </c>
      <c r="GB21" s="14">
        <f t="shared" si="49"/>
        <v>5.5371423488198674</v>
      </c>
      <c r="GC21" s="22">
        <f t="shared" si="25"/>
        <v>38.679809903968007</v>
      </c>
      <c r="GD21" s="62">
        <f t="shared" si="26"/>
        <v>317.34647657063471</v>
      </c>
      <c r="GE21" s="62">
        <f ca="1">AVERAGE(OFFSET($GD$3,0,0,'Données projet'!$E$17+1,1))-AVERAGE(OFFSET($H$3,0,0,'Données projet'!$E$17+1,1))</f>
        <v>280.20599015000306</v>
      </c>
      <c r="GF21" s="62">
        <f t="shared" si="50"/>
        <v>166.97658184507787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7.4358974358974352</v>
      </c>
      <c r="GU21" s="13">
        <f>IF('Données projet'!$A$270&gt;35,GU20+GT21-HC20,IF(A21&lt;'Données projet'!$A$270,$GR$205^A21,IF(A21='Données projet'!$A$270,'Données projet'!$B$270,GU20+GT21-HC20)))</f>
        <v>63.974358974358978</v>
      </c>
      <c r="GV21" s="18">
        <f>GU21*VLOOKUP('Données projet'!$B$18,Paramètres!$A$1:$I$89,3,0)*VLOOKUP('Données projet'!$B$18,Paramètres!$A$1:$I$89,5,0)</f>
        <v>42.914000000000001</v>
      </c>
      <c r="GW21" s="14">
        <f t="shared" si="51"/>
        <v>12.767813741258394</v>
      </c>
      <c r="GX21" s="22">
        <f t="shared" si="28"/>
        <v>96.979158932691703</v>
      </c>
      <c r="GY21" s="62">
        <f t="shared" si="29"/>
        <v>375.64582559935837</v>
      </c>
      <c r="GZ21" s="62">
        <f ca="1">AVERAGE(OFFSET($GY$3,0,0,'Données projet'!$E$18+1,1))-AVERAGE(OFFSET($H$3,0,0,'Données projet'!$E$18+1,1))</f>
        <v>291.18686311753402</v>
      </c>
      <c r="HA21" s="62">
        <f t="shared" si="52"/>
        <v>215.44422413249839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9">
        <f t="shared" si="1"/>
        <v>256.66666666666669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14.926923076923075</v>
      </c>
      <c r="N22" s="14">
        <f>IF('Données projet'!$A$36&gt;35,N21+M22-V21,IF(A22&lt;'Données projet'!$A$36,$K$205^A22,IF(A22='Données projet'!$A$36,'Données projet'!$B$36,N21+M22-V21)))</f>
        <v>114.10000000000001</v>
      </c>
      <c r="O22" s="14">
        <f>N22*VLOOKUP('Données projet'!$B$9,Paramètres!$A$1:$I$89,3,0)*VLOOKUP('Données projet'!$B$9,Paramètres!$A$1:$I$89,5,0)</f>
        <v>68.231800000000007</v>
      </c>
      <c r="P22" s="14">
        <f t="shared" si="33"/>
        <v>19.233699497264624</v>
      </c>
      <c r="Q22" s="22">
        <f t="shared" si="2"/>
        <v>152.3357449577359</v>
      </c>
      <c r="R22" s="62">
        <f t="shared" si="0"/>
        <v>432.22463384662478</v>
      </c>
      <c r="S22" s="62">
        <f ca="1">AVERAGE(OFFSET($R$3,0,0,'Données projet'!$E$9+1,1))-AVERAGE(OFFSET($H$3,0,0,'Données projet'!$E$9+1,1))</f>
        <v>260.02504691866199</v>
      </c>
      <c r="T22" s="62">
        <f t="shared" si="34"/>
        <v>270.11268336406368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7.0784743588995704</v>
      </c>
      <c r="AB22" s="23">
        <f>EXP(-LN(2)/2)*AB21+(1-EXP(-LN(2)/2))/(LN(2)/2)*V22*Y22*VLOOKUP('Données projet'!$B$9,Paramètres!$A$1:$I$89,3,0)*0.475*44/12</f>
        <v>7.1236093347323894</v>
      </c>
      <c r="AC22" s="24">
        <f t="shared" si="3"/>
        <v>14.202083693631959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2">
        <f t="shared" si="5"/>
        <v>360.14509112992164</v>
      </c>
      <c r="AN22" s="62">
        <f ca="1">AVERAGE(OFFSET($AM$3,0,0,'Données projet'!$E$10+1,1))-AVERAGE(OFFSET($H$3,0,0,'Données projet'!$E$10+1,1))</f>
        <v>475.47920969424894</v>
      </c>
      <c r="AO22" s="62">
        <f t="shared" si="36"/>
        <v>271.73544012419364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31.52386201022027</v>
      </c>
      <c r="BF22" s="14">
        <f t="shared" si="37"/>
        <v>9.7218710074397983</v>
      </c>
      <c r="BG22" s="22">
        <f t="shared" si="7"/>
        <v>71.836318339091292</v>
      </c>
      <c r="BH22" s="62">
        <f t="shared" si="8"/>
        <v>351.72520722798015</v>
      </c>
      <c r="BI22" s="62">
        <f ca="1">AVERAGE(OFFSET($BH$3,0,0,'Données projet'!$E$11+1,1))-AVERAGE(OFFSET($H$3,0,0,'Données projet'!$E$11+1,1))</f>
        <v>428.8489304403459</v>
      </c>
      <c r="BJ22" s="62">
        <f t="shared" si="38"/>
        <v>247.01165577562966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4.4000000000000004</v>
      </c>
      <c r="BY22" s="13">
        <f>IF('Données projet'!$A$114&gt;35,BY21+BX22-CG21,IF(A22&lt;'Données projet'!$A$114,$BV$205^A22,IF(A22='Données projet'!$A$114,'Données projet'!$B$114,BY21+BX22-CG21)))</f>
        <v>49.599999999999994</v>
      </c>
      <c r="BZ22" s="14">
        <f>BY22*VLOOKUP('Données projet'!$B$12,Paramètres!$A$1:$I$89,3,0)*VLOOKUP('Données projet'!$B$12,Paramètres!$A$1:$I$89,5,0)</f>
        <v>40.235520000000001</v>
      </c>
      <c r="CA22" s="14">
        <f t="shared" si="39"/>
        <v>12.061050163607481</v>
      </c>
      <c r="CB22" s="22">
        <f t="shared" si="10"/>
        <v>91.083193034949701</v>
      </c>
      <c r="CC22" s="62">
        <f t="shared" si="11"/>
        <v>370.97208192383857</v>
      </c>
      <c r="CD22" s="62">
        <f ca="1">AVERAGE(OFFSET($CC$3,0,0,'Données projet'!$E$12+1,1))-AVERAGE(OFFSET($H$3,0,0,'Données projet'!$E$12+1,1))</f>
        <v>236.22643401787644</v>
      </c>
      <c r="CE22" s="62">
        <f t="shared" si="40"/>
        <v>188.80444043778022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3.4425641025641025</v>
      </c>
      <c r="CT22" s="13">
        <f>IF('Données projet'!$A$140&gt;35,CT21+CS22-DB21,IF(A22&lt;'Données projet'!$A$140,$CQ$205^A22,IF(A22='Données projet'!$A$140,'Données projet'!$B$140,CT21+CS22-DB21)))</f>
        <v>18.859727670267663</v>
      </c>
      <c r="CU22" s="18">
        <f>CT22*VLOOKUP('Données projet'!$B$13,Paramètres!$A$1:$I$89,3,0)*VLOOKUP('Données projet'!$B$13,Paramètres!$A$1:$I$89,5,0)</f>
        <v>8.8263525496852662</v>
      </c>
      <c r="CV22" s="14">
        <f t="shared" si="41"/>
        <v>3.1567805742066648</v>
      </c>
      <c r="CW22" s="22">
        <f t="shared" si="13"/>
        <v>20.870623524111782</v>
      </c>
      <c r="CX22" s="62">
        <f t="shared" si="14"/>
        <v>300.75951241300066</v>
      </c>
      <c r="CY22" s="62">
        <f ca="1">AVERAGE(OFFSET($CX$3,0,0,'Données projet'!$E$13+1,1))-AVERAGE(OFFSET($H$3,0,0,'Données projet'!$E$13+1,1))</f>
        <v>246.73711856758143</v>
      </c>
      <c r="CZ22" s="62">
        <f t="shared" si="42"/>
        <v>145.54897745089966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5.7692307692307683</v>
      </c>
      <c r="DO22" s="13">
        <f>IF('Données projet'!$A$166&gt;35,DO21+DN22-DW21,IF(A22&lt;'Données projet'!$A$166,$DL$205^A22,IF(A22='Données projet'!$A$166,'Données projet'!$B$166,DO21+DN22-DW21)))</f>
        <v>53.205128205128197</v>
      </c>
      <c r="DP22" s="18">
        <f>DO22*VLOOKUP('Données projet'!$B$14,Paramètres!$A$1:$I$89,3,0)*VLOOKUP('Données projet'!$B$14,Paramètres!$A$1:$I$89,5,0)</f>
        <v>55.61</v>
      </c>
      <c r="DQ22" s="14">
        <f t="shared" si="43"/>
        <v>16.053478951715945</v>
      </c>
      <c r="DR22" s="22">
        <f t="shared" si="16"/>
        <v>124.81389250757191</v>
      </c>
      <c r="DS22" s="62">
        <f t="shared" si="17"/>
        <v>404.70278139646075</v>
      </c>
      <c r="DT22" s="62">
        <f ca="1">AVERAGE(OFFSET($DS$3,0,0,'Données projet'!$E$14+1,1))-AVERAGE(OFFSET($H$3,0,0,'Données projet'!$E$14+1,1))</f>
        <v>493.70175665335978</v>
      </c>
      <c r="DU22" s="62">
        <f t="shared" si="44"/>
        <v>325.12357781685949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0.9</v>
      </c>
      <c r="EJ22" s="13">
        <f>IF('Données projet'!$A$192&gt;35,EJ21+EI22-ER21,IF(A22&lt;'Données projet'!$A$192,$EG$205^A22,IF(A22='Données projet'!$A$192,'Données projet'!$B$192,EJ21+EI22-ER21)))</f>
        <v>15.577898860219406</v>
      </c>
      <c r="EK22" s="18">
        <f>EJ22*VLOOKUP('Données projet'!$B$15,Paramètres!$A$1:$I$89,3,0)*VLOOKUP('Données projet'!$B$15,Paramètres!$A$1:$I$89,5,0)</f>
        <v>13.608852444287676</v>
      </c>
      <c r="EL22" s="14">
        <f t="shared" si="45"/>
        <v>4.6280361954652021</v>
      </c>
      <c r="EM22" s="22">
        <f t="shared" si="19"/>
        <v>31.762581047569586</v>
      </c>
      <c r="EN22" s="62">
        <f t="shared" si="20"/>
        <v>311.65146993645845</v>
      </c>
      <c r="EO22" s="62">
        <f ca="1">AVERAGE(OFFSET($EN$3,0,0,'Données projet'!$E$15+1,1))-AVERAGE(OFFSET($H$3,0,0,'Données projet'!$E$15+1,1))</f>
        <v>202.86354781280403</v>
      </c>
      <c r="EP22" s="62">
        <f t="shared" si="46"/>
        <v>217.25323885665131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5.8974358974358978</v>
      </c>
      <c r="FE22" s="13">
        <f>IF('Données projet'!$A$218&gt;35,FE21+FD22-FM21,IF(A22&lt;'Données projet'!$A$218,$FB$205^A22,IF(A22='Données projet'!$A$218,'Données projet'!$B$218,FE21+FD22-FM21)))</f>
        <v>57.564102564102562</v>
      </c>
      <c r="FF22" s="18">
        <f>FE22*VLOOKUP('Données projet'!$B$16,Paramètres!$A$1:$I$89,3,0)*VLOOKUP('Données projet'!$B$16,Paramètres!$A$1:$I$89,5,0)</f>
        <v>54.777999999999992</v>
      </c>
      <c r="FG22" s="14">
        <f t="shared" si="47"/>
        <v>15.841068726644904</v>
      </c>
      <c r="FH22" s="22">
        <f t="shared" si="22"/>
        <v>122.99487803223985</v>
      </c>
      <c r="FI22" s="62">
        <f t="shared" si="23"/>
        <v>402.88376692112871</v>
      </c>
      <c r="FJ22" s="62">
        <f ca="1">AVERAGE(OFFSET($FI$3,0,0,'Données projet'!$E$16+1,1))-AVERAGE(OFFSET($H$3,0,0,'Données projet'!$E$16+1,1))</f>
        <v>353.61481736740694</v>
      </c>
      <c r="FK22" s="62">
        <f t="shared" si="48"/>
        <v>244.7141066773861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1.05</v>
      </c>
      <c r="FZ22" s="13">
        <f>IF('Données projet'!$A$244&gt;35,FZ21+FY22-GH21,IF(A22&lt;'Données projet'!$A$244,$FW$205^A22,IF(A22='Données projet'!$A$244,'Données projet'!$B$244,FZ21+FY22-GH21)))</f>
        <v>18.034675399644545</v>
      </c>
      <c r="GA22" s="18">
        <f>FZ22*VLOOKUP('Données projet'!$B$17,Paramètres!$A$1:$I$89,3,0)*VLOOKUP('Données projet'!$B$17,Paramètres!$A$1:$I$89,5,0)</f>
        <v>19.412524600177388</v>
      </c>
      <c r="GB22" s="14">
        <f t="shared" si="49"/>
        <v>6.3343395073626514</v>
      </c>
      <c r="GC22" s="22">
        <f t="shared" si="25"/>
        <v>44.842454987298908</v>
      </c>
      <c r="GD22" s="62">
        <f t="shared" si="26"/>
        <v>324.73134387618779</v>
      </c>
      <c r="GE22" s="62">
        <f ca="1">AVERAGE(OFFSET($GD$3,0,0,'Données projet'!$E$17+1,1))-AVERAGE(OFFSET($H$3,0,0,'Données projet'!$E$17+1,1))</f>
        <v>280.20599015000306</v>
      </c>
      <c r="GF22" s="62">
        <f t="shared" si="50"/>
        <v>166.97658184507787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7.4358974358974352</v>
      </c>
      <c r="GU22" s="13">
        <f>IF('Données projet'!$A$270&gt;35,GU21+GT22-HC21,IF(A22&lt;'Données projet'!$A$270,$GR$205^A22,IF(A22='Données projet'!$A$270,'Données projet'!$B$270,GU21+GT22-HC21)))</f>
        <v>71.410256410256409</v>
      </c>
      <c r="GV22" s="18">
        <f>GU22*VLOOKUP('Données projet'!$B$18,Paramètres!$A$1:$I$89,3,0)*VLOOKUP('Données projet'!$B$18,Paramètres!$A$1:$I$89,5,0)</f>
        <v>47.902000000000001</v>
      </c>
      <c r="GW22" s="14">
        <f t="shared" si="51"/>
        <v>14.070597725071474</v>
      </c>
      <c r="GX22" s="22">
        <f t="shared" si="28"/>
        <v>107.93560770449947</v>
      </c>
      <c r="GY22" s="62">
        <f t="shared" si="29"/>
        <v>387.82449659338835</v>
      </c>
      <c r="GZ22" s="62">
        <f ca="1">AVERAGE(OFFSET($GY$3,0,0,'Données projet'!$E$18+1,1))-AVERAGE(OFFSET($H$3,0,0,'Données projet'!$E$18+1,1))</f>
        <v>291.18686311753402</v>
      </c>
      <c r="HA22" s="62">
        <f t="shared" si="52"/>
        <v>215.44422413249839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9">
        <f t="shared" si="1"/>
        <v>256.66666666666669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14.926923076923075</v>
      </c>
      <c r="N23" s="14">
        <f>IF('Données projet'!$A$36&gt;35,N22+M23-V22,IF(A23&lt;'Données projet'!$A$36,$K$205^A23,IF(A23='Données projet'!$A$36,'Données projet'!$B$36,N22+M23-V22)))</f>
        <v>129.02692307692308</v>
      </c>
      <c r="O23" s="14">
        <f>N23*VLOOKUP('Données projet'!$B$9,Paramètres!$A$1:$I$89,3,0)*VLOOKUP('Données projet'!$B$9,Paramètres!$A$1:$I$89,5,0)</f>
        <v>77.158100000000005</v>
      </c>
      <c r="P23" s="14">
        <f t="shared" si="33"/>
        <v>21.440868838738705</v>
      </c>
      <c r="Q23" s="22">
        <f t="shared" si="2"/>
        <v>171.72653739413659</v>
      </c>
      <c r="R23" s="62">
        <f t="shared" si="0"/>
        <v>452.83764850524773</v>
      </c>
      <c r="S23" s="62">
        <f ca="1">AVERAGE(OFFSET($R$3,0,0,'Données projet'!$E$9+1,1))-AVERAGE(OFFSET($H$3,0,0,'Données projet'!$E$9+1,1))</f>
        <v>260.02504691866199</v>
      </c>
      <c r="T23" s="62">
        <f t="shared" si="34"/>
        <v>270.11268336406368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6.8849131053146735</v>
      </c>
      <c r="AB23" s="23">
        <f>EXP(-LN(2)/2)*AB22+(1-EXP(-LN(2)/2))/(LN(2)/2)*V23*Y23*VLOOKUP('Données projet'!$B$9,Paramètres!$A$1:$I$89,3,0)*0.475*44/12</f>
        <v>5.0371524671130636</v>
      </c>
      <c r="AC23" s="24">
        <f t="shared" si="3"/>
        <v>11.922065572427737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2">
        <f t="shared" si="5"/>
        <v>377.37315625071483</v>
      </c>
      <c r="AN23" s="62">
        <f ca="1">AVERAGE(OFFSET($AM$3,0,0,'Données projet'!$E$10+1,1))-AVERAGE(OFFSET($H$3,0,0,'Données projet'!$E$10+1,1))</f>
        <v>475.47920969424894</v>
      </c>
      <c r="AO23" s="62">
        <f t="shared" si="36"/>
        <v>271.73544012419364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38.001600000000003</v>
      </c>
      <c r="BF23" s="14">
        <f t="shared" si="37"/>
        <v>11.467401227090512</v>
      </c>
      <c r="BG23" s="22">
        <f t="shared" si="7"/>
        <v>86.158510470515978</v>
      </c>
      <c r="BH23" s="62">
        <f t="shared" si="8"/>
        <v>367.26962158162712</v>
      </c>
      <c r="BI23" s="62">
        <f ca="1">AVERAGE(OFFSET($BH$3,0,0,'Données projet'!$E$11+1,1))-AVERAGE(OFFSET($H$3,0,0,'Données projet'!$E$11+1,1))</f>
        <v>428.8489304403459</v>
      </c>
      <c r="BJ23" s="62">
        <f t="shared" si="38"/>
        <v>247.01165577562966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54</v>
      </c>
      <c r="BW23" s="13">
        <f>VLOOKUP(A23,'Données projet'!$A$113:$I$133,9,0)</f>
        <v>4.4000000000000004</v>
      </c>
      <c r="BX23" s="13">
        <f t="array" ref="BX23">INDEX(BW:BW,MIN(IF(ISNUMBER(BW23:BW219),ROW(BW23:BW219),"")))</f>
        <v>4.4000000000000004</v>
      </c>
      <c r="BY23" s="13">
        <f>IF('Données projet'!$A$114&gt;35,BY22+BX23-CG22,IF(A23&lt;'Données projet'!$A$114,$BV$205^A23,IF(A23='Données projet'!$A$114,'Données projet'!$B$114,BY22+BX23-CG22)))</f>
        <v>53.999999999999993</v>
      </c>
      <c r="BZ23" s="14">
        <f>BY23*VLOOKUP('Données projet'!$B$12,Paramètres!$A$1:$I$89,3,0)*VLOOKUP('Données projet'!$B$12,Paramètres!$A$1:$I$89,5,0)</f>
        <v>43.8048</v>
      </c>
      <c r="CA23" s="14">
        <f t="shared" si="39"/>
        <v>13.001714958042189</v>
      </c>
      <c r="CB23" s="22">
        <f t="shared" si="10"/>
        <v>98.938013551923461</v>
      </c>
      <c r="CC23" s="62">
        <f t="shared" si="11"/>
        <v>380.0491246630346</v>
      </c>
      <c r="CD23" s="62">
        <f ca="1">AVERAGE(OFFSET($CC$3,0,0,'Données projet'!$E$12+1,1))-AVERAGE(OFFSET($H$3,0,0,'Données projet'!$E$12+1,1))</f>
        <v>236.22643401787644</v>
      </c>
      <c r="CE23" s="62">
        <f t="shared" si="40"/>
        <v>188.80444043778022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3.4425641025641025</v>
      </c>
      <c r="CT23" s="13">
        <f>IF('Données projet'!$A$140&gt;35,CT22+CS23-DB22,IF(A23&lt;'Données projet'!$A$140,$CQ$205^A23,IF(A23='Données projet'!$A$140,'Données projet'!$B$140,CT22+CS23-DB22)))</f>
        <v>22.012474220583886</v>
      </c>
      <c r="CU23" s="18">
        <f>CT23*VLOOKUP('Données projet'!$B$13,Paramètres!$A$1:$I$89,3,0)*VLOOKUP('Données projet'!$B$13,Paramètres!$A$1:$I$89,5,0)</f>
        <v>10.301837935233259</v>
      </c>
      <c r="CV23" s="14">
        <f t="shared" si="41"/>
        <v>3.6187910342764393</v>
      </c>
      <c r="CW23" s="22">
        <f t="shared" si="13"/>
        <v>24.245095455229389</v>
      </c>
      <c r="CX23" s="62">
        <f t="shared" si="14"/>
        <v>305.35620656634052</v>
      </c>
      <c r="CY23" s="62">
        <f ca="1">AVERAGE(OFFSET($CX$3,0,0,'Données projet'!$E$13+1,1))-AVERAGE(OFFSET($H$3,0,0,'Données projet'!$E$13+1,1))</f>
        <v>246.73711856758143</v>
      </c>
      <c r="CZ23" s="62">
        <f t="shared" si="42"/>
        <v>145.54897745089966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58.974358974358971</v>
      </c>
      <c r="DM23" s="13">
        <f>VLOOKUP(A23,'Données projet'!$A$165:$I$185,9,0)</f>
        <v>5.7692307692307683</v>
      </c>
      <c r="DN23" s="13">
        <f t="array" ref="DN23">INDEX(DM:DM,MIN(IF(ISNUMBER(DM23:DM219),ROW(DM23:DM219),"")))</f>
        <v>5.7692307692307683</v>
      </c>
      <c r="DO23" s="13">
        <f>IF('Données projet'!$A$166&gt;35,DO22+DN23-DW22,IF(A23&lt;'Données projet'!$A$166,$DL$205^A23,IF(A23='Données projet'!$A$166,'Données projet'!$B$166,DO22+DN23-DW22)))</f>
        <v>58.974358974358964</v>
      </c>
      <c r="DP23" s="18">
        <f>DO23*VLOOKUP('Données projet'!$B$14,Paramètres!$A$1:$I$89,3,0)*VLOOKUP('Données projet'!$B$14,Paramètres!$A$1:$I$89,5,0)</f>
        <v>61.64</v>
      </c>
      <c r="DQ23" s="14">
        <f t="shared" si="43"/>
        <v>17.582259466632539</v>
      </c>
      <c r="DR23" s="22">
        <f t="shared" si="16"/>
        <v>137.97876857105169</v>
      </c>
      <c r="DS23" s="62">
        <f t="shared" si="17"/>
        <v>419.08987968216286</v>
      </c>
      <c r="DT23" s="62">
        <f ca="1">AVERAGE(OFFSET($DS$3,0,0,'Données projet'!$E$14+1,1))-AVERAGE(OFFSET($H$3,0,0,'Données projet'!$E$14+1,1))</f>
        <v>493.70175665335978</v>
      </c>
      <c r="DU23" s="62">
        <f t="shared" si="44"/>
        <v>325.12357781685949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18</v>
      </c>
      <c r="EH23" s="13">
        <f>VLOOKUP(A23,'Données projet'!$A$191:$I$211,9,0)</f>
        <v>0.9</v>
      </c>
      <c r="EI23" s="13">
        <f t="array" ref="EI23">INDEX(EH:EH,MIN(IF(ISNUMBER(EH23:EH219),ROW(EH23:EH219),"")))</f>
        <v>0.9</v>
      </c>
      <c r="EJ23" s="13">
        <f>IF('Données projet'!$A$192&gt;35,EJ22+EI23-ER22,IF(A23&lt;'Données projet'!$A$192,$EG$205^A23,IF(A23='Données projet'!$A$192,'Données projet'!$B$192,EJ22+EI23-ER22)))</f>
        <v>18</v>
      </c>
      <c r="EK23" s="18">
        <f>EJ23*VLOOKUP('Données projet'!$B$15,Paramètres!$A$1:$I$89,3,0)*VLOOKUP('Données projet'!$B$15,Paramètres!$A$1:$I$89,5,0)</f>
        <v>15.724800000000004</v>
      </c>
      <c r="EL23" s="14">
        <f t="shared" si="45"/>
        <v>5.2584129176484753</v>
      </c>
      <c r="EM23" s="22">
        <f t="shared" si="19"/>
        <v>36.545762498237771</v>
      </c>
      <c r="EN23" s="62">
        <f t="shared" si="20"/>
        <v>317.65687360934891</v>
      </c>
      <c r="EO23" s="62">
        <f ca="1">AVERAGE(OFFSET($EN$3,0,0,'Données projet'!$E$15+1,1))-AVERAGE(OFFSET($H$3,0,0,'Données projet'!$E$15+1,1))</f>
        <v>202.86354781280403</v>
      </c>
      <c r="EP23" s="62">
        <f t="shared" si="46"/>
        <v>217.25323885665131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63.46153846153846</v>
      </c>
      <c r="FC23" s="13">
        <f>VLOOKUP(A23,'Données projet'!$A$217:$I$237,9,0)</f>
        <v>5.8974358974358978</v>
      </c>
      <c r="FD23" s="13">
        <f t="array" ref="FD23">INDEX(FC:FC,MIN(IF(ISNUMBER(FC23:FC219),ROW(FC23:FC219),"")))</f>
        <v>5.8974358974358978</v>
      </c>
      <c r="FE23" s="13">
        <f>IF('Données projet'!$A$218&gt;35,FE22+FD23-FM22,IF(A23&lt;'Données projet'!$A$218,$FB$205^A23,IF(A23='Données projet'!$A$218,'Données projet'!$B$218,FE22+FD23-FM22)))</f>
        <v>63.46153846153846</v>
      </c>
      <c r="FF23" s="18">
        <f>FE23*VLOOKUP('Données projet'!$B$16,Paramètres!$A$1:$I$89,3,0)*VLOOKUP('Données projet'!$B$16,Paramètres!$A$1:$I$89,5,0)</f>
        <v>60.39</v>
      </c>
      <c r="FG23" s="14">
        <f t="shared" si="47"/>
        <v>17.266836036680591</v>
      </c>
      <c r="FH23" s="22">
        <f t="shared" si="22"/>
        <v>135.25232276388536</v>
      </c>
      <c r="FI23" s="62">
        <f t="shared" si="23"/>
        <v>416.36343387499653</v>
      </c>
      <c r="FJ23" s="62">
        <f ca="1">AVERAGE(OFFSET($FI$3,0,0,'Données projet'!$E$16+1,1))-AVERAGE(OFFSET($H$3,0,0,'Données projet'!$E$16+1,1))</f>
        <v>353.61481736740694</v>
      </c>
      <c r="FK23" s="62">
        <f t="shared" si="48"/>
        <v>244.7141066773861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21</v>
      </c>
      <c r="FX23" s="13">
        <f>VLOOKUP(A23,'Données projet'!$A$243:$I$263,9,0)</f>
        <v>1.05</v>
      </c>
      <c r="FY23" s="13">
        <f t="array" ref="FY23">INDEX(FX:FX,MIN(IF(ISNUMBER(FX23:FX219),ROW(FX23:FX219),"")))</f>
        <v>1.05</v>
      </c>
      <c r="FZ23" s="13">
        <f>IF('Données projet'!$A$244&gt;35,FZ22+FY23-GH22,IF(A23&lt;'Données projet'!$A$244,$FW$205^A23,IF(A23='Données projet'!$A$244,'Données projet'!$B$244,FZ22+FY23-GH22)))</f>
        <v>21</v>
      </c>
      <c r="GA23" s="18">
        <f>FZ23*VLOOKUP('Données projet'!$B$17,Paramètres!$A$1:$I$89,3,0)*VLOOKUP('Données projet'!$B$17,Paramètres!$A$1:$I$89,5,0)</f>
        <v>22.604399999999998</v>
      </c>
      <c r="GB23" s="14">
        <f t="shared" si="49"/>
        <v>7.2463112679569939</v>
      </c>
      <c r="GC23" s="22">
        <f t="shared" si="25"/>
        <v>51.989988791691758</v>
      </c>
      <c r="GD23" s="62">
        <f t="shared" si="26"/>
        <v>333.1010999028029</v>
      </c>
      <c r="GE23" s="62">
        <f ca="1">AVERAGE(OFFSET($GD$3,0,0,'Données projet'!$E$17+1,1))-AVERAGE(OFFSET($H$3,0,0,'Données projet'!$E$17+1,1))</f>
        <v>280.20599015000306</v>
      </c>
      <c r="GF23" s="62">
        <f t="shared" si="50"/>
        <v>166.97658184507787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78.84615384615384</v>
      </c>
      <c r="GS23" s="13">
        <f>VLOOKUP(A23,'Données projet'!$A$269:$I$289,9,0)</f>
        <v>7.4358974358974352</v>
      </c>
      <c r="GT23" s="13">
        <f t="array" ref="GT23">INDEX(GS:GS,MIN(IF(ISNUMBER(GS23:GS219),ROW(GS23:GS219),"")))</f>
        <v>7.4358974358974352</v>
      </c>
      <c r="GU23" s="13">
        <f>IF('Données projet'!$A$270&gt;35,GU22+GT23-HC22,IF(A23&lt;'Données projet'!$A$270,$GR$205^A23,IF(A23='Données projet'!$A$270,'Données projet'!$B$270,GU22+GT23-HC22)))</f>
        <v>78.84615384615384</v>
      </c>
      <c r="GV23" s="18">
        <f>GU23*VLOOKUP('Données projet'!$B$18,Paramètres!$A$1:$I$89,3,0)*VLOOKUP('Données projet'!$B$18,Paramètres!$A$1:$I$89,5,0)</f>
        <v>52.89</v>
      </c>
      <c r="GW23" s="14">
        <f t="shared" si="51"/>
        <v>15.357656466675607</v>
      </c>
      <c r="GX23" s="22">
        <f t="shared" si="28"/>
        <v>118.86466834612668</v>
      </c>
      <c r="GY23" s="62">
        <f t="shared" si="29"/>
        <v>399.97577945723782</v>
      </c>
      <c r="GZ23" s="62">
        <f ca="1">AVERAGE(OFFSET($GY$3,0,0,'Données projet'!$E$18+1,1))-AVERAGE(OFFSET($H$3,0,0,'Données projet'!$E$18+1,1))</f>
        <v>291.18686311753402</v>
      </c>
      <c r="HA23" s="62">
        <f t="shared" si="52"/>
        <v>215.44422413249839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9">
        <f t="shared" si="1"/>
        <v>256.66666666666669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14.926923076923075</v>
      </c>
      <c r="N24" s="14">
        <f>IF('Données projet'!$A$36&gt;35,N23+M24-V23,IF(A24&lt;'Données projet'!$A$36,$K$205^A24,IF(A24='Données projet'!$A$36,'Données projet'!$B$36,N23+M24-V23)))</f>
        <v>143.95384615384614</v>
      </c>
      <c r="O24" s="14">
        <f>N24*VLOOKUP('Données projet'!$B$9,Paramètres!$A$1:$I$89,3,0)*VLOOKUP('Données projet'!$B$9,Paramètres!$A$1:$I$89,5,0)</f>
        <v>86.084400000000002</v>
      </c>
      <c r="P24" s="14">
        <f t="shared" si="33"/>
        <v>23.618445758177199</v>
      </c>
      <c r="Q24" s="22">
        <f t="shared" si="2"/>
        <v>191.06578969549196</v>
      </c>
      <c r="R24" s="62">
        <f t="shared" si="0"/>
        <v>473.39912302882527</v>
      </c>
      <c r="S24" s="62">
        <f ca="1">AVERAGE(OFFSET($R$3,0,0,'Données projet'!$E$9+1,1))-AVERAGE(OFFSET($H$3,0,0,'Données projet'!$E$9+1,1))</f>
        <v>260.02504691866199</v>
      </c>
      <c r="T24" s="62">
        <f t="shared" si="34"/>
        <v>270.11268336406368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6.696644794387999</v>
      </c>
      <c r="AB24" s="23">
        <f>EXP(-LN(2)/2)*AB23+(1-EXP(-LN(2)/2))/(LN(2)/2)*V24*Y24*VLOOKUP('Données projet'!$B$9,Paramètres!$A$1:$I$89,3,0)*0.475*44/12</f>
        <v>3.5618046673661952</v>
      </c>
      <c r="AC24" s="24">
        <f t="shared" si="3"/>
        <v>10.258449461754195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2">
        <f t="shared" si="5"/>
        <v>391.06825607785231</v>
      </c>
      <c r="AN24" s="62">
        <f ca="1">AVERAGE(OFFSET($AM$3,0,0,'Données projet'!$E$10+1,1))-AVERAGE(OFFSET($H$3,0,0,'Données projet'!$E$10+1,1))</f>
        <v>475.47920969424894</v>
      </c>
      <c r="AO24" s="62">
        <f t="shared" si="36"/>
        <v>271.73544012419364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43.068480000000001</v>
      </c>
      <c r="BF24" s="14">
        <f t="shared" si="37"/>
        <v>12.808416415102187</v>
      </c>
      <c r="BG24" s="22">
        <f t="shared" si="7"/>
        <v>97.318927922969635</v>
      </c>
      <c r="BH24" s="62">
        <f t="shared" si="8"/>
        <v>379.65226125630295</v>
      </c>
      <c r="BI24" s="62">
        <f ca="1">AVERAGE(OFFSET($BH$3,0,0,'Données projet'!$E$11+1,1))-AVERAGE(OFFSET($H$3,0,0,'Données projet'!$E$11+1,1))</f>
        <v>428.8489304403459</v>
      </c>
      <c r="BJ24" s="62">
        <f t="shared" si="38"/>
        <v>247.01165577562966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4.5999999999999996</v>
      </c>
      <c r="BY24" s="13">
        <f>IF('Données projet'!$A$114&gt;35,BY23+BX24-CG23,IF(A24&lt;'Données projet'!$A$114,$BV$205^A24,IF(A24='Données projet'!$A$114,'Données projet'!$B$114,BY23+BX24-CG23)))</f>
        <v>58.599999999999994</v>
      </c>
      <c r="BZ24" s="14">
        <f>BY24*VLOOKUP('Données projet'!$B$12,Paramètres!$A$1:$I$89,3,0)*VLOOKUP('Données projet'!$B$12,Paramètres!$A$1:$I$89,5,0)</f>
        <v>47.536319999999996</v>
      </c>
      <c r="CA24" s="14">
        <f t="shared" si="39"/>
        <v>13.975644596726255</v>
      </c>
      <c r="CB24" s="22">
        <f t="shared" si="10"/>
        <v>107.13333833929822</v>
      </c>
      <c r="CC24" s="62">
        <f t="shared" si="11"/>
        <v>389.46667167263155</v>
      </c>
      <c r="CD24" s="62">
        <f ca="1">AVERAGE(OFFSET($CC$3,0,0,'Données projet'!$E$12+1,1))-AVERAGE(OFFSET($H$3,0,0,'Données projet'!$E$12+1,1))</f>
        <v>236.22643401787644</v>
      </c>
      <c r="CE24" s="62">
        <f t="shared" si="40"/>
        <v>188.80444043778022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3.4425641025641025</v>
      </c>
      <c r="CT24" s="13">
        <f>IF('Données projet'!$A$140&gt;35,CT23+CS24-DB23,IF(A24&lt;'Données projet'!$A$140,$CQ$205^A24,IF(A24='Données projet'!$A$140,'Données projet'!$B$140,CT23+CS24-DB23)))</f>
        <v>25.692259707215236</v>
      </c>
      <c r="CU24" s="18">
        <f>CT24*VLOOKUP('Données projet'!$B$13,Paramètres!$A$1:$I$89,3,0)*VLOOKUP('Données projet'!$B$13,Paramètres!$A$1:$I$89,5,0)</f>
        <v>12.023977542976729</v>
      </c>
      <c r="CV24" s="14">
        <f t="shared" si="41"/>
        <v>4.1484190116858626</v>
      </c>
      <c r="CW24" s="22">
        <f t="shared" si="13"/>
        <v>28.166923999370677</v>
      </c>
      <c r="CX24" s="62">
        <f t="shared" si="14"/>
        <v>310.500257332704</v>
      </c>
      <c r="CY24" s="62">
        <f ca="1">AVERAGE(OFFSET($CX$3,0,0,'Données projet'!$E$13+1,1))-AVERAGE(OFFSET($H$3,0,0,'Données projet'!$E$13+1,1))</f>
        <v>246.73711856758143</v>
      </c>
      <c r="CZ24" s="62">
        <f t="shared" si="42"/>
        <v>145.54897745089966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6.5384615384615374</v>
      </c>
      <c r="DO24" s="13">
        <f>IF('Données projet'!$A$166&gt;35,DO23+DN24-DW23,IF(A24&lt;'Données projet'!$A$166,$DL$205^A24,IF(A24='Données projet'!$A$166,'Données projet'!$B$166,DO23+DN24-DW23)))</f>
        <v>65.512820512820497</v>
      </c>
      <c r="DP24" s="18">
        <f>DO24*VLOOKUP('Données projet'!$B$14,Paramètres!$A$1:$I$89,3,0)*VLOOKUP('Données projet'!$B$14,Paramètres!$A$1:$I$89,5,0)</f>
        <v>68.47399999999999</v>
      </c>
      <c r="DQ24" s="14">
        <f t="shared" si="43"/>
        <v>19.294013233443497</v>
      </c>
      <c r="DR24" s="22">
        <f t="shared" si="16"/>
        <v>152.8626230482474</v>
      </c>
      <c r="DS24" s="62">
        <f t="shared" si="17"/>
        <v>435.19595638158069</v>
      </c>
      <c r="DT24" s="62">
        <f ca="1">AVERAGE(OFFSET($DS$3,0,0,'Données projet'!$E$14+1,1))-AVERAGE(OFFSET($H$3,0,0,'Données projet'!$E$14+1,1))</f>
        <v>493.70175665335978</v>
      </c>
      <c r="DU24" s="62">
        <f t="shared" si="44"/>
        <v>325.12357781685949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7.6</v>
      </c>
      <c r="EJ24" s="13">
        <f>IF('Données projet'!$A$192&gt;35,EJ23+EI24-ER23,IF(A24&lt;'Données projet'!$A$192,$EG$205^A24,IF(A24='Données projet'!$A$192,'Données projet'!$B$192,EJ23+EI24-ER23)))</f>
        <v>25.6</v>
      </c>
      <c r="EK24" s="18">
        <f>EJ24*VLOOKUP('Données projet'!$B$15,Paramètres!$A$1:$I$89,3,0)*VLOOKUP('Données projet'!$B$15,Paramètres!$A$1:$I$89,5,0)</f>
        <v>22.364160000000005</v>
      </c>
      <c r="EL24" s="14">
        <f t="shared" si="45"/>
        <v>7.1782194944528523</v>
      </c>
      <c r="EM24" s="22">
        <f t="shared" si="19"/>
        <v>51.452977619505397</v>
      </c>
      <c r="EN24" s="62">
        <f t="shared" si="20"/>
        <v>333.78631095283873</v>
      </c>
      <c r="EO24" s="62">
        <f ca="1">AVERAGE(OFFSET($EN$3,0,0,'Données projet'!$E$15+1,1))-AVERAGE(OFFSET($H$3,0,0,'Données projet'!$E$15+1,1))</f>
        <v>202.86354781280403</v>
      </c>
      <c r="EP24" s="62">
        <f t="shared" si="46"/>
        <v>217.25323885665131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6.1538461538461533</v>
      </c>
      <c r="FE24" s="13">
        <f>IF('Données projet'!$A$218&gt;35,FE23+FD24-FM23,IF(A24&lt;'Données projet'!$A$218,$FB$205^A24,IF(A24='Données projet'!$A$218,'Données projet'!$B$218,FE23+FD24-FM23)))</f>
        <v>69.615384615384613</v>
      </c>
      <c r="FF24" s="18">
        <f>FE24*VLOOKUP('Données projet'!$B$16,Paramètres!$A$1:$I$89,3,0)*VLOOKUP('Données projet'!$B$16,Paramètres!$A$1:$I$89,5,0)</f>
        <v>66.245999999999995</v>
      </c>
      <c r="FG24" s="14">
        <f t="shared" si="47"/>
        <v>18.738237565286223</v>
      </c>
      <c r="FH24" s="22">
        <f t="shared" si="22"/>
        <v>148.01421375954016</v>
      </c>
      <c r="FI24" s="62">
        <f t="shared" si="23"/>
        <v>430.34754709287347</v>
      </c>
      <c r="FJ24" s="62">
        <f ca="1">AVERAGE(OFFSET($FI$3,0,0,'Données projet'!$E$16+1,1))-AVERAGE(OFFSET($H$3,0,0,'Données projet'!$E$16+1,1))</f>
        <v>353.61481736740694</v>
      </c>
      <c r="FK24" s="62">
        <f t="shared" si="48"/>
        <v>244.7141066773861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3</v>
      </c>
      <c r="FZ24" s="13">
        <f>IF('Données projet'!$A$244&gt;35,FZ23+FY24-GH23,IF(A24&lt;'Données projet'!$A$244,$FW$205^A24,IF(A24='Données projet'!$A$244,'Données projet'!$B$244,FZ23+FY24-GH23)))</f>
        <v>24</v>
      </c>
      <c r="GA24" s="18">
        <f>FZ24*VLOOKUP('Données projet'!$B$17,Paramètres!$A$1:$I$89,3,0)*VLOOKUP('Données projet'!$B$17,Paramètres!$A$1:$I$89,5,0)</f>
        <v>25.833600000000001</v>
      </c>
      <c r="GB24" s="14">
        <f t="shared" si="49"/>
        <v>8.1537739978012986</v>
      </c>
      <c r="GC24" s="22">
        <f t="shared" si="25"/>
        <v>59.194676379503932</v>
      </c>
      <c r="GD24" s="62">
        <f t="shared" si="26"/>
        <v>341.52800971283727</v>
      </c>
      <c r="GE24" s="62">
        <f ca="1">AVERAGE(OFFSET($GD$3,0,0,'Données projet'!$E$17+1,1))-AVERAGE(OFFSET($H$3,0,0,'Données projet'!$E$17+1,1))</f>
        <v>280.20599015000306</v>
      </c>
      <c r="GF24" s="62">
        <f t="shared" si="50"/>
        <v>166.97658184507787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7.8205128205128203</v>
      </c>
      <c r="GU24" s="13">
        <f>IF('Données projet'!$A$270&gt;35,GU23+GT24-HC23,IF(A24&lt;'Données projet'!$A$270,$GR$205^A24,IF(A24='Données projet'!$A$270,'Données projet'!$B$270,GU23+GT24-HC23)))</f>
        <v>86.666666666666657</v>
      </c>
      <c r="GV24" s="18">
        <f>GU24*VLOOKUP('Données projet'!$B$18,Paramètres!$A$1:$I$89,3,0)*VLOOKUP('Données projet'!$B$18,Paramètres!$A$1:$I$89,5,0)</f>
        <v>58.135999999999989</v>
      </c>
      <c r="GW24" s="14">
        <f t="shared" si="51"/>
        <v>16.696129205461926</v>
      </c>
      <c r="GX24" s="22">
        <f t="shared" si="28"/>
        <v>130.33262503284615</v>
      </c>
      <c r="GY24" s="62">
        <f t="shared" si="29"/>
        <v>412.66595836617944</v>
      </c>
      <c r="GZ24" s="62">
        <f ca="1">AVERAGE(OFFSET($GY$3,0,0,'Données projet'!$E$18+1,1))-AVERAGE(OFFSET($H$3,0,0,'Données projet'!$E$18+1,1))</f>
        <v>291.18686311753402</v>
      </c>
      <c r="HA24" s="62">
        <f t="shared" si="52"/>
        <v>215.44422413249839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9">
        <f t="shared" si="1"/>
        <v>256.66666666666669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14.926923076923075</v>
      </c>
      <c r="N25" s="14">
        <f>IF('Données projet'!$A$36&gt;35,N24+M25-V24,IF(A25&lt;'Données projet'!$A$36,$K$205^A25,IF(A25='Données projet'!$A$36,'Données projet'!$B$36,N24+M25-V24)))</f>
        <v>158.8807692307692</v>
      </c>
      <c r="O25" s="14">
        <f>N25*VLOOKUP('Données projet'!$B$9,Paramètres!$A$1:$I$89,3,0)*VLOOKUP('Données projet'!$B$9,Paramètres!$A$1:$I$89,5,0)</f>
        <v>95.0107</v>
      </c>
      <c r="P25" s="14">
        <f t="shared" si="33"/>
        <v>25.769848277327686</v>
      </c>
      <c r="Q25" s="22">
        <f t="shared" si="2"/>
        <v>210.3594549163457</v>
      </c>
      <c r="R25" s="62">
        <f t="shared" si="0"/>
        <v>493.91501047190127</v>
      </c>
      <c r="S25" s="62">
        <f ca="1">AVERAGE(OFFSET($R$3,0,0,'Données projet'!$E$9+1,1))-AVERAGE(OFFSET($H$3,0,0,'Données projet'!$E$9+1,1))</f>
        <v>260.02504691866199</v>
      </c>
      <c r="T25" s="62">
        <f t="shared" si="34"/>
        <v>270.11268336406368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6.513524690324215</v>
      </c>
      <c r="AB25" s="23">
        <f>EXP(-LN(2)/2)*AB24+(1-EXP(-LN(2)/2))/(LN(2)/2)*V25*Y25*VLOOKUP('Données projet'!$B$9,Paramètres!$A$1:$I$89,3,0)*0.475*44/12</f>
        <v>2.5185762335565318</v>
      </c>
      <c r="AC25" s="24">
        <f t="shared" si="3"/>
        <v>9.0321009238807477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2">
        <f t="shared" si="5"/>
        <v>404.72813945687091</v>
      </c>
      <c r="AN25" s="62">
        <f ca="1">AVERAGE(OFFSET($AM$3,0,0,'Données projet'!$E$10+1,1))-AVERAGE(OFFSET($H$3,0,0,'Données projet'!$E$10+1,1))</f>
        <v>475.47920969424894</v>
      </c>
      <c r="AO25" s="62">
        <f t="shared" si="36"/>
        <v>271.73544012419364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48.135359999999999</v>
      </c>
      <c r="BF25" s="14">
        <f t="shared" si="37"/>
        <v>14.131148275361113</v>
      </c>
      <c r="BG25" s="22">
        <f t="shared" si="7"/>
        <v>108.4475019129206</v>
      </c>
      <c r="BH25" s="62">
        <f t="shared" si="8"/>
        <v>392.00305746847613</v>
      </c>
      <c r="BI25" s="62">
        <f ca="1">AVERAGE(OFFSET($BH$3,0,0,'Données projet'!$E$11+1,1))-AVERAGE(OFFSET($H$3,0,0,'Données projet'!$E$11+1,1))</f>
        <v>428.8489304403459</v>
      </c>
      <c r="BJ25" s="62">
        <f t="shared" si="38"/>
        <v>247.01165577562966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4.5999999999999996</v>
      </c>
      <c r="BY25" s="13">
        <f>IF('Données projet'!$A$114&gt;35,BY24+BX25-CG24,IF(A25&lt;'Données projet'!$A$114,$BV$205^A25,IF(A25='Données projet'!$A$114,'Données projet'!$B$114,BY24+BX25-CG24)))</f>
        <v>63.199999999999996</v>
      </c>
      <c r="BZ25" s="14">
        <f>BY25*VLOOKUP('Données projet'!$B$12,Paramètres!$A$1:$I$89,3,0)*VLOOKUP('Données projet'!$B$12,Paramètres!$A$1:$I$89,5,0)</f>
        <v>51.26784</v>
      </c>
      <c r="CA25" s="14">
        <f t="shared" si="39"/>
        <v>14.940706168637671</v>
      </c>
      <c r="CB25" s="22">
        <f t="shared" si="10"/>
        <v>115.31321791037726</v>
      </c>
      <c r="CC25" s="62">
        <f t="shared" si="11"/>
        <v>398.8687734659328</v>
      </c>
      <c r="CD25" s="62">
        <f ca="1">AVERAGE(OFFSET($CC$3,0,0,'Données projet'!$E$12+1,1))-AVERAGE(OFFSET($H$3,0,0,'Données projet'!$E$12+1,1))</f>
        <v>236.22643401787644</v>
      </c>
      <c r="CE25" s="62">
        <f t="shared" si="40"/>
        <v>188.80444043778022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3.4425641025641025</v>
      </c>
      <c r="CT25" s="13">
        <f>IF('Données projet'!$A$140&gt;35,CT24+CS25-DB24,IF(A25&lt;'Données projet'!$A$140,$CQ$205^A25,IF(A25='Données projet'!$A$140,'Données projet'!$B$140,CT24+CS25-DB24)))</f>
        <v>29.987188275534368</v>
      </c>
      <c r="CU25" s="18">
        <f>CT25*VLOOKUP('Données projet'!$B$13,Paramètres!$A$1:$I$89,3,0)*VLOOKUP('Données projet'!$B$13,Paramètres!$A$1:$I$89,5,0)</f>
        <v>14.034004112950084</v>
      </c>
      <c r="CV25" s="14">
        <f t="shared" si="41"/>
        <v>4.7555606647394173</v>
      </c>
      <c r="CW25" s="22">
        <f t="shared" si="13"/>
        <v>32.725158654475884</v>
      </c>
      <c r="CX25" s="62">
        <f t="shared" si="14"/>
        <v>316.28071421003142</v>
      </c>
      <c r="CY25" s="62">
        <f ca="1">AVERAGE(OFFSET($CX$3,0,0,'Données projet'!$E$13+1,1))-AVERAGE(OFFSET($H$3,0,0,'Données projet'!$E$13+1,1))</f>
        <v>246.73711856758143</v>
      </c>
      <c r="CZ25" s="62">
        <f t="shared" si="42"/>
        <v>145.54897745089966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6.5384615384615374</v>
      </c>
      <c r="DO25" s="13">
        <f>IF('Données projet'!$A$166&gt;35,DO24+DN25-DW24,IF(A25&lt;'Données projet'!$A$166,$DL$205^A25,IF(A25='Données projet'!$A$166,'Données projet'!$B$166,DO24+DN25-DW24)))</f>
        <v>72.05128205128203</v>
      </c>
      <c r="DP25" s="18">
        <f>DO25*VLOOKUP('Données projet'!$B$14,Paramètres!$A$1:$I$89,3,0)*VLOOKUP('Données projet'!$B$14,Paramètres!$A$1:$I$89,5,0)</f>
        <v>75.307999999999979</v>
      </c>
      <c r="DQ25" s="14">
        <f t="shared" si="43"/>
        <v>20.985961565400835</v>
      </c>
      <c r="DR25" s="22">
        <f t="shared" si="16"/>
        <v>167.71198305973977</v>
      </c>
      <c r="DS25" s="62">
        <f t="shared" si="17"/>
        <v>451.26753861529528</v>
      </c>
      <c r="DT25" s="62">
        <f ca="1">AVERAGE(OFFSET($DS$3,0,0,'Données projet'!$E$14+1,1))-AVERAGE(OFFSET($H$3,0,0,'Données projet'!$E$14+1,1))</f>
        <v>493.70175665335978</v>
      </c>
      <c r="DU25" s="62">
        <f t="shared" si="44"/>
        <v>325.12357781685949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7.6</v>
      </c>
      <c r="EJ25" s="13">
        <f>IF('Données projet'!$A$192&gt;35,EJ24+EI25-ER24,IF(A25&lt;'Données projet'!$A$192,$EG$205^A25,IF(A25='Données projet'!$A$192,'Données projet'!$B$192,EJ24+EI25-ER24)))</f>
        <v>33.200000000000003</v>
      </c>
      <c r="EK25" s="18">
        <f>EJ25*VLOOKUP('Données projet'!$B$15,Paramètres!$A$1:$I$89,3,0)*VLOOKUP('Données projet'!$B$15,Paramètres!$A$1:$I$89,5,0)</f>
        <v>29.003520000000005</v>
      </c>
      <c r="EL25" s="14">
        <f t="shared" si="45"/>
        <v>9.0317833500167612</v>
      </c>
      <c r="EM25" s="22">
        <f t="shared" si="19"/>
        <v>66.244820001279194</v>
      </c>
      <c r="EN25" s="62">
        <f t="shared" si="20"/>
        <v>349.80037555683475</v>
      </c>
      <c r="EO25" s="62">
        <f ca="1">AVERAGE(OFFSET($EN$3,0,0,'Données projet'!$E$15+1,1))-AVERAGE(OFFSET($H$3,0,0,'Données projet'!$E$15+1,1))</f>
        <v>202.86354781280403</v>
      </c>
      <c r="EP25" s="62">
        <f t="shared" si="46"/>
        <v>217.25323885665131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6.1538461538461533</v>
      </c>
      <c r="FE25" s="13">
        <f>IF('Données projet'!$A$218&gt;35,FE24+FD25-FM24,IF(A25&lt;'Données projet'!$A$218,$FB$205^A25,IF(A25='Données projet'!$A$218,'Données projet'!$B$218,FE24+FD25-FM24)))</f>
        <v>75.769230769230774</v>
      </c>
      <c r="FF25" s="18">
        <f>FE25*VLOOKUP('Données projet'!$B$16,Paramètres!$A$1:$I$89,3,0)*VLOOKUP('Données projet'!$B$16,Paramètres!$A$1:$I$89,5,0)</f>
        <v>72.102000000000004</v>
      </c>
      <c r="FG25" s="14">
        <f t="shared" si="47"/>
        <v>20.194556009371063</v>
      </c>
      <c r="FH25" s="22">
        <f t="shared" si="22"/>
        <v>160.74983504965459</v>
      </c>
      <c r="FI25" s="62">
        <f t="shared" si="23"/>
        <v>444.30539060521016</v>
      </c>
      <c r="FJ25" s="62">
        <f ca="1">AVERAGE(OFFSET($FI$3,0,0,'Données projet'!$E$16+1,1))-AVERAGE(OFFSET($H$3,0,0,'Données projet'!$E$16+1,1))</f>
        <v>353.61481736740694</v>
      </c>
      <c r="FK25" s="62">
        <f t="shared" si="48"/>
        <v>244.7141066773861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3</v>
      </c>
      <c r="FZ25" s="13">
        <f>IF('Données projet'!$A$244&gt;35,FZ24+FY25-GH24,IF(A25&lt;'Données projet'!$A$244,$FW$205^A25,IF(A25='Données projet'!$A$244,'Données projet'!$B$244,FZ24+FY25-GH24)))</f>
        <v>27</v>
      </c>
      <c r="GA25" s="18">
        <f>FZ25*VLOOKUP('Données projet'!$B$17,Paramètres!$A$1:$I$89,3,0)*VLOOKUP('Données projet'!$B$17,Paramètres!$A$1:$I$89,5,0)</f>
        <v>29.062799999999999</v>
      </c>
      <c r="GB25" s="14">
        <f t="shared" si="49"/>
        <v>9.0480926409310953</v>
      </c>
      <c r="GC25" s="22">
        <f t="shared" si="25"/>
        <v>66.376471349621667</v>
      </c>
      <c r="GD25" s="62">
        <f t="shared" si="26"/>
        <v>349.93202690517722</v>
      </c>
      <c r="GE25" s="62">
        <f ca="1">AVERAGE(OFFSET($GD$3,0,0,'Données projet'!$E$17+1,1))-AVERAGE(OFFSET($H$3,0,0,'Données projet'!$E$17+1,1))</f>
        <v>280.20599015000306</v>
      </c>
      <c r="GF25" s="62">
        <f t="shared" si="50"/>
        <v>166.97658184507787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7.8205128205128203</v>
      </c>
      <c r="GU25" s="13">
        <f>IF('Données projet'!$A$270&gt;35,GU24+GT25-HC24,IF(A25&lt;'Données projet'!$A$270,$GR$205^A25,IF(A25='Données projet'!$A$270,'Données projet'!$B$270,GU24+GT25-HC24)))</f>
        <v>94.487179487179475</v>
      </c>
      <c r="GV25" s="18">
        <f>GU25*VLOOKUP('Données projet'!$B$18,Paramètres!$A$1:$I$89,3,0)*VLOOKUP('Données projet'!$B$18,Paramètres!$A$1:$I$89,5,0)</f>
        <v>63.381999999999991</v>
      </c>
      <c r="GW25" s="14">
        <f t="shared" si="51"/>
        <v>18.020596756944578</v>
      </c>
      <c r="GX25" s="22">
        <f t="shared" si="28"/>
        <v>141.77618935167845</v>
      </c>
      <c r="GY25" s="62">
        <f t="shared" si="29"/>
        <v>425.331744907234</v>
      </c>
      <c r="GZ25" s="62">
        <f ca="1">AVERAGE(OFFSET($GY$3,0,0,'Données projet'!$E$18+1,1))-AVERAGE(OFFSET($H$3,0,0,'Données projet'!$E$18+1,1))</f>
        <v>291.18686311753402</v>
      </c>
      <c r="HA25" s="62">
        <f t="shared" si="52"/>
        <v>215.44422413249839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9">
        <f t="shared" si="1"/>
        <v>256.66666666666669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173.80769230769229</v>
      </c>
      <c r="L26" s="13">
        <f>VLOOKUP(A26,'Données projet'!$A$35:$I$55,9,0)</f>
        <v>14.926923076923075</v>
      </c>
      <c r="M26" s="13">
        <f t="array" ref="M26">INDEX(L:L,MIN(IF(ISNUMBER(L26:L222),ROW(L26:L222),"")))</f>
        <v>14.926923076923075</v>
      </c>
      <c r="N26" s="14">
        <f>IF('Données projet'!$A$36&gt;35,N25+M26-V25,IF(A26&lt;'Données projet'!$A$36,$K$205^A26,IF(A26='Données projet'!$A$36,'Données projet'!$B$36,N25+M26-V25)))</f>
        <v>173.80769230769226</v>
      </c>
      <c r="O26" s="14">
        <f>N26*VLOOKUP('Données projet'!$B$9,Paramètres!$A$1:$I$89,3,0)*VLOOKUP('Données projet'!$B$9,Paramètres!$A$1:$I$89,5,0)</f>
        <v>103.93699999999998</v>
      </c>
      <c r="P26" s="14">
        <f t="shared" si="33"/>
        <v>27.897815230264825</v>
      </c>
      <c r="Q26" s="22">
        <f t="shared" si="2"/>
        <v>229.61230319271121</v>
      </c>
      <c r="R26" s="62">
        <f t="shared" si="0"/>
        <v>514.39008097048895</v>
      </c>
      <c r="S26" s="62">
        <f ca="1">AVERAGE(OFFSET($R$3,0,0,'Données projet'!$E$9+1,1))-AVERAGE(OFFSET($H$3,0,0,'Données projet'!$E$9+1,1))</f>
        <v>260.02504691866199</v>
      </c>
      <c r="T26" s="62">
        <f t="shared" si="34"/>
        <v>270.11268336406368</v>
      </c>
      <c r="U26" s="16">
        <f>IF(ISNA(VLOOKUP(A26,'Données projet'!$A$35:$I$55,3,0)),0,VLOOKUP(A26,'Données projet'!$A$35:$I$55,3,0))</f>
        <v>2</v>
      </c>
      <c r="V26" s="16">
        <f>IF(ISNA(VLOOKUP(A26,'Données projet'!$A$35:$I$55,4,0)),0,VLOOKUP(A26,'Données projet'!$A$35:$I$55,4,0))</f>
        <v>54.099999999999987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0.22500000000000001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15.953659896191899</v>
      </c>
      <c r="AB26" s="23">
        <f>EXP(-LN(2)/2)*AB25+(1-EXP(-LN(2)/2))/(LN(2)/2)*V26*Y26*VLOOKUP('Données projet'!$B$9,Paramètres!$A$1:$I$89,3,0)*0.475*44/12</f>
        <v>20.095778755241454</v>
      </c>
      <c r="AC26" s="24">
        <f t="shared" si="3"/>
        <v>36.049438651433356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2">
        <f t="shared" si="5"/>
        <v>418.35693573662502</v>
      </c>
      <c r="AN26" s="62">
        <f ca="1">AVERAGE(OFFSET($AM$3,0,0,'Données projet'!$E$10+1,1))-AVERAGE(OFFSET($H$3,0,0,'Données projet'!$E$10+1,1))</f>
        <v>475.47920969424894</v>
      </c>
      <c r="AO26" s="62">
        <f t="shared" si="36"/>
        <v>271.73544012419364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53.202240000000003</v>
      </c>
      <c r="BF26" s="14">
        <f t="shared" si="37"/>
        <v>15.437740642425908</v>
      </c>
      <c r="BG26" s="22">
        <f t="shared" si="7"/>
        <v>119.54796628555846</v>
      </c>
      <c r="BH26" s="62">
        <f t="shared" si="8"/>
        <v>404.32574406333623</v>
      </c>
      <c r="BI26" s="62">
        <f ca="1">AVERAGE(OFFSET($BH$3,0,0,'Données projet'!$E$11+1,1))-AVERAGE(OFFSET($H$3,0,0,'Données projet'!$E$11+1,1))</f>
        <v>428.8489304403459</v>
      </c>
      <c r="BJ26" s="62">
        <f t="shared" si="38"/>
        <v>247.01165577562966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4.5999999999999996</v>
      </c>
      <c r="BY26" s="13">
        <f>IF('Données projet'!$A$114&gt;35,BY25+BX26-CG25,IF(A26&lt;'Données projet'!$A$114,$BV$205^A26,IF(A26='Données projet'!$A$114,'Données projet'!$B$114,BY25+BX26-CG25)))</f>
        <v>67.8</v>
      </c>
      <c r="BZ26" s="14">
        <f>BY26*VLOOKUP('Données projet'!$B$12,Paramètres!$A$1:$I$89,3,0)*VLOOKUP('Données projet'!$B$12,Paramètres!$A$1:$I$89,5,0)</f>
        <v>54.999360000000003</v>
      </c>
      <c r="CA26" s="14">
        <f t="shared" si="39"/>
        <v>15.897618537944966</v>
      </c>
      <c r="CB26" s="22">
        <f t="shared" si="10"/>
        <v>123.47890428692084</v>
      </c>
      <c r="CC26" s="62">
        <f t="shared" si="11"/>
        <v>408.25668206469862</v>
      </c>
      <c r="CD26" s="62">
        <f ca="1">AVERAGE(OFFSET($CC$3,0,0,'Données projet'!$E$12+1,1))-AVERAGE(OFFSET($H$3,0,0,'Données projet'!$E$12+1,1))</f>
        <v>236.22643401787644</v>
      </c>
      <c r="CE26" s="62">
        <f t="shared" si="40"/>
        <v>188.80444043778022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3.4425641025641025</v>
      </c>
      <c r="CT26" s="13">
        <f>IF('Données projet'!$A$140&gt;35,CT25+CS26-DB25,IF(A26&lt;'Données projet'!$A$140,$CQ$205^A26,IF(A26='Données projet'!$A$140,'Données projet'!$B$140,CT25+CS26-DB25)))</f>
        <v>35.000092281482424</v>
      </c>
      <c r="CU26" s="18">
        <f>CT26*VLOOKUP('Données projet'!$B$13,Paramètres!$A$1:$I$89,3,0)*VLOOKUP('Données projet'!$B$13,Paramètres!$A$1:$I$89,5,0)</f>
        <v>16.380043187733772</v>
      </c>
      <c r="CV26" s="14">
        <f t="shared" si="41"/>
        <v>5.4515605034859353</v>
      </c>
      <c r="CW26" s="22">
        <f t="shared" si="13"/>
        <v>38.023376428874322</v>
      </c>
      <c r="CX26" s="62">
        <f t="shared" si="14"/>
        <v>322.80115420665209</v>
      </c>
      <c r="CY26" s="62">
        <f ca="1">AVERAGE(OFFSET($CX$3,0,0,'Données projet'!$E$13+1,1))-AVERAGE(OFFSET($H$3,0,0,'Données projet'!$E$13+1,1))</f>
        <v>246.73711856758143</v>
      </c>
      <c r="CZ26" s="62">
        <f t="shared" si="42"/>
        <v>145.54897745089966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6.5384615384615374</v>
      </c>
      <c r="DO26" s="13">
        <f>IF('Données projet'!$A$166&gt;35,DO25+DN26-DW25,IF(A26&lt;'Données projet'!$A$166,$DL$205^A26,IF(A26='Données projet'!$A$166,'Données projet'!$B$166,DO25+DN26-DW25)))</f>
        <v>78.589743589743563</v>
      </c>
      <c r="DP26" s="18">
        <f>DO26*VLOOKUP('Données projet'!$B$14,Paramètres!$A$1:$I$89,3,0)*VLOOKUP('Données projet'!$B$14,Paramètres!$A$1:$I$89,5,0)</f>
        <v>82.141999999999982</v>
      </c>
      <c r="DQ26" s="14">
        <f t="shared" si="43"/>
        <v>22.660106151503225</v>
      </c>
      <c r="DR26" s="22">
        <f t="shared" si="16"/>
        <v>182.53033488053475</v>
      </c>
      <c r="DS26" s="62">
        <f t="shared" si="17"/>
        <v>467.30811265831255</v>
      </c>
      <c r="DT26" s="62">
        <f ca="1">AVERAGE(OFFSET($DS$3,0,0,'Données projet'!$E$14+1,1))-AVERAGE(OFFSET($H$3,0,0,'Données projet'!$E$14+1,1))</f>
        <v>493.70175665335978</v>
      </c>
      <c r="DU26" s="62">
        <f t="shared" si="44"/>
        <v>325.12357781685949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7.6</v>
      </c>
      <c r="EJ26" s="13">
        <f>IF('Données projet'!$A$192&gt;35,EJ25+EI26-ER25,IF(A26&lt;'Données projet'!$A$192,$EG$205^A26,IF(A26='Données projet'!$A$192,'Données projet'!$B$192,EJ25+EI26-ER25)))</f>
        <v>40.800000000000004</v>
      </c>
      <c r="EK26" s="18">
        <f>EJ26*VLOOKUP('Données projet'!$B$15,Paramètres!$A$1:$I$89,3,0)*VLOOKUP('Données projet'!$B$15,Paramètres!$A$1:$I$89,5,0)</f>
        <v>35.642880000000012</v>
      </c>
      <c r="EL26" s="14">
        <f t="shared" si="45"/>
        <v>10.836155304531358</v>
      </c>
      <c r="EM26" s="22">
        <f t="shared" si="19"/>
        <v>80.950986488725476</v>
      </c>
      <c r="EN26" s="62">
        <f t="shared" si="20"/>
        <v>365.72876426650328</v>
      </c>
      <c r="EO26" s="62">
        <f ca="1">AVERAGE(OFFSET($EN$3,0,0,'Données projet'!$E$15+1,1))-AVERAGE(OFFSET($H$3,0,0,'Données projet'!$E$15+1,1))</f>
        <v>202.86354781280403</v>
      </c>
      <c r="EP26" s="62">
        <f t="shared" si="46"/>
        <v>217.25323885665131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6.1538461538461533</v>
      </c>
      <c r="FE26" s="13">
        <f>IF('Données projet'!$A$218&gt;35,FE25+FD26-FM25,IF(A26&lt;'Données projet'!$A$218,$FB$205^A26,IF(A26='Données projet'!$A$218,'Données projet'!$B$218,FE25+FD26-FM25)))</f>
        <v>81.923076923076934</v>
      </c>
      <c r="FF26" s="18">
        <f>FE26*VLOOKUP('Données projet'!$B$16,Paramètres!$A$1:$I$89,3,0)*VLOOKUP('Données projet'!$B$16,Paramètres!$A$1:$I$89,5,0)</f>
        <v>77.958000000000013</v>
      </c>
      <c r="FG26" s="14">
        <f t="shared" si="47"/>
        <v>21.637155663637412</v>
      </c>
      <c r="FH26" s="22">
        <f t="shared" si="22"/>
        <v>173.46156278083515</v>
      </c>
      <c r="FI26" s="62">
        <f t="shared" si="23"/>
        <v>458.23934055861292</v>
      </c>
      <c r="FJ26" s="62">
        <f ca="1">AVERAGE(OFFSET($FI$3,0,0,'Données projet'!$E$16+1,1))-AVERAGE(OFFSET($H$3,0,0,'Données projet'!$E$16+1,1))</f>
        <v>353.61481736740694</v>
      </c>
      <c r="FK26" s="62">
        <f t="shared" si="48"/>
        <v>244.7141066773861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3</v>
      </c>
      <c r="FZ26" s="13">
        <f>IF('Données projet'!$A$244&gt;35,FZ25+FY26-GH25,IF(A26&lt;'Données projet'!$A$244,$FW$205^A26,IF(A26='Données projet'!$A$244,'Données projet'!$B$244,FZ25+FY26-GH25)))</f>
        <v>30</v>
      </c>
      <c r="GA26" s="18">
        <f>FZ26*VLOOKUP('Données projet'!$B$17,Paramètres!$A$1:$I$89,3,0)*VLOOKUP('Données projet'!$B$17,Paramètres!$A$1:$I$89,5,0)</f>
        <v>32.292000000000002</v>
      </c>
      <c r="GB26" s="14">
        <f t="shared" si="49"/>
        <v>9.9308942483743401</v>
      </c>
      <c r="GC26" s="22">
        <f t="shared" si="25"/>
        <v>73.538207482585321</v>
      </c>
      <c r="GD26" s="62">
        <f t="shared" si="26"/>
        <v>358.31598526036311</v>
      </c>
      <c r="GE26" s="62">
        <f ca="1">AVERAGE(OFFSET($GD$3,0,0,'Données projet'!$E$17+1,1))-AVERAGE(OFFSET($H$3,0,0,'Données projet'!$E$17+1,1))</f>
        <v>280.20599015000306</v>
      </c>
      <c r="GF26" s="62">
        <f t="shared" si="50"/>
        <v>166.97658184507787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7.8205128205128203</v>
      </c>
      <c r="GU26" s="13">
        <f>IF('Données projet'!$A$270&gt;35,GU25+GT26-HC25,IF(A26&lt;'Données projet'!$A$270,$GR$205^A26,IF(A26='Données projet'!$A$270,'Données projet'!$B$270,GU25+GT26-HC25)))</f>
        <v>102.30769230769229</v>
      </c>
      <c r="GV26" s="18">
        <f>GU26*VLOOKUP('Données projet'!$B$18,Paramètres!$A$1:$I$89,3,0)*VLOOKUP('Données projet'!$B$18,Paramètres!$A$1:$I$89,5,0)</f>
        <v>68.627999999999986</v>
      </c>
      <c r="GW26" s="14">
        <f t="shared" si="51"/>
        <v>19.332350089930401</v>
      </c>
      <c r="GX26" s="22">
        <f t="shared" si="28"/>
        <v>153.19760973996208</v>
      </c>
      <c r="GY26" s="62">
        <f t="shared" si="29"/>
        <v>437.97538751773982</v>
      </c>
      <c r="GZ26" s="62">
        <f ca="1">AVERAGE(OFFSET($GY$3,0,0,'Données projet'!$E$18+1,1))-AVERAGE(OFFSET($H$3,0,0,'Données projet'!$E$18+1,1))</f>
        <v>291.18686311753402</v>
      </c>
      <c r="HA26" s="62">
        <f t="shared" si="52"/>
        <v>215.44422413249839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9">
        <f t="shared" si="1"/>
        <v>256.66666666666669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15.073076923076925</v>
      </c>
      <c r="N27" s="14">
        <f>IF('Données projet'!$A$36&gt;35,N26+M27-V26,IF(A27&lt;'Données projet'!$A$36,$K$205^A27,IF(A27='Données projet'!$A$36,'Données projet'!$B$36,N26+M27-V26)))</f>
        <v>134.78076923076921</v>
      </c>
      <c r="O27" s="14">
        <f>N27*VLOOKUP('Données projet'!$B$9,Paramètres!$A$1:$I$89,3,0)*VLOOKUP('Données projet'!$B$9,Paramètres!$A$1:$I$89,5,0)</f>
        <v>80.598899999999986</v>
      </c>
      <c r="P27" s="14">
        <f t="shared" si="33"/>
        <v>22.283554667877272</v>
      </c>
      <c r="Q27" s="22">
        <f t="shared" si="2"/>
        <v>179.18694187988618</v>
      </c>
      <c r="R27" s="62">
        <f t="shared" si="0"/>
        <v>465.18694187988615</v>
      </c>
      <c r="S27" s="62">
        <f ca="1">AVERAGE(OFFSET($R$3,0,0,'Données projet'!$E$9+1,1))-AVERAGE(OFFSET($H$3,0,0,'Données projet'!$E$9+1,1))</f>
        <v>260.02504691866199</v>
      </c>
      <c r="T27" s="62">
        <f t="shared" si="34"/>
        <v>270.11268336406368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15.51740622736402</v>
      </c>
      <c r="AB27" s="23">
        <f>EXP(-LN(2)/2)*AB26+(1-EXP(-LN(2)/2))/(LN(2)/2)*V27*Y27*VLOOKUP('Données projet'!$B$9,Paramètres!$A$1:$I$89,3,0)*0.475*44/12</f>
        <v>14.20986143105579</v>
      </c>
      <c r="AC27" s="24">
        <f t="shared" si="3"/>
        <v>29.727267658419812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2">
        <f t="shared" si="5"/>
        <v>431.95794243077449</v>
      </c>
      <c r="AN27" s="62">
        <f ca="1">AVERAGE(OFFSET($AM$3,0,0,'Données projet'!$E$10+1,1))-AVERAGE(OFFSET($H$3,0,0,'Données projet'!$E$10+1,1))</f>
        <v>475.47920969424894</v>
      </c>
      <c r="AO27" s="62">
        <f t="shared" si="36"/>
        <v>271.73544012419364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58.269120000000008</v>
      </c>
      <c r="BF27" s="14">
        <f t="shared" si="37"/>
        <v>16.729905486873804</v>
      </c>
      <c r="BG27" s="22">
        <f t="shared" si="7"/>
        <v>130.62330272297189</v>
      </c>
      <c r="BH27" s="62">
        <f t="shared" si="8"/>
        <v>416.62330272297186</v>
      </c>
      <c r="BI27" s="62">
        <f ca="1">AVERAGE(OFFSET($BH$3,0,0,'Données projet'!$E$11+1,1))-AVERAGE(OFFSET($H$3,0,0,'Données projet'!$E$11+1,1))</f>
        <v>428.8489304403459</v>
      </c>
      <c r="BJ27" s="62">
        <f t="shared" si="38"/>
        <v>247.01165577562966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4.5999999999999996</v>
      </c>
      <c r="BY27" s="13">
        <f>IF('Données projet'!$A$114&gt;35,BY26+BX27-CG26,IF(A27&lt;'Données projet'!$A$114,$BV$205^A27,IF(A27='Données projet'!$A$114,'Données projet'!$B$114,BY26+BX27-CG26)))</f>
        <v>72.399999999999991</v>
      </c>
      <c r="BZ27" s="14">
        <f>BY27*VLOOKUP('Données projet'!$B$12,Paramètres!$A$1:$I$89,3,0)*VLOOKUP('Données projet'!$B$12,Paramètres!$A$1:$I$89,5,0)</f>
        <v>58.730879999999999</v>
      </c>
      <c r="CA27" s="14">
        <f t="shared" si="39"/>
        <v>16.846997503350572</v>
      </c>
      <c r="CB27" s="22">
        <f t="shared" si="10"/>
        <v>131.63146998500227</v>
      </c>
      <c r="CC27" s="62">
        <f t="shared" si="11"/>
        <v>417.63146998500224</v>
      </c>
      <c r="CD27" s="62">
        <f ca="1">AVERAGE(OFFSET($CC$3,0,0,'Données projet'!$E$12+1,1))-AVERAGE(OFFSET($H$3,0,0,'Données projet'!$E$12+1,1))</f>
        <v>236.22643401787644</v>
      </c>
      <c r="CE27" s="62">
        <f t="shared" si="40"/>
        <v>188.80444043778022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3.4425641025641025</v>
      </c>
      <c r="CT27" s="13">
        <f>IF('Données projet'!$A$140&gt;35,CT26+CS27-DB26,IF(A27&lt;'Données projet'!$A$140,$CQ$205^A27,IF(A27='Données projet'!$A$140,'Données projet'!$B$140,CT26+CS27-DB26)))</f>
        <v>40.850994379880916</v>
      </c>
      <c r="CU27" s="18">
        <f>CT27*VLOOKUP('Données projet'!$B$13,Paramètres!$A$1:$I$89,3,0)*VLOOKUP('Données projet'!$B$13,Paramètres!$A$1:$I$89,5,0)</f>
        <v>19.118265369784268</v>
      </c>
      <c r="CV27" s="14">
        <f t="shared" si="41"/>
        <v>6.2494233631643379</v>
      </c>
      <c r="CW27" s="22">
        <f t="shared" si="13"/>
        <v>44.182057876552157</v>
      </c>
      <c r="CX27" s="62">
        <f t="shared" si="14"/>
        <v>330.18205787655216</v>
      </c>
      <c r="CY27" s="62">
        <f ca="1">AVERAGE(OFFSET($CX$3,0,0,'Données projet'!$E$13+1,1))-AVERAGE(OFFSET($H$3,0,0,'Données projet'!$E$13+1,1))</f>
        <v>246.73711856758143</v>
      </c>
      <c r="CZ27" s="62">
        <f t="shared" si="42"/>
        <v>145.54897745089966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6.5384615384615374</v>
      </c>
      <c r="DO27" s="13">
        <f>IF('Données projet'!$A$166&gt;35,DO26+DN27-DW26,IF(A27&lt;'Données projet'!$A$166,$DL$205^A27,IF(A27='Données projet'!$A$166,'Données projet'!$B$166,DO26+DN27-DW26)))</f>
        <v>85.128205128205096</v>
      </c>
      <c r="DP27" s="18">
        <f>DO27*VLOOKUP('Données projet'!$B$14,Paramètres!$A$1:$I$89,3,0)*VLOOKUP('Données projet'!$B$14,Paramètres!$A$1:$I$89,5,0)</f>
        <v>88.975999999999971</v>
      </c>
      <c r="DQ27" s="14">
        <f t="shared" si="43"/>
        <v>24.318096618795476</v>
      </c>
      <c r="DR27" s="22">
        <f t="shared" si="16"/>
        <v>197.32055161106871</v>
      </c>
      <c r="DS27" s="62">
        <f t="shared" si="17"/>
        <v>483.32055161106871</v>
      </c>
      <c r="DT27" s="62">
        <f ca="1">AVERAGE(OFFSET($DS$3,0,0,'Données projet'!$E$14+1,1))-AVERAGE(OFFSET($H$3,0,0,'Données projet'!$E$14+1,1))</f>
        <v>493.70175665335978</v>
      </c>
      <c r="DU27" s="62">
        <f t="shared" si="44"/>
        <v>325.12357781685949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7.6</v>
      </c>
      <c r="EJ27" s="13">
        <f>IF('Données projet'!$A$192&gt;35,EJ26+EI27-ER26,IF(A27&lt;'Données projet'!$A$192,$EG$205^A27,IF(A27='Données projet'!$A$192,'Données projet'!$B$192,EJ26+EI27-ER26)))</f>
        <v>48.400000000000006</v>
      </c>
      <c r="EK27" s="18">
        <f>EJ27*VLOOKUP('Données projet'!$B$15,Paramètres!$A$1:$I$89,3,0)*VLOOKUP('Données projet'!$B$15,Paramètres!$A$1:$I$89,5,0)</f>
        <v>42.282240000000009</v>
      </c>
      <c r="EL27" s="14">
        <f t="shared" si="45"/>
        <v>12.60158758294113</v>
      </c>
      <c r="EM27" s="22">
        <f t="shared" si="19"/>
        <v>95.589333040289148</v>
      </c>
      <c r="EN27" s="62">
        <f t="shared" si="20"/>
        <v>381.58933304028915</v>
      </c>
      <c r="EO27" s="62">
        <f ca="1">AVERAGE(OFFSET($EN$3,0,0,'Données projet'!$E$15+1,1))-AVERAGE(OFFSET($H$3,0,0,'Données projet'!$E$15+1,1))</f>
        <v>202.86354781280403</v>
      </c>
      <c r="EP27" s="62">
        <f t="shared" si="46"/>
        <v>217.25323885665131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6.1538461538461533</v>
      </c>
      <c r="FE27" s="13">
        <f>IF('Données projet'!$A$218&gt;35,FE26+FD27-FM26,IF(A27&lt;'Données projet'!$A$218,$FB$205^A27,IF(A27='Données projet'!$A$218,'Données projet'!$B$218,FE26+FD27-FM26)))</f>
        <v>88.076923076923094</v>
      </c>
      <c r="FF27" s="18">
        <f>FE27*VLOOKUP('Données projet'!$B$16,Paramètres!$A$1:$I$89,3,0)*VLOOKUP('Données projet'!$B$16,Paramètres!$A$1:$I$89,5,0)</f>
        <v>83.814000000000021</v>
      </c>
      <c r="FG27" s="14">
        <f t="shared" si="47"/>
        <v>23.067184225497325</v>
      </c>
      <c r="FH27" s="22">
        <f t="shared" si="22"/>
        <v>186.1513958594079</v>
      </c>
      <c r="FI27" s="62">
        <f t="shared" si="23"/>
        <v>472.1513958594079</v>
      </c>
      <c r="FJ27" s="62">
        <f ca="1">AVERAGE(OFFSET($FI$3,0,0,'Données projet'!$E$16+1,1))-AVERAGE(OFFSET($H$3,0,0,'Données projet'!$E$16+1,1))</f>
        <v>353.61481736740694</v>
      </c>
      <c r="FK27" s="62">
        <f t="shared" si="48"/>
        <v>244.7141066773861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3</v>
      </c>
      <c r="FZ27" s="13">
        <f>IF('Données projet'!$A$244&gt;35,FZ26+FY27-GH26,IF(A27&lt;'Données projet'!$A$244,$FW$205^A27,IF(A27='Données projet'!$A$244,'Données projet'!$B$244,FZ26+FY27-GH26)))</f>
        <v>33</v>
      </c>
      <c r="GA27" s="18">
        <f>FZ27*VLOOKUP('Données projet'!$B$17,Paramètres!$A$1:$I$89,3,0)*VLOOKUP('Données projet'!$B$17,Paramètres!$A$1:$I$89,5,0)</f>
        <v>35.5212</v>
      </c>
      <c r="GB27" s="14">
        <f t="shared" si="49"/>
        <v>10.803461630334509</v>
      </c>
      <c r="GC27" s="22">
        <f t="shared" si="25"/>
        <v>80.682119006165934</v>
      </c>
      <c r="GD27" s="62">
        <f t="shared" si="26"/>
        <v>366.68211900616592</v>
      </c>
      <c r="GE27" s="62">
        <f ca="1">AVERAGE(OFFSET($GD$3,0,0,'Données projet'!$E$17+1,1))-AVERAGE(OFFSET($H$3,0,0,'Données projet'!$E$17+1,1))</f>
        <v>280.20599015000306</v>
      </c>
      <c r="GF27" s="62">
        <f t="shared" si="50"/>
        <v>166.97658184507787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7.8205128205128203</v>
      </c>
      <c r="GU27" s="13">
        <f>IF('Données projet'!$A$270&gt;35,GU26+GT27-HC26,IF(A27&lt;'Données projet'!$A$270,$GR$205^A27,IF(A27='Données projet'!$A$270,'Données projet'!$B$270,GU26+GT27-HC26)))</f>
        <v>110.12820512820511</v>
      </c>
      <c r="GV27" s="18">
        <f>GU27*VLOOKUP('Données projet'!$B$18,Paramètres!$A$1:$I$89,3,0)*VLOOKUP('Données projet'!$B$18,Paramètres!$A$1:$I$89,5,0)</f>
        <v>73.873999999999981</v>
      </c>
      <c r="GW27" s="14">
        <f t="shared" si="51"/>
        <v>20.632471598177712</v>
      </c>
      <c r="GX27" s="22">
        <f t="shared" si="28"/>
        <v>164.59877136682616</v>
      </c>
      <c r="GY27" s="62">
        <f t="shared" si="29"/>
        <v>450.59877136682616</v>
      </c>
      <c r="GZ27" s="62">
        <f ca="1">AVERAGE(OFFSET($GY$3,0,0,'Données projet'!$E$18+1,1))-AVERAGE(OFFSET($H$3,0,0,'Données projet'!$E$18+1,1))</f>
        <v>291.18686311753402</v>
      </c>
      <c r="HA27" s="62">
        <f t="shared" si="52"/>
        <v>215.44422413249839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9">
        <f t="shared" si="1"/>
        <v>256.66666666666669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15.073076923076925</v>
      </c>
      <c r="N28" s="14">
        <f>IF('Données projet'!$A$36&gt;35,N27+M28-V27,IF(A28&lt;'Données projet'!$A$36,$K$205^A28,IF(A28='Données projet'!$A$36,'Données projet'!$B$36,N27+M28-V27)))</f>
        <v>149.85384615384612</v>
      </c>
      <c r="O28" s="14">
        <f>N28*VLOOKUP('Données projet'!$B$9,Paramètres!$A$1:$I$89,3,0)*VLOOKUP('Données projet'!$B$9,Paramètres!$A$1:$I$89,5,0)</f>
        <v>89.6126</v>
      </c>
      <c r="P28" s="14">
        <f t="shared" si="33"/>
        <v>24.471769998555317</v>
      </c>
      <c r="Q28" s="22">
        <f t="shared" si="2"/>
        <v>198.69694441415049</v>
      </c>
      <c r="R28" s="62">
        <f t="shared" si="0"/>
        <v>485.91916663637272</v>
      </c>
      <c r="S28" s="62">
        <f ca="1">AVERAGE(OFFSET($R$3,0,0,'Données projet'!$E$9+1,1))-AVERAGE(OFFSET($H$3,0,0,'Données projet'!$E$9+1,1))</f>
        <v>260.02504691866199</v>
      </c>
      <c r="T28" s="62">
        <f t="shared" si="34"/>
        <v>270.11268336406368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15.093081938051823</v>
      </c>
      <c r="AB28" s="23">
        <f>EXP(-LN(2)/2)*AB27+(1-EXP(-LN(2)/2))/(LN(2)/2)*V28*Y28*VLOOKUP('Données projet'!$B$9,Paramètres!$A$1:$I$89,3,0)*0.475*44/12</f>
        <v>10.047889377620729</v>
      </c>
      <c r="AC28" s="24">
        <f t="shared" si="3"/>
        <v>25.140971315672552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2">
        <f t="shared" si="5"/>
        <v>445.53385078478129</v>
      </c>
      <c r="AN28" s="62">
        <f ca="1">AVERAGE(OFFSET($AM$3,0,0,'Données projet'!$E$10+1,1))-AVERAGE(OFFSET($H$3,0,0,'Données projet'!$E$10+1,1))</f>
        <v>475.47920969424894</v>
      </c>
      <c r="AO28" s="62">
        <f t="shared" si="36"/>
        <v>271.73544012419364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63.335999999999991</v>
      </c>
      <c r="BF28" s="14">
        <f t="shared" si="37"/>
        <v>18.009040022946227</v>
      </c>
      <c r="BG28" s="22">
        <f t="shared" si="7"/>
        <v>141.67594470663133</v>
      </c>
      <c r="BH28" s="62">
        <f t="shared" si="8"/>
        <v>428.89816692885358</v>
      </c>
      <c r="BI28" s="62">
        <f ca="1">AVERAGE(OFFSET($BH$3,0,0,'Données projet'!$E$11+1,1))-AVERAGE(OFFSET($H$3,0,0,'Données projet'!$E$11+1,1))</f>
        <v>428.8489304403459</v>
      </c>
      <c r="BJ28" s="62">
        <f t="shared" si="38"/>
        <v>247.01165577562966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77</v>
      </c>
      <c r="BW28" s="13">
        <f>VLOOKUP(A28,'Données projet'!$A$113:$I$133,9,0)</f>
        <v>4.5999999999999996</v>
      </c>
      <c r="BX28" s="13">
        <f t="array" ref="BX28">INDEX(BW:BW,MIN(IF(ISNUMBER(BW28:BW224),ROW(BW28:BW224),"")))</f>
        <v>4.5999999999999996</v>
      </c>
      <c r="BY28" s="13">
        <f>IF('Données projet'!$A$114&gt;35,BY27+BX28-CG27,IF(A28&lt;'Données projet'!$A$114,$BV$205^A28,IF(A28='Données projet'!$A$114,'Données projet'!$B$114,BY27+BX28-CG27)))</f>
        <v>76.999999999999986</v>
      </c>
      <c r="BZ28" s="14">
        <f>BY28*VLOOKUP('Données projet'!$B$12,Paramètres!$A$1:$I$89,3,0)*VLOOKUP('Données projet'!$B$12,Paramètres!$A$1:$I$89,5,0)</f>
        <v>62.462399999999988</v>
      </c>
      <c r="CA28" s="14">
        <f t="shared" si="39"/>
        <v>17.789376189256878</v>
      </c>
      <c r="CB28" s="22">
        <f t="shared" si="10"/>
        <v>139.7718435296224</v>
      </c>
      <c r="CC28" s="62">
        <f t="shared" si="11"/>
        <v>426.99406575184463</v>
      </c>
      <c r="CD28" s="62">
        <f ca="1">AVERAGE(OFFSET($CC$3,0,0,'Données projet'!$E$12+1,1))-AVERAGE(OFFSET($H$3,0,0,'Données projet'!$E$12+1,1))</f>
        <v>236.22643401787644</v>
      </c>
      <c r="CE28" s="62">
        <f t="shared" si="40"/>
        <v>188.80444043778022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13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3.4425641025641025</v>
      </c>
      <c r="CT28" s="13">
        <f>IF('Données projet'!$A$140&gt;35,CT27+CS28-DB27,IF(A28&lt;'Données projet'!$A$140,$CQ$205^A28,IF(A28='Données projet'!$A$140,'Données projet'!$B$140,CT27+CS28-DB27)))</f>
        <v>47.679981195591871</v>
      </c>
      <c r="CU28" s="18">
        <f>CT28*VLOOKUP('Données projet'!$B$13,Paramètres!$A$1:$I$89,3,0)*VLOOKUP('Données projet'!$B$13,Paramètres!$A$1:$I$89,5,0)</f>
        <v>22.314231199536998</v>
      </c>
      <c r="CV28" s="14">
        <f t="shared" si="41"/>
        <v>7.1640574010122027</v>
      </c>
      <c r="CW28" s="22">
        <f t="shared" si="13"/>
        <v>51.341352645956526</v>
      </c>
      <c r="CX28" s="62">
        <f t="shared" si="14"/>
        <v>338.56357486817876</v>
      </c>
      <c r="CY28" s="62">
        <f ca="1">AVERAGE(OFFSET($CX$3,0,0,'Données projet'!$E$13+1,1))-AVERAGE(OFFSET($H$3,0,0,'Données projet'!$E$13+1,1))</f>
        <v>246.73711856758143</v>
      </c>
      <c r="CZ28" s="62">
        <f t="shared" si="42"/>
        <v>145.54897745089966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91.666666666666657</v>
      </c>
      <c r="DM28" s="13">
        <f>VLOOKUP(A28,'Données projet'!$A$165:$I$185,9,0)</f>
        <v>6.5384615384615374</v>
      </c>
      <c r="DN28" s="13">
        <f t="array" ref="DN28">INDEX(DM:DM,MIN(IF(ISNUMBER(DM28:DM224),ROW(DM28:DM224),"")))</f>
        <v>6.5384615384615374</v>
      </c>
      <c r="DO28" s="13">
        <f>IF('Données projet'!$A$166&gt;35,DO27+DN28-DW27,IF(A28&lt;'Données projet'!$A$166,$DL$205^A28,IF(A28='Données projet'!$A$166,'Données projet'!$B$166,DO27+DN28-DW27)))</f>
        <v>91.666666666666629</v>
      </c>
      <c r="DP28" s="18">
        <f>DO28*VLOOKUP('Données projet'!$B$14,Paramètres!$A$1:$I$89,3,0)*VLOOKUP('Données projet'!$B$14,Paramètres!$A$1:$I$89,5,0)</f>
        <v>95.80999999999996</v>
      </c>
      <c r="DQ28" s="14">
        <f t="shared" si="43"/>
        <v>25.961314793499493</v>
      </c>
      <c r="DR28" s="22">
        <f t="shared" si="16"/>
        <v>212.08503993201154</v>
      </c>
      <c r="DS28" s="62">
        <f t="shared" si="17"/>
        <v>499.30726215423374</v>
      </c>
      <c r="DT28" s="62">
        <f ca="1">AVERAGE(OFFSET($DS$3,0,0,'Données projet'!$E$14+1,1))-AVERAGE(OFFSET($H$3,0,0,'Données projet'!$E$14+1,1))</f>
        <v>493.70175665335978</v>
      </c>
      <c r="DU28" s="62">
        <f t="shared" si="44"/>
        <v>325.12357781685949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56</v>
      </c>
      <c r="EH28" s="13">
        <f>VLOOKUP(A28,'Données projet'!$A$191:$I$211,9,0)</f>
        <v>7.6</v>
      </c>
      <c r="EI28" s="13">
        <f t="array" ref="EI28">INDEX(EH:EH,MIN(IF(ISNUMBER(EH28:EH224),ROW(EH28:EH224),"")))</f>
        <v>7.6</v>
      </c>
      <c r="EJ28" s="13">
        <f>IF('Données projet'!$A$192&gt;35,EJ27+EI28-ER27,IF(A28&lt;'Données projet'!$A$192,$EG$205^A28,IF(A28='Données projet'!$A$192,'Données projet'!$B$192,EJ27+EI28-ER27)))</f>
        <v>56.000000000000007</v>
      </c>
      <c r="EK28" s="18">
        <f>EJ28*VLOOKUP('Données projet'!$B$15,Paramètres!$A$1:$I$89,3,0)*VLOOKUP('Données projet'!$B$15,Paramètres!$A$1:$I$89,5,0)</f>
        <v>48.921600000000012</v>
      </c>
      <c r="EL28" s="14">
        <f t="shared" si="45"/>
        <v>14.334905731333873</v>
      </c>
      <c r="EM28" s="22">
        <f t="shared" si="19"/>
        <v>110.1717474820732</v>
      </c>
      <c r="EN28" s="62">
        <f t="shared" si="20"/>
        <v>397.39396970429544</v>
      </c>
      <c r="EO28" s="62">
        <f ca="1">AVERAGE(OFFSET($EN$3,0,0,'Données projet'!$E$15+1,1))-AVERAGE(OFFSET($H$3,0,0,'Données projet'!$E$15+1,1))</f>
        <v>202.86354781280403</v>
      </c>
      <c r="EP28" s="62">
        <f t="shared" si="46"/>
        <v>217.25323885665131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94.230769230769226</v>
      </c>
      <c r="FC28" s="13">
        <f>VLOOKUP(A28,'Données projet'!$A$217:$I$237,9,0)</f>
        <v>6.1538461538461533</v>
      </c>
      <c r="FD28" s="13">
        <f t="array" ref="FD28">INDEX(FC:FC,MIN(IF(ISNUMBER(FC28:FC224),ROW(FC28:FC224),"")))</f>
        <v>6.1538461538461533</v>
      </c>
      <c r="FE28" s="13">
        <f>IF('Données projet'!$A$218&gt;35,FE27+FD28-FM27,IF(A28&lt;'Données projet'!$A$218,$FB$205^A28,IF(A28='Données projet'!$A$218,'Données projet'!$B$218,FE27+FD28-FM27)))</f>
        <v>94.230769230769255</v>
      </c>
      <c r="FF28" s="18">
        <f>FE28*VLOOKUP('Données projet'!$B$16,Paramètres!$A$1:$I$89,3,0)*VLOOKUP('Données projet'!$B$16,Paramètres!$A$1:$I$89,5,0)</f>
        <v>89.67000000000003</v>
      </c>
      <c r="FG28" s="14">
        <f t="shared" si="47"/>
        <v>24.4856199329822</v>
      </c>
      <c r="FH28" s="22">
        <f t="shared" si="22"/>
        <v>198.82103804994404</v>
      </c>
      <c r="FI28" s="62">
        <f t="shared" si="23"/>
        <v>486.04326027216626</v>
      </c>
      <c r="FJ28" s="62">
        <f ca="1">AVERAGE(OFFSET($FI$3,0,0,'Données projet'!$E$16+1,1))-AVERAGE(OFFSET($H$3,0,0,'Données projet'!$E$16+1,1))</f>
        <v>353.61481736740694</v>
      </c>
      <c r="FK28" s="62">
        <f t="shared" si="48"/>
        <v>244.7141066773861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26.923076923076923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36</v>
      </c>
      <c r="FX28" s="13">
        <f>VLOOKUP(A28,'Données projet'!$A$243:$I$263,9,0)</f>
        <v>3</v>
      </c>
      <c r="FY28" s="13">
        <f t="array" ref="FY28">INDEX(FX:FX,MIN(IF(ISNUMBER(FX28:FX224),ROW(FX28:FX224),"")))</f>
        <v>3</v>
      </c>
      <c r="FZ28" s="13">
        <f>IF('Données projet'!$A$244&gt;35,FZ27+FY28-GH27,IF(A28&lt;'Données projet'!$A$244,$FW$205^A28,IF(A28='Données projet'!$A$244,'Données projet'!$B$244,FZ27+FY28-GH27)))</f>
        <v>36</v>
      </c>
      <c r="GA28" s="18">
        <f>FZ28*VLOOKUP('Données projet'!$B$17,Paramètres!$A$1:$I$89,3,0)*VLOOKUP('Données projet'!$B$17,Paramètres!$A$1:$I$89,5,0)</f>
        <v>38.750399999999999</v>
      </c>
      <c r="GB28" s="14">
        <f t="shared" si="49"/>
        <v>11.666830981019302</v>
      </c>
      <c r="GC28" s="22">
        <f t="shared" si="25"/>
        <v>87.810010625275268</v>
      </c>
      <c r="GD28" s="62">
        <f t="shared" si="26"/>
        <v>375.03223284749748</v>
      </c>
      <c r="GE28" s="62">
        <f ca="1">AVERAGE(OFFSET($GD$3,0,0,'Données projet'!$E$17+1,1))-AVERAGE(OFFSET($H$3,0,0,'Données projet'!$E$17+1,1))</f>
        <v>280.20599015000306</v>
      </c>
      <c r="GF28" s="62">
        <f t="shared" si="50"/>
        <v>166.97658184507787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117.94871794871794</v>
      </c>
      <c r="GS28" s="13">
        <f>VLOOKUP(A28,'Données projet'!$A$269:$I$289,9,0)</f>
        <v>7.8205128205128203</v>
      </c>
      <c r="GT28" s="13">
        <f t="array" ref="GT28">INDEX(GS:GS,MIN(IF(ISNUMBER(GS28:GS224),ROW(GS28:GS224),"")))</f>
        <v>7.8205128205128203</v>
      </c>
      <c r="GU28" s="13">
        <f>IF('Données projet'!$A$270&gt;35,GU27+GT28-HC27,IF(A28&lt;'Données projet'!$A$270,$GR$205^A28,IF(A28='Données projet'!$A$270,'Données projet'!$B$270,GU27+GT28-HC27)))</f>
        <v>117.94871794871793</v>
      </c>
      <c r="GV28" s="18">
        <f>GU28*VLOOKUP('Données projet'!$B$18,Paramètres!$A$1:$I$89,3,0)*VLOOKUP('Données projet'!$B$18,Paramètres!$A$1:$I$89,5,0)</f>
        <v>79.11999999999999</v>
      </c>
      <c r="GW28" s="14">
        <f t="shared" si="51"/>
        <v>21.921881238270821</v>
      </c>
      <c r="GX28" s="22">
        <f t="shared" si="28"/>
        <v>175.98127648998829</v>
      </c>
      <c r="GY28" s="62">
        <f t="shared" si="29"/>
        <v>463.20349871221049</v>
      </c>
      <c r="GZ28" s="62">
        <f ca="1">AVERAGE(OFFSET($GY$3,0,0,'Données projet'!$E$18+1,1))-AVERAGE(OFFSET($H$3,0,0,'Données projet'!$E$18+1,1))</f>
        <v>291.18686311753402</v>
      </c>
      <c r="HA28" s="62">
        <f t="shared" si="52"/>
        <v>215.44422413249839</v>
      </c>
      <c r="HB28" s="16">
        <f>IF(ISNA(VLOOKUP(A28,'Données projet'!$A$269:$I$289,3,0)),0,VLOOKUP(A28,'Données projet'!$A$269:$I$289,3,0))</f>
        <v>1</v>
      </c>
      <c r="HC28" s="16">
        <f>IF(ISNA(VLOOKUP(A28,'Données projet'!$A$269:$I$289,4,0)),0,VLOOKUP(A28,'Données projet'!$A$269:$I$289,4,0))</f>
        <v>36.53846153846154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9">
        <f t="shared" si="1"/>
        <v>256.66666666666669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15.073076923076925</v>
      </c>
      <c r="N29" s="14">
        <f>IF('Données projet'!$A$36&gt;35,N28+M29-V28,IF(A29&lt;'Données projet'!$A$36,$K$205^A29,IF(A29='Données projet'!$A$36,'Données projet'!$B$36,N28+M29-V28)))</f>
        <v>164.92692307692306</v>
      </c>
      <c r="O29" s="14">
        <f>N29*VLOOKUP('Données projet'!$B$9,Paramètres!$A$1:$I$89,3,0)*VLOOKUP('Données projet'!$B$9,Paramètres!$A$1:$I$89,5,0)</f>
        <v>98.626300000000001</v>
      </c>
      <c r="P29" s="14">
        <f t="shared" si="33"/>
        <v>26.634469472597342</v>
      </c>
      <c r="Q29" s="22">
        <f t="shared" si="2"/>
        <v>218.16250683144037</v>
      </c>
      <c r="R29" s="62">
        <f t="shared" si="0"/>
        <v>506.60695127588485</v>
      </c>
      <c r="S29" s="62">
        <f ca="1">AVERAGE(OFFSET($R$3,0,0,'Données projet'!$E$9+1,1))-AVERAGE(OFFSET($H$3,0,0,'Données projet'!$E$9+1,1))</f>
        <v>260.02504691866199</v>
      </c>
      <c r="T29" s="62">
        <f t="shared" si="34"/>
        <v>270.11268336406368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14.680360818745113</v>
      </c>
      <c r="AB29" s="23">
        <f>EXP(-LN(2)/2)*AB28+(1-EXP(-LN(2)/2))/(LN(2)/2)*V29*Y29*VLOOKUP('Données projet'!$B$9,Paramètres!$A$1:$I$89,3,0)*0.475*44/12</f>
        <v>7.1049307155278969</v>
      </c>
      <c r="AC29" s="24">
        <f t="shared" si="3"/>
        <v>21.785291534273011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2">
        <f t="shared" si="5"/>
        <v>462.16625825405436</v>
      </c>
      <c r="AN29" s="62">
        <f ca="1">AVERAGE(OFFSET($AM$3,0,0,'Données projet'!$E$10+1,1))-AVERAGE(OFFSET($H$3,0,0,'Données projet'!$E$10+1,1))</f>
        <v>475.47920969424894</v>
      </c>
      <c r="AO29" s="62">
        <f t="shared" si="36"/>
        <v>271.73544012419364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69.669600000000003</v>
      </c>
      <c r="BF29" s="14">
        <f t="shared" si="37"/>
        <v>19.591385027476957</v>
      </c>
      <c r="BG29" s="22">
        <f t="shared" si="7"/>
        <v>155.46288225618903</v>
      </c>
      <c r="BH29" s="62">
        <f t="shared" si="8"/>
        <v>443.90732670063346</v>
      </c>
      <c r="BI29" s="62">
        <f ca="1">AVERAGE(OFFSET($BH$3,0,0,'Données projet'!$E$11+1,1))-AVERAGE(OFFSET($H$3,0,0,'Données projet'!$E$11+1,1))</f>
        <v>428.8489304403459</v>
      </c>
      <c r="BJ29" s="62">
        <f t="shared" si="38"/>
        <v>247.01165577562966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</v>
      </c>
      <c r="BY29" s="13">
        <f>IF('Données projet'!$A$114&gt;35,BY28+BX29-CG28,IF(A29&lt;'Données projet'!$A$114,$BV$205^A29,IF(A29='Données projet'!$A$114,'Données projet'!$B$114,BY28+BX29-CG28)))</f>
        <v>67.999999999999986</v>
      </c>
      <c r="BZ29" s="14">
        <f>BY29*VLOOKUP('Données projet'!$B$12,Paramètres!$A$1:$I$89,3,0)*VLOOKUP('Données projet'!$B$12,Paramètres!$A$1:$I$89,5,0)</f>
        <v>55.161599999999993</v>
      </c>
      <c r="CA29" s="14">
        <f t="shared" si="39"/>
        <v>15.939048410367359</v>
      </c>
      <c r="CB29" s="22">
        <f t="shared" si="10"/>
        <v>123.83362931472313</v>
      </c>
      <c r="CC29" s="62">
        <f t="shared" si="11"/>
        <v>412.27807375916757</v>
      </c>
      <c r="CD29" s="62">
        <f ca="1">AVERAGE(OFFSET($CC$3,0,0,'Données projet'!$E$12+1,1))-AVERAGE(OFFSET($H$3,0,0,'Données projet'!$E$12+1,1))</f>
        <v>236.22643401787644</v>
      </c>
      <c r="CE29" s="62">
        <f t="shared" si="40"/>
        <v>188.80444043778022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3.4425641025641025</v>
      </c>
      <c r="CT29" s="13">
        <f>IF('Données projet'!$A$140&gt;35,CT28+CS29-DB28,IF(A29&lt;'Données projet'!$A$140,$CQ$205^A29,IF(A29='Données projet'!$A$140,'Données projet'!$B$140,CT28+CS29-DB28)))</f>
        <v>55.650557381086244</v>
      </c>
      <c r="CU29" s="18">
        <f>CT29*VLOOKUP('Données projet'!$B$13,Paramètres!$A$1:$I$89,3,0)*VLOOKUP('Données projet'!$B$13,Paramètres!$A$1:$I$89,5,0)</f>
        <v>26.044460854348362</v>
      </c>
      <c r="CV29" s="14">
        <f t="shared" si="41"/>
        <v>8.2125526568599181</v>
      </c>
      <c r="CW29" s="22">
        <f t="shared" si="13"/>
        <v>59.664298532021071</v>
      </c>
      <c r="CX29" s="62">
        <f t="shared" si="14"/>
        <v>348.10874297646552</v>
      </c>
      <c r="CY29" s="62">
        <f ca="1">AVERAGE(OFFSET($CX$3,0,0,'Données projet'!$E$13+1,1))-AVERAGE(OFFSET($H$3,0,0,'Données projet'!$E$13+1,1))</f>
        <v>246.73711856758143</v>
      </c>
      <c r="CZ29" s="62">
        <f t="shared" si="42"/>
        <v>145.54897745089966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6.7948717948717956</v>
      </c>
      <c r="DO29" s="13">
        <f>IF('Données projet'!$A$166&gt;35,DO28+DN29-DW28,IF(A29&lt;'Données projet'!$A$166,$DL$205^A29,IF(A29='Données projet'!$A$166,'Données projet'!$B$166,DO28+DN29-DW28)))</f>
        <v>98.461538461538424</v>
      </c>
      <c r="DP29" s="18">
        <f>DO29*VLOOKUP('Données projet'!$B$14,Paramètres!$A$1:$I$89,3,0)*VLOOKUP('Données projet'!$B$14,Paramètres!$A$1:$I$89,5,0)</f>
        <v>102.91199999999996</v>
      </c>
      <c r="DQ29" s="14">
        <f t="shared" si="43"/>
        <v>27.65457819507073</v>
      </c>
      <c r="DR29" s="22">
        <f t="shared" si="16"/>
        <v>227.40345702308142</v>
      </c>
      <c r="DS29" s="62">
        <f t="shared" si="17"/>
        <v>515.84790146752584</v>
      </c>
      <c r="DT29" s="62">
        <f ca="1">AVERAGE(OFFSET($DS$3,0,0,'Données projet'!$E$14+1,1))-AVERAGE(OFFSET($H$3,0,0,'Données projet'!$E$14+1,1))</f>
        <v>493.70175665335978</v>
      </c>
      <c r="DU29" s="62">
        <f t="shared" si="44"/>
        <v>325.12357781685949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7.4</v>
      </c>
      <c r="EJ29" s="13">
        <f>IF('Données projet'!$A$192&gt;35,EJ28+EI29-ER28,IF(A29&lt;'Données projet'!$A$192,$EG$205^A29,IF(A29='Données projet'!$A$192,'Données projet'!$B$192,EJ28+EI29-ER28)))</f>
        <v>63.400000000000006</v>
      </c>
      <c r="EK29" s="18">
        <f>EJ29*VLOOKUP('Données projet'!$B$15,Paramètres!$A$1:$I$89,3,0)*VLOOKUP('Données projet'!$B$15,Paramètres!$A$1:$I$89,5,0)</f>
        <v>55.386240000000008</v>
      </c>
      <c r="EL29" s="14">
        <f t="shared" si="45"/>
        <v>15.996389447319554</v>
      </c>
      <c r="EM29" s="22">
        <f t="shared" si="19"/>
        <v>124.32474628741488</v>
      </c>
      <c r="EN29" s="62">
        <f t="shared" si="20"/>
        <v>412.76919073185934</v>
      </c>
      <c r="EO29" s="62">
        <f ca="1">AVERAGE(OFFSET($EN$3,0,0,'Données projet'!$E$15+1,1))-AVERAGE(OFFSET($H$3,0,0,'Données projet'!$E$15+1,1))</f>
        <v>202.86354781280403</v>
      </c>
      <c r="EP29" s="62">
        <f t="shared" si="46"/>
        <v>217.25323885665131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6.2820512820512819</v>
      </c>
      <c r="FE29" s="13">
        <f>IF('Données projet'!$A$218&gt;35,FE28+FD29-FM28,IF(A29&lt;'Données projet'!$A$218,$FB$205^A29,IF(A29='Données projet'!$A$218,'Données projet'!$B$218,FE28+FD29-FM28)))</f>
        <v>73.58974358974362</v>
      </c>
      <c r="FF29" s="18">
        <f>FE29*VLOOKUP('Données projet'!$B$16,Paramètres!$A$1:$I$89,3,0)*VLOOKUP('Données projet'!$B$16,Paramètres!$A$1:$I$89,5,0)</f>
        <v>70.028000000000034</v>
      </c>
      <c r="FG29" s="14">
        <f t="shared" si="47"/>
        <v>19.680410796372318</v>
      </c>
      <c r="FH29" s="22">
        <f t="shared" si="22"/>
        <v>156.24214880368183</v>
      </c>
      <c r="FI29" s="62">
        <f t="shared" si="23"/>
        <v>444.68659324812631</v>
      </c>
      <c r="FJ29" s="62">
        <f ca="1">AVERAGE(OFFSET($FI$3,0,0,'Données projet'!$E$16+1,1))-AVERAGE(OFFSET($H$3,0,0,'Données projet'!$E$16+1,1))</f>
        <v>353.61481736740694</v>
      </c>
      <c r="FK29" s="62">
        <f t="shared" si="48"/>
        <v>244.7141066773861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3.6</v>
      </c>
      <c r="FZ29" s="13">
        <f>IF('Données projet'!$A$244&gt;35,FZ28+FY29-GH28,IF(A29&lt;'Données projet'!$A$244,$FW$205^A29,IF(A29='Données projet'!$A$244,'Données projet'!$B$244,FZ28+FY29-GH28)))</f>
        <v>39.6</v>
      </c>
      <c r="GA29" s="18">
        <f>FZ29*VLOOKUP('Données projet'!$B$17,Paramètres!$A$1:$I$89,3,0)*VLOOKUP('Données projet'!$B$17,Paramètres!$A$1:$I$89,5,0)</f>
        <v>42.625439999999998</v>
      </c>
      <c r="GB29" s="14">
        <f t="shared" si="49"/>
        <v>12.691924583898647</v>
      </c>
      <c r="GC29" s="22">
        <f t="shared" si="25"/>
        <v>96.344409983623464</v>
      </c>
      <c r="GD29" s="62">
        <f t="shared" si="26"/>
        <v>384.78885442806791</v>
      </c>
      <c r="GE29" s="62">
        <f ca="1">AVERAGE(OFFSET($GD$3,0,0,'Données projet'!$E$17+1,1))-AVERAGE(OFFSET($H$3,0,0,'Données projet'!$E$17+1,1))</f>
        <v>280.20599015000306</v>
      </c>
      <c r="GF29" s="62">
        <f t="shared" si="50"/>
        <v>166.97658184507787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7.6923076923076907</v>
      </c>
      <c r="GU29" s="13">
        <f>IF('Données projet'!$A$270&gt;35,GU28+GT29-HC28,IF(A29&lt;'Données projet'!$A$270,$GR$205^A29,IF(A29='Données projet'!$A$270,'Données projet'!$B$270,GU28+GT29-HC28)))</f>
        <v>89.102564102564088</v>
      </c>
      <c r="GV29" s="18">
        <f>GU29*VLOOKUP('Données projet'!$B$18,Paramètres!$A$1:$I$89,3,0)*VLOOKUP('Données projet'!$B$18,Paramètres!$A$1:$I$89,5,0)</f>
        <v>59.769999999999989</v>
      </c>
      <c r="GW29" s="14">
        <f t="shared" si="51"/>
        <v>17.110104804168579</v>
      </c>
      <c r="GX29" s="22">
        <f t="shared" si="28"/>
        <v>133.89951586726025</v>
      </c>
      <c r="GY29" s="62">
        <f t="shared" si="29"/>
        <v>422.34396031170468</v>
      </c>
      <c r="GZ29" s="62">
        <f ca="1">AVERAGE(OFFSET($GY$3,0,0,'Données projet'!$E$18+1,1))-AVERAGE(OFFSET($H$3,0,0,'Données projet'!$E$18+1,1))</f>
        <v>291.18686311753402</v>
      </c>
      <c r="HA29" s="62">
        <f t="shared" si="52"/>
        <v>215.44422413249839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9">
        <f t="shared" si="1"/>
        <v>256.66666666666669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15.073076923076925</v>
      </c>
      <c r="N30" s="14">
        <f>IF('Données projet'!$A$36&gt;35,N29+M30-V29,IF(A30&lt;'Données projet'!$A$36,$K$205^A30,IF(A30='Données projet'!$A$36,'Données projet'!$B$36,N29+M30-V29)))</f>
        <v>180</v>
      </c>
      <c r="O30" s="14">
        <f>N30*VLOOKUP('Données projet'!$B$9,Paramètres!$A$1:$I$89,3,0)*VLOOKUP('Données projet'!$B$9,Paramètres!$A$1:$I$89,5,0)</f>
        <v>107.64</v>
      </c>
      <c r="P30" s="14">
        <f t="shared" si="33"/>
        <v>28.774250263353583</v>
      </c>
      <c r="Q30" s="22">
        <f t="shared" si="2"/>
        <v>237.58815254200749</v>
      </c>
      <c r="R30" s="62">
        <f t="shared" si="0"/>
        <v>527.25481920867423</v>
      </c>
      <c r="S30" s="62">
        <f ca="1">AVERAGE(OFFSET($R$3,0,0,'Données projet'!$E$9+1,1))-AVERAGE(OFFSET($H$3,0,0,'Données projet'!$E$9+1,1))</f>
        <v>260.02504691866199</v>
      </c>
      <c r="T30" s="62">
        <f t="shared" si="34"/>
        <v>270.11268336406368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14.278925580149904</v>
      </c>
      <c r="AB30" s="23">
        <f>EXP(-LN(2)/2)*AB29+(1-EXP(-LN(2)/2))/(LN(2)/2)*V30*Y30*VLOOKUP('Données projet'!$B$9,Paramètres!$A$1:$I$89,3,0)*0.475*44/12</f>
        <v>5.0239446888103654</v>
      </c>
      <c r="AC30" s="24">
        <f t="shared" si="3"/>
        <v>19.30287026896027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2">
        <f t="shared" si="5"/>
        <v>478.76653744933498</v>
      </c>
      <c r="AN30" s="62">
        <f ca="1">AVERAGE(OFFSET($AM$3,0,0,'Données projet'!$E$10+1,1))-AVERAGE(OFFSET($H$3,0,0,'Données projet'!$E$10+1,1))</f>
        <v>475.47920969424894</v>
      </c>
      <c r="AO30" s="62">
        <f t="shared" si="36"/>
        <v>271.73544012419364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76.003200000000007</v>
      </c>
      <c r="BF30" s="14">
        <f t="shared" si="37"/>
        <v>21.157049992000456</v>
      </c>
      <c r="BG30" s="22">
        <f t="shared" si="7"/>
        <v>169.22076873606747</v>
      </c>
      <c r="BH30" s="62">
        <f t="shared" si="8"/>
        <v>458.88743540273413</v>
      </c>
      <c r="BI30" s="62">
        <f ca="1">AVERAGE(OFFSET($BH$3,0,0,'Données projet'!$E$11+1,1))-AVERAGE(OFFSET($H$3,0,0,'Données projet'!$E$11+1,1))</f>
        <v>428.8489304403459</v>
      </c>
      <c r="BJ30" s="62">
        <f t="shared" si="38"/>
        <v>247.01165577562966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</v>
      </c>
      <c r="BY30" s="13">
        <f>IF('Données projet'!$A$114&gt;35,BY29+BX30-CG29,IF(A30&lt;'Données projet'!$A$114,$BV$205^A30,IF(A30='Données projet'!$A$114,'Données projet'!$B$114,BY29+BX30-CG29)))</f>
        <v>71.999999999999986</v>
      </c>
      <c r="BZ30" s="14">
        <f>BY30*VLOOKUP('Données projet'!$B$12,Paramètres!$A$1:$I$89,3,0)*VLOOKUP('Données projet'!$B$12,Paramètres!$A$1:$I$89,5,0)</f>
        <v>58.406399999999991</v>
      </c>
      <c r="CA30" s="14">
        <f t="shared" si="39"/>
        <v>16.764727871227809</v>
      </c>
      <c r="CB30" s="22">
        <f t="shared" si="10"/>
        <v>130.92304770905506</v>
      </c>
      <c r="CC30" s="62">
        <f t="shared" si="11"/>
        <v>420.58971437572177</v>
      </c>
      <c r="CD30" s="62">
        <f ca="1">AVERAGE(OFFSET($CC$3,0,0,'Données projet'!$E$12+1,1))-AVERAGE(OFFSET($H$3,0,0,'Données projet'!$E$12+1,1))</f>
        <v>236.22643401787644</v>
      </c>
      <c r="CE30" s="62">
        <f t="shared" si="40"/>
        <v>188.80444043778022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3.4425641025641025</v>
      </c>
      <c r="CT30" s="13">
        <f>IF('Données projet'!$A$140&gt;35,CT29+CS30-DB29,IF(A30&lt;'Données projet'!$A$140,$CQ$205^A30,IF(A30='Données projet'!$A$140,'Données projet'!$B$140,CT29+CS30-DB29)))</f>
        <v>64.953560365747308</v>
      </c>
      <c r="CU30" s="18">
        <f>CT30*VLOOKUP('Données projet'!$B$13,Paramètres!$A$1:$I$89,3,0)*VLOOKUP('Données projet'!$B$13,Paramètres!$A$1:$I$89,5,0)</f>
        <v>30.398266251169741</v>
      </c>
      <c r="CV30" s="14">
        <f t="shared" si="41"/>
        <v>9.4145003824463398</v>
      </c>
      <c r="CW30" s="22">
        <f t="shared" si="13"/>
        <v>69.340568553547996</v>
      </c>
      <c r="CX30" s="62">
        <f t="shared" si="14"/>
        <v>359.00723522021468</v>
      </c>
      <c r="CY30" s="62">
        <f ca="1">AVERAGE(OFFSET($CX$3,0,0,'Données projet'!$E$13+1,1))-AVERAGE(OFFSET($H$3,0,0,'Données projet'!$E$13+1,1))</f>
        <v>246.73711856758143</v>
      </c>
      <c r="CZ30" s="62">
        <f t="shared" si="42"/>
        <v>145.54897745089966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6.7948717948717956</v>
      </c>
      <c r="DO30" s="13">
        <f>IF('Données projet'!$A$166&gt;35,DO29+DN30-DW29,IF(A30&lt;'Données projet'!$A$166,$DL$205^A30,IF(A30='Données projet'!$A$166,'Données projet'!$B$166,DO29+DN30-DW29)))</f>
        <v>105.25641025641022</v>
      </c>
      <c r="DP30" s="18">
        <f>DO30*VLOOKUP('Données projet'!$B$14,Paramètres!$A$1:$I$89,3,0)*VLOOKUP('Données projet'!$B$14,Paramètres!$A$1:$I$89,5,0)</f>
        <v>110.01399999999998</v>
      </c>
      <c r="DQ30" s="14">
        <f t="shared" si="43"/>
        <v>29.334283057323191</v>
      </c>
      <c r="DR30" s="22">
        <f t="shared" si="16"/>
        <v>242.69825965817117</v>
      </c>
      <c r="DS30" s="62">
        <f t="shared" si="17"/>
        <v>532.36492632483782</v>
      </c>
      <c r="DT30" s="62">
        <f ca="1">AVERAGE(OFFSET($DS$3,0,0,'Données projet'!$E$14+1,1))-AVERAGE(OFFSET($H$3,0,0,'Données projet'!$E$14+1,1))</f>
        <v>493.70175665335978</v>
      </c>
      <c r="DU30" s="62">
        <f t="shared" si="44"/>
        <v>325.12357781685949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7.4</v>
      </c>
      <c r="EJ30" s="13">
        <f>IF('Données projet'!$A$192&gt;35,EJ29+EI30-ER29,IF(A30&lt;'Données projet'!$A$192,$EG$205^A30,IF(A30='Données projet'!$A$192,'Données projet'!$B$192,EJ29+EI30-ER29)))</f>
        <v>70.800000000000011</v>
      </c>
      <c r="EK30" s="18">
        <f>EJ30*VLOOKUP('Données projet'!$B$15,Paramètres!$A$1:$I$89,3,0)*VLOOKUP('Données projet'!$B$15,Paramètres!$A$1:$I$89,5,0)</f>
        <v>61.850880000000018</v>
      </c>
      <c r="EL30" s="14">
        <f t="shared" si="45"/>
        <v>17.635398883369188</v>
      </c>
      <c r="EM30" s="22">
        <f t="shared" si="19"/>
        <v>138.43860238853472</v>
      </c>
      <c r="EN30" s="62">
        <f t="shared" si="20"/>
        <v>428.1052690552014</v>
      </c>
      <c r="EO30" s="62">
        <f ca="1">AVERAGE(OFFSET($EN$3,0,0,'Données projet'!$E$15+1,1))-AVERAGE(OFFSET($H$3,0,0,'Données projet'!$E$15+1,1))</f>
        <v>202.86354781280403</v>
      </c>
      <c r="EP30" s="62">
        <f t="shared" si="46"/>
        <v>217.25323885665131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6.2820512820512819</v>
      </c>
      <c r="FE30" s="13">
        <f>IF('Données projet'!$A$218&gt;35,FE29+FD30-FM29,IF(A30&lt;'Données projet'!$A$218,$FB$205^A30,IF(A30='Données projet'!$A$218,'Données projet'!$B$218,FE29+FD30-FM29)))</f>
        <v>79.871794871794904</v>
      </c>
      <c r="FF30" s="18">
        <f>FE30*VLOOKUP('Données projet'!$B$16,Paramètres!$A$1:$I$89,3,0)*VLOOKUP('Données projet'!$B$16,Paramètres!$A$1:$I$89,5,0)</f>
        <v>76.006000000000029</v>
      </c>
      <c r="FG30" s="14">
        <f t="shared" si="47"/>
        <v>21.157738701449713</v>
      </c>
      <c r="FH30" s="22">
        <f t="shared" si="22"/>
        <v>169.22684490502496</v>
      </c>
      <c r="FI30" s="62">
        <f t="shared" si="23"/>
        <v>458.89351157169165</v>
      </c>
      <c r="FJ30" s="62">
        <f ca="1">AVERAGE(OFFSET($FI$3,0,0,'Données projet'!$E$16+1,1))-AVERAGE(OFFSET($H$3,0,0,'Données projet'!$E$16+1,1))</f>
        <v>353.61481736740694</v>
      </c>
      <c r="FK30" s="62">
        <f t="shared" si="48"/>
        <v>244.7141066773861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3.6</v>
      </c>
      <c r="FZ30" s="13">
        <f>IF('Données projet'!$A$244&gt;35,FZ29+FY30-GH29,IF(A30&lt;'Données projet'!$A$244,$FW$205^A30,IF(A30='Données projet'!$A$244,'Données projet'!$B$244,FZ29+FY30-GH29)))</f>
        <v>43.2</v>
      </c>
      <c r="GA30" s="18">
        <f>FZ30*VLOOKUP('Données projet'!$B$17,Paramètres!$A$1:$I$89,3,0)*VLOOKUP('Données projet'!$B$17,Paramètres!$A$1:$I$89,5,0)</f>
        <v>46.500480000000003</v>
      </c>
      <c r="GB30" s="14">
        <f t="shared" si="49"/>
        <v>13.706212324429247</v>
      </c>
      <c r="GC30" s="22">
        <f t="shared" si="25"/>
        <v>104.85998913171427</v>
      </c>
      <c r="GD30" s="62">
        <f t="shared" si="26"/>
        <v>394.52665579838094</v>
      </c>
      <c r="GE30" s="62">
        <f ca="1">AVERAGE(OFFSET($GD$3,0,0,'Données projet'!$E$17+1,1))-AVERAGE(OFFSET($H$3,0,0,'Données projet'!$E$17+1,1))</f>
        <v>280.20599015000306</v>
      </c>
      <c r="GF30" s="62">
        <f t="shared" si="50"/>
        <v>166.97658184507787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7.6923076923076907</v>
      </c>
      <c r="GU30" s="13">
        <f>IF('Données projet'!$A$270&gt;35,GU29+GT30-HC29,IF(A30&lt;'Données projet'!$A$270,$GR$205^A30,IF(A30='Données projet'!$A$270,'Données projet'!$B$270,GU29+GT30-HC29)))</f>
        <v>96.794871794871781</v>
      </c>
      <c r="GV30" s="18">
        <f>GU30*VLOOKUP('Données projet'!$B$18,Paramètres!$A$1:$I$89,3,0)*VLOOKUP('Données projet'!$B$18,Paramètres!$A$1:$I$89,5,0)</f>
        <v>64.929999999999993</v>
      </c>
      <c r="GW30" s="14">
        <f t="shared" si="51"/>
        <v>18.408941721487473</v>
      </c>
      <c r="GX30" s="22">
        <f t="shared" si="28"/>
        <v>145.14865683159067</v>
      </c>
      <c r="GY30" s="62">
        <f t="shared" si="29"/>
        <v>434.81532349825738</v>
      </c>
      <c r="GZ30" s="62">
        <f ca="1">AVERAGE(OFFSET($GY$3,0,0,'Données projet'!$E$18+1,1))-AVERAGE(OFFSET($H$3,0,0,'Données projet'!$E$18+1,1))</f>
        <v>291.18686311753402</v>
      </c>
      <c r="HA30" s="62">
        <f t="shared" si="52"/>
        <v>215.44422413249839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9">
        <f t="shared" si="1"/>
        <v>256.66666666666669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15.073076923076925</v>
      </c>
      <c r="N31" s="14">
        <f>IF('Données projet'!$A$36&gt;35,N30+M31-V30,IF(A31&lt;'Données projet'!$A$36,$K$205^A31,IF(A31='Données projet'!$A$36,'Données projet'!$B$36,N30+M31-V30)))</f>
        <v>195.07307692307694</v>
      </c>
      <c r="O31" s="14">
        <f>N31*VLOOKUP('Données projet'!$B$9,Paramètres!$A$1:$I$89,3,0)*VLOOKUP('Données projet'!$B$9,Paramètres!$A$1:$I$89,5,0)</f>
        <v>116.65370000000001</v>
      </c>
      <c r="P31" s="14">
        <f t="shared" si="33"/>
        <v>30.893249762406356</v>
      </c>
      <c r="Q31" s="22">
        <f t="shared" si="2"/>
        <v>256.9776041695244</v>
      </c>
      <c r="R31" s="62">
        <f t="shared" si="0"/>
        <v>547.8664930584132</v>
      </c>
      <c r="S31" s="62">
        <f ca="1">AVERAGE(OFFSET($R$3,0,0,'Données projet'!$E$9+1,1))-AVERAGE(OFFSET($H$3,0,0,'Données projet'!$E$9+1,1))</f>
        <v>260.02504691866199</v>
      </c>
      <c r="T31" s="62">
        <f t="shared" si="34"/>
        <v>270.11268336406368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13.888467609264644</v>
      </c>
      <c r="AB31" s="23">
        <f>EXP(-LN(2)/2)*AB30+(1-EXP(-LN(2)/2))/(LN(2)/2)*V31*Y31*VLOOKUP('Données projet'!$B$9,Paramètres!$A$1:$I$89,3,0)*0.475*44/12</f>
        <v>3.5524653577639489</v>
      </c>
      <c r="AC31" s="24">
        <f t="shared" si="3"/>
        <v>17.440932967028594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2">
        <f t="shared" si="5"/>
        <v>495.33767011840803</v>
      </c>
      <c r="AN31" s="62">
        <f ca="1">AVERAGE(OFFSET($AM$3,0,0,'Données projet'!$E$10+1,1))-AVERAGE(OFFSET($H$3,0,0,'Données projet'!$E$10+1,1))</f>
        <v>475.47920969424894</v>
      </c>
      <c r="AO31" s="62">
        <f t="shared" si="36"/>
        <v>271.73544012419364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82.336799999999997</v>
      </c>
      <c r="BF31" s="14">
        <f t="shared" si="37"/>
        <v>22.707582950885364</v>
      </c>
      <c r="BG31" s="22">
        <f t="shared" si="7"/>
        <v>182.95230030612535</v>
      </c>
      <c r="BH31" s="62">
        <f t="shared" si="8"/>
        <v>473.84118919501418</v>
      </c>
      <c r="BI31" s="62">
        <f ca="1">AVERAGE(OFFSET($BH$3,0,0,'Données projet'!$E$11+1,1))-AVERAGE(OFFSET($H$3,0,0,'Données projet'!$E$11+1,1))</f>
        <v>428.8489304403459</v>
      </c>
      <c r="BJ31" s="62">
        <f t="shared" si="38"/>
        <v>247.01165577562966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</v>
      </c>
      <c r="BY31" s="13">
        <f>IF('Données projet'!$A$114&gt;35,BY30+BX31-CG30,IF(A31&lt;'Données projet'!$A$114,$BV$205^A31,IF(A31='Données projet'!$A$114,'Données projet'!$B$114,BY30+BX31-CG30)))</f>
        <v>75.999999999999986</v>
      </c>
      <c r="BZ31" s="14">
        <f>BY31*VLOOKUP('Données projet'!$B$12,Paramètres!$A$1:$I$89,3,0)*VLOOKUP('Données projet'!$B$12,Paramètres!$A$1:$I$89,5,0)</f>
        <v>61.651199999999996</v>
      </c>
      <c r="CA31" s="14">
        <f t="shared" si="39"/>
        <v>17.585082273674896</v>
      </c>
      <c r="CB31" s="22">
        <f t="shared" si="10"/>
        <v>138.00319162665042</v>
      </c>
      <c r="CC31" s="62">
        <f t="shared" si="11"/>
        <v>428.89208051553931</v>
      </c>
      <c r="CD31" s="62">
        <f ca="1">AVERAGE(OFFSET($CC$3,0,0,'Données projet'!$E$12+1,1))-AVERAGE(OFFSET($H$3,0,0,'Données projet'!$E$12+1,1))</f>
        <v>236.22643401787644</v>
      </c>
      <c r="CE31" s="62">
        <f t="shared" si="40"/>
        <v>188.80444043778022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3.4425641025641025</v>
      </c>
      <c r="CT31" s="13">
        <f>IF('Données projet'!$A$140&gt;35,CT30+CS31-DB30,IF(A31&lt;'Données projet'!$A$140,$CQ$205^A31,IF(A31='Données projet'!$A$140,'Données projet'!$B$140,CT30+CS31-DB30)))</f>
        <v>75.81172952673181</v>
      </c>
      <c r="CU31" s="18">
        <f>CT31*VLOOKUP('Données projet'!$B$13,Paramètres!$A$1:$I$89,3,0)*VLOOKUP('Données projet'!$B$13,Paramètres!$A$1:$I$89,5,0)</f>
        <v>35.479889418510488</v>
      </c>
      <c r="CV31" s="14">
        <f t="shared" si="41"/>
        <v>10.7923591061602</v>
      </c>
      <c r="CW31" s="22">
        <f t="shared" si="13"/>
        <v>80.590832847134777</v>
      </c>
      <c r="CX31" s="62">
        <f t="shared" si="14"/>
        <v>371.47972173602363</v>
      </c>
      <c r="CY31" s="62">
        <f ca="1">AVERAGE(OFFSET($CX$3,0,0,'Données projet'!$E$13+1,1))-AVERAGE(OFFSET($H$3,0,0,'Données projet'!$E$13+1,1))</f>
        <v>246.73711856758143</v>
      </c>
      <c r="CZ31" s="62">
        <f t="shared" si="42"/>
        <v>145.54897745089966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6.7948717948717956</v>
      </c>
      <c r="DO31" s="13">
        <f>IF('Données projet'!$A$166&gt;35,DO30+DN31-DW30,IF(A31&lt;'Données projet'!$A$166,$DL$205^A31,IF(A31='Données projet'!$A$166,'Données projet'!$B$166,DO30+DN31-DW30)))</f>
        <v>112.05128205128202</v>
      </c>
      <c r="DP31" s="18">
        <f>DO31*VLOOKUP('Données projet'!$B$14,Paramètres!$A$1:$I$89,3,0)*VLOOKUP('Données projet'!$B$14,Paramètres!$A$1:$I$89,5,0)</f>
        <v>117.11599999999999</v>
      </c>
      <c r="DQ31" s="14">
        <f t="shared" si="43"/>
        <v>31.001404275140228</v>
      </c>
      <c r="DR31" s="22">
        <f t="shared" si="16"/>
        <v>257.97114577920252</v>
      </c>
      <c r="DS31" s="62">
        <f t="shared" si="17"/>
        <v>548.86003466809143</v>
      </c>
      <c r="DT31" s="62">
        <f ca="1">AVERAGE(OFFSET($DS$3,0,0,'Données projet'!$E$14+1,1))-AVERAGE(OFFSET($H$3,0,0,'Données projet'!$E$14+1,1))</f>
        <v>493.70175665335978</v>
      </c>
      <c r="DU31" s="62">
        <f t="shared" si="44"/>
        <v>325.12357781685949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7.4</v>
      </c>
      <c r="EJ31" s="13">
        <f>IF('Données projet'!$A$192&gt;35,EJ30+EI31-ER30,IF(A31&lt;'Données projet'!$A$192,$EG$205^A31,IF(A31='Données projet'!$A$192,'Données projet'!$B$192,EJ30+EI31-ER30)))</f>
        <v>78.200000000000017</v>
      </c>
      <c r="EK31" s="18">
        <f>EJ31*VLOOKUP('Données projet'!$B$15,Paramètres!$A$1:$I$89,3,0)*VLOOKUP('Données projet'!$B$15,Paramètres!$A$1:$I$89,5,0)</f>
        <v>68.315520000000021</v>
      </c>
      <c r="EL31" s="14">
        <f t="shared" si="45"/>
        <v>19.254550643039188</v>
      </c>
      <c r="EM31" s="22">
        <f t="shared" si="19"/>
        <v>152.51787303662658</v>
      </c>
      <c r="EN31" s="62">
        <f t="shared" si="20"/>
        <v>443.40676192551541</v>
      </c>
      <c r="EO31" s="62">
        <f ca="1">AVERAGE(OFFSET($EN$3,0,0,'Données projet'!$E$15+1,1))-AVERAGE(OFFSET($H$3,0,0,'Données projet'!$E$15+1,1))</f>
        <v>202.86354781280403</v>
      </c>
      <c r="EP31" s="62">
        <f t="shared" si="46"/>
        <v>217.25323885665131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6.2820512820512819</v>
      </c>
      <c r="FE31" s="13">
        <f>IF('Données projet'!$A$218&gt;35,FE30+FD31-FM30,IF(A31&lt;'Données projet'!$A$218,$FB$205^A31,IF(A31='Données projet'!$A$218,'Données projet'!$B$218,FE30+FD31-FM30)))</f>
        <v>86.153846153846189</v>
      </c>
      <c r="FF31" s="18">
        <f>FE31*VLOOKUP('Données projet'!$B$16,Paramètres!$A$1:$I$89,3,0)*VLOOKUP('Données projet'!$B$16,Paramètres!$A$1:$I$89,5,0)</f>
        <v>81.984000000000037</v>
      </c>
      <c r="FG31" s="14">
        <f t="shared" si="47"/>
        <v>22.621588649697724</v>
      </c>
      <c r="FH31" s="22">
        <f t="shared" si="22"/>
        <v>182.18806689822361</v>
      </c>
      <c r="FI31" s="62">
        <f t="shared" si="23"/>
        <v>473.07695578711247</v>
      </c>
      <c r="FJ31" s="62">
        <f ca="1">AVERAGE(OFFSET($FI$3,0,0,'Données projet'!$E$16+1,1))-AVERAGE(OFFSET($H$3,0,0,'Données projet'!$E$16+1,1))</f>
        <v>353.61481736740694</v>
      </c>
      <c r="FK31" s="62">
        <f t="shared" si="48"/>
        <v>244.7141066773861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3.6</v>
      </c>
      <c r="FZ31" s="13">
        <f>IF('Données projet'!$A$244&gt;35,FZ30+FY31-GH30,IF(A31&lt;'Données projet'!$A$244,$FW$205^A31,IF(A31='Données projet'!$A$244,'Données projet'!$B$244,FZ30+FY31-GH30)))</f>
        <v>46.800000000000004</v>
      </c>
      <c r="GA31" s="18">
        <f>FZ31*VLOOKUP('Données projet'!$B$17,Paramètres!$A$1:$I$89,3,0)*VLOOKUP('Données projet'!$B$17,Paramètres!$A$1:$I$89,5,0)</f>
        <v>50.375520000000002</v>
      </c>
      <c r="GB31" s="14">
        <f t="shared" si="49"/>
        <v>14.710697068688855</v>
      </c>
      <c r="GC31" s="22">
        <f t="shared" si="25"/>
        <v>113.3584947279664</v>
      </c>
      <c r="GD31" s="62">
        <f t="shared" si="26"/>
        <v>404.24738361685525</v>
      </c>
      <c r="GE31" s="62">
        <f ca="1">AVERAGE(OFFSET($GD$3,0,0,'Données projet'!$E$17+1,1))-AVERAGE(OFFSET($H$3,0,0,'Données projet'!$E$17+1,1))</f>
        <v>280.20599015000306</v>
      </c>
      <c r="GF31" s="62">
        <f t="shared" si="50"/>
        <v>166.97658184507787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7.6923076923076907</v>
      </c>
      <c r="GU31" s="13">
        <f>IF('Données projet'!$A$270&gt;35,GU30+GT31-HC30,IF(A31&lt;'Données projet'!$A$270,$GR$205^A31,IF(A31='Données projet'!$A$270,'Données projet'!$B$270,GU30+GT31-HC30)))</f>
        <v>104.48717948717947</v>
      </c>
      <c r="GV31" s="18">
        <f>GU31*VLOOKUP('Données projet'!$B$18,Paramètres!$A$1:$I$89,3,0)*VLOOKUP('Données projet'!$B$18,Paramètres!$A$1:$I$89,5,0)</f>
        <v>70.089999999999989</v>
      </c>
      <c r="GW31" s="14">
        <f t="shared" si="51"/>
        <v>19.695806071745888</v>
      </c>
      <c r="GX31" s="22">
        <f t="shared" si="28"/>
        <v>156.3769455749574</v>
      </c>
      <c r="GY31" s="62">
        <f t="shared" si="29"/>
        <v>447.26583446384626</v>
      </c>
      <c r="GZ31" s="62">
        <f ca="1">AVERAGE(OFFSET($GY$3,0,0,'Données projet'!$E$18+1,1))-AVERAGE(OFFSET($H$3,0,0,'Données projet'!$E$18+1,1))</f>
        <v>291.18686311753402</v>
      </c>
      <c r="HA31" s="62">
        <f t="shared" si="52"/>
        <v>215.44422413249839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9">
        <f t="shared" si="1"/>
        <v>256.66666666666669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>
        <f>VLOOKUP(A32,'Données projet'!$A$35:$I$55,2,0)</f>
        <v>210.14615384615385</v>
      </c>
      <c r="L32" s="13">
        <f>VLOOKUP(A32,'Données projet'!$A$35:$I$55,9,0)</f>
        <v>15.073076923076925</v>
      </c>
      <c r="M32" s="13">
        <f t="array" ref="M32">INDEX(L:L,MIN(IF(ISNUMBER(L32:L228),ROW(L32:L228),"")))</f>
        <v>15.073076923076925</v>
      </c>
      <c r="N32" s="14">
        <f>IF('Données projet'!$A$36&gt;35,N31+M32-V31,IF(A32&lt;'Données projet'!$A$36,$K$205^A32,IF(A32='Données projet'!$A$36,'Données projet'!$B$36,N31+M32-V31)))</f>
        <v>210.14615384615388</v>
      </c>
      <c r="O32" s="14">
        <f>N32*VLOOKUP('Données projet'!$B$9,Paramètres!$A$1:$I$89,3,0)*VLOOKUP('Données projet'!$B$9,Paramètres!$A$1:$I$89,5,0)</f>
        <v>125.66740000000003</v>
      </c>
      <c r="P32" s="14">
        <f t="shared" si="33"/>
        <v>32.993256286656127</v>
      </c>
      <c r="Q32" s="22">
        <f t="shared" si="2"/>
        <v>276.33397636592611</v>
      </c>
      <c r="R32" s="62">
        <f t="shared" si="0"/>
        <v>568.4450874770373</v>
      </c>
      <c r="S32" s="62">
        <f ca="1">AVERAGE(OFFSET($R$3,0,0,'Données projet'!$E$9+1,1))-AVERAGE(OFFSET($H$3,0,0,'Données projet'!$E$9+1,1))</f>
        <v>260.02504691866199</v>
      </c>
      <c r="T32" s="62">
        <f t="shared" si="34"/>
        <v>270.11268336406368</v>
      </c>
      <c r="U32" s="16">
        <f>IF(ISNA(VLOOKUP(A32,'Données projet'!$A$35:$I$55,3,0)),0,VLOOKUP(A32,'Données projet'!$A$35:$I$55,3,0))</f>
        <v>3</v>
      </c>
      <c r="V32" s="16">
        <f>IF(ISNA(VLOOKUP(A32,'Données projet'!$A$35:$I$55,4,0)),0,VLOOKUP(A32,'Données projet'!$A$35:$I$55,4,0))</f>
        <v>47.661538461538463</v>
      </c>
      <c r="W32" s="17">
        <f>IF(ISNA(VLOOKUP(A32,'Données projet'!$A$35:$I$55,5,0)),0%,VLOOKUP(A32,'Données projet'!$A$35:$I$55,5,0)*VLOOKUP('Données projet'!$B$9,Paramètres!$A$1:$I$89,7,0))</f>
        <v>0.27</v>
      </c>
      <c r="X32" s="17">
        <f>IF(ISNA(VLOOKUP(A32,'Données projet'!$A$35:$I$55,6,0)),0%,VLOOKUP(A32,'Données projet'!$A$35:$I$55,6,0)*VLOOKUP('Données projet'!$B$9,Paramètres!$A$1:$I$89,7,0))</f>
        <v>9.0000000000000011E-2</v>
      </c>
      <c r="Y32" s="17">
        <f>IF(ISNA(VLOOKUP(A32,'Données projet'!$A$35:$I$55,7,0)),0%,VLOOKUP(A32,'Données projet'!$A$35:$I$55,7,0))</f>
        <v>0.2</v>
      </c>
      <c r="Z32" s="23">
        <f>EXP(-LN(2)/35)*Z31+(1-EXP(-LN(2)/35))/(LN(2)/35)*V32*W32*VLOOKUP('Données projet'!$B$9,Paramètres!$A$1:$I$89,3,0)*0.475*44/12</f>
        <v>10.208486560452011</v>
      </c>
      <c r="AA32" s="23">
        <f>EXP(-LN(2)/25)*AA31+(1-EXP(-LN(2)/25))/(LN(2)/25)*Calculateur!V32*Calculateur!X32*VLOOKUP('Données projet'!$B$9,Paramètres!$A$1:$I$89,3,0)*0.475*44/12</f>
        <v>16.89811735183493</v>
      </c>
      <c r="AB32" s="23">
        <f>EXP(-LN(2)/2)*AB31+(1-EXP(-LN(2)/2))/(LN(2)/2)*V32*Y32*VLOOKUP('Données projet'!$B$9,Paramètres!$A$1:$I$89,3,0)*0.475*44/12</f>
        <v>8.9660587546412494</v>
      </c>
      <c r="AC32" s="24">
        <f t="shared" si="3"/>
        <v>36.072662666928196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2">
        <f t="shared" si="5"/>
        <v>511.88215321979021</v>
      </c>
      <c r="AN32" s="62">
        <f ca="1">AVERAGE(OFFSET($AM$3,0,0,'Données projet'!$E$10+1,1))-AVERAGE(OFFSET($H$3,0,0,'Données projet'!$E$10+1,1))</f>
        <v>475.47920969424894</v>
      </c>
      <c r="AO32" s="62">
        <f t="shared" si="36"/>
        <v>271.73544012419364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88.670400000000001</v>
      </c>
      <c r="BF32" s="14">
        <f t="shared" si="37"/>
        <v>24.244280250395512</v>
      </c>
      <c r="BG32" s="22">
        <f t="shared" si="7"/>
        <v>196.65973476943884</v>
      </c>
      <c r="BH32" s="62">
        <f t="shared" si="8"/>
        <v>488.77084588054998</v>
      </c>
      <c r="BI32" s="62">
        <f ca="1">AVERAGE(OFFSET($BH$3,0,0,'Données projet'!$E$11+1,1))-AVERAGE(OFFSET($H$3,0,0,'Données projet'!$E$11+1,1))</f>
        <v>428.8489304403459</v>
      </c>
      <c r="BJ32" s="62">
        <f t="shared" si="38"/>
        <v>247.01165577562966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</v>
      </c>
      <c r="BY32" s="13">
        <f>IF('Données projet'!$A$114&gt;35,BY31+BX32-CG31,IF(A32&lt;'Données projet'!$A$114,$BV$205^A32,IF(A32='Données projet'!$A$114,'Données projet'!$B$114,BY31+BX32-CG31)))</f>
        <v>79.999999999999986</v>
      </c>
      <c r="BZ32" s="14">
        <f>BY32*VLOOKUP('Données projet'!$B$12,Paramètres!$A$1:$I$89,3,0)*VLOOKUP('Données projet'!$B$12,Paramètres!$A$1:$I$89,5,0)</f>
        <v>64.895999999999987</v>
      </c>
      <c r="CA32" s="14">
        <f t="shared" si="39"/>
        <v>18.400423846102949</v>
      </c>
      <c r="CB32" s="22">
        <f t="shared" si="10"/>
        <v>145.07460486529592</v>
      </c>
      <c r="CC32" s="62">
        <f t="shared" si="11"/>
        <v>437.1857159764071</v>
      </c>
      <c r="CD32" s="62">
        <f ca="1">AVERAGE(OFFSET($CC$3,0,0,'Données projet'!$E$12+1,1))-AVERAGE(OFFSET($H$3,0,0,'Données projet'!$E$12+1,1))</f>
        <v>236.22643401787644</v>
      </c>
      <c r="CE32" s="62">
        <f t="shared" si="40"/>
        <v>188.80444043778022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3.4425641025641025</v>
      </c>
      <c r="CT32" s="13">
        <f>IF('Données projet'!$A$140&gt;35,CT31+CS32-DB31,IF(A32&lt;'Données projet'!$A$140,$CQ$205^A32,IF(A32='Données projet'!$A$140,'Données projet'!$B$140,CT31+CS32-DB31)))</f>
        <v>88.485039179856727</v>
      </c>
      <c r="CU32" s="18">
        <f>CT32*VLOOKUP('Données projet'!$B$13,Paramètres!$A$1:$I$89,3,0)*VLOOKUP('Données projet'!$B$13,Paramètres!$A$1:$I$89,5,0)</f>
        <v>41.410998336172952</v>
      </c>
      <c r="CV32" s="14">
        <f t="shared" si="41"/>
        <v>12.371874273168087</v>
      </c>
      <c r="CW32" s="22">
        <f t="shared" si="13"/>
        <v>93.671836461268967</v>
      </c>
      <c r="CX32" s="62">
        <f t="shared" si="14"/>
        <v>385.78294757238012</v>
      </c>
      <c r="CY32" s="62">
        <f ca="1">AVERAGE(OFFSET($CX$3,0,0,'Données projet'!$E$13+1,1))-AVERAGE(OFFSET($H$3,0,0,'Données projet'!$E$13+1,1))</f>
        <v>246.73711856758143</v>
      </c>
      <c r="CZ32" s="62">
        <f t="shared" si="42"/>
        <v>145.54897745089966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6.7948717948717956</v>
      </c>
      <c r="DO32" s="13">
        <f>IF('Données projet'!$A$166&gt;35,DO31+DN32-DW31,IF(A32&lt;'Données projet'!$A$166,$DL$205^A32,IF(A32='Données projet'!$A$166,'Données projet'!$B$166,DO31+DN32-DW31)))</f>
        <v>118.84615384615381</v>
      </c>
      <c r="DP32" s="18">
        <f>DO32*VLOOKUP('Données projet'!$B$14,Paramètres!$A$1:$I$89,3,0)*VLOOKUP('Données projet'!$B$14,Paramètres!$A$1:$I$89,5,0)</f>
        <v>124.21799999999999</v>
      </c>
      <c r="DQ32" s="14">
        <f t="shared" si="43"/>
        <v>32.656791825983653</v>
      </c>
      <c r="DR32" s="22">
        <f t="shared" si="16"/>
        <v>273.22359576358815</v>
      </c>
      <c r="DS32" s="62">
        <f t="shared" si="17"/>
        <v>565.33470687469935</v>
      </c>
      <c r="DT32" s="62">
        <f ca="1">AVERAGE(OFFSET($DS$3,0,0,'Données projet'!$E$14+1,1))-AVERAGE(OFFSET($H$3,0,0,'Données projet'!$E$14+1,1))</f>
        <v>493.70175665335978</v>
      </c>
      <c r="DU32" s="62">
        <f t="shared" si="44"/>
        <v>325.12357781685949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7.4</v>
      </c>
      <c r="EJ32" s="13">
        <f>IF('Données projet'!$A$192&gt;35,EJ31+EI32-ER31,IF(A32&lt;'Données projet'!$A$192,$EG$205^A32,IF(A32='Données projet'!$A$192,'Données projet'!$B$192,EJ31+EI32-ER31)))</f>
        <v>85.600000000000023</v>
      </c>
      <c r="EK32" s="18">
        <f>EJ32*VLOOKUP('Données projet'!$B$15,Paramètres!$A$1:$I$89,3,0)*VLOOKUP('Données projet'!$B$15,Paramètres!$A$1:$I$89,5,0)</f>
        <v>74.780160000000024</v>
      </c>
      <c r="EL32" s="14">
        <f t="shared" si="45"/>
        <v>20.85593761602691</v>
      </c>
      <c r="EM32" s="22">
        <f t="shared" si="19"/>
        <v>166.56620334791356</v>
      </c>
      <c r="EN32" s="62">
        <f t="shared" si="20"/>
        <v>458.67731445902473</v>
      </c>
      <c r="EO32" s="62">
        <f ca="1">AVERAGE(OFFSET($EN$3,0,0,'Données projet'!$E$15+1,1))-AVERAGE(OFFSET($H$3,0,0,'Données projet'!$E$15+1,1))</f>
        <v>202.86354781280403</v>
      </c>
      <c r="EP32" s="62">
        <f t="shared" si="46"/>
        <v>217.25323885665131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6.2820512820512819</v>
      </c>
      <c r="FE32" s="13">
        <f>IF('Données projet'!$A$218&gt;35,FE31+FD32-FM31,IF(A32&lt;'Données projet'!$A$218,$FB$205^A32,IF(A32='Données projet'!$A$218,'Données projet'!$B$218,FE31+FD32-FM31)))</f>
        <v>92.435897435897473</v>
      </c>
      <c r="FF32" s="18">
        <f>FE32*VLOOKUP('Données projet'!$B$16,Paramètres!$A$1:$I$89,3,0)*VLOOKUP('Données projet'!$B$16,Paramètres!$A$1:$I$89,5,0)</f>
        <v>87.962000000000032</v>
      </c>
      <c r="FG32" s="14">
        <f t="shared" si="47"/>
        <v>24.073055170979362</v>
      </c>
      <c r="FH32" s="22">
        <f t="shared" si="22"/>
        <v>195.12772108945578</v>
      </c>
      <c r="FI32" s="62">
        <f t="shared" si="23"/>
        <v>487.23883220056689</v>
      </c>
      <c r="FJ32" s="62">
        <f ca="1">AVERAGE(OFFSET($FI$3,0,0,'Données projet'!$E$16+1,1))-AVERAGE(OFFSET($H$3,0,0,'Données projet'!$E$16+1,1))</f>
        <v>353.61481736740694</v>
      </c>
      <c r="FK32" s="62">
        <f t="shared" si="48"/>
        <v>244.7141066773861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3.6</v>
      </c>
      <c r="FZ32" s="13">
        <f>IF('Données projet'!$A$244&gt;35,FZ31+FY32-GH31,IF(A32&lt;'Données projet'!$A$244,$FW$205^A32,IF(A32='Données projet'!$A$244,'Données projet'!$B$244,FZ31+FY32-GH31)))</f>
        <v>50.400000000000006</v>
      </c>
      <c r="GA32" s="18">
        <f>FZ32*VLOOKUP('Données projet'!$B$17,Paramètres!$A$1:$I$89,3,0)*VLOOKUP('Données projet'!$B$17,Paramètres!$A$1:$I$89,5,0)</f>
        <v>54.250560000000007</v>
      </c>
      <c r="GB32" s="14">
        <f t="shared" si="49"/>
        <v>15.706218631166928</v>
      </c>
      <c r="GC32" s="22">
        <f t="shared" si="25"/>
        <v>121.84138944928242</v>
      </c>
      <c r="GD32" s="62">
        <f t="shared" si="26"/>
        <v>413.95250056039356</v>
      </c>
      <c r="GE32" s="62">
        <f ca="1">AVERAGE(OFFSET($GD$3,0,0,'Données projet'!$E$17+1,1))-AVERAGE(OFFSET($H$3,0,0,'Données projet'!$E$17+1,1))</f>
        <v>280.20599015000306</v>
      </c>
      <c r="GF32" s="62">
        <f t="shared" si="50"/>
        <v>166.97658184507787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7.6923076923076907</v>
      </c>
      <c r="GU32" s="13">
        <f>IF('Données projet'!$A$270&gt;35,GU31+GT32-HC31,IF(A32&lt;'Données projet'!$A$270,$GR$205^A32,IF(A32='Données projet'!$A$270,'Données projet'!$B$270,GU31+GT32-HC31)))</f>
        <v>112.17948717948717</v>
      </c>
      <c r="GV32" s="18">
        <f>GU32*VLOOKUP('Données projet'!$B$18,Paramètres!$A$1:$I$89,3,0)*VLOOKUP('Données projet'!$B$18,Paramètres!$A$1:$I$89,5,0)</f>
        <v>75.25</v>
      </c>
      <c r="GW32" s="14">
        <f t="shared" si="51"/>
        <v>20.971679502814343</v>
      </c>
      <c r="GX32" s="22">
        <f t="shared" si="28"/>
        <v>167.58609180073498</v>
      </c>
      <c r="GY32" s="62">
        <f t="shared" si="29"/>
        <v>459.69720291184615</v>
      </c>
      <c r="GZ32" s="62">
        <f ca="1">AVERAGE(OFFSET($GY$3,0,0,'Données projet'!$E$18+1,1))-AVERAGE(OFFSET($H$3,0,0,'Données projet'!$E$18+1,1))</f>
        <v>291.18686311753402</v>
      </c>
      <c r="HA32" s="62">
        <f t="shared" si="52"/>
        <v>215.44422413249839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9">
        <f t="shared" si="1"/>
        <v>256.66666666666669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14.298901098901101</v>
      </c>
      <c r="N33" s="14">
        <f>IF('Données projet'!$A$36&gt;35,N32+M33-V32,IF(A33&lt;'Données projet'!$A$36,$K$205^A33,IF(A33='Données projet'!$A$36,'Données projet'!$B$36,N32+M33-V32)))</f>
        <v>176.78351648351651</v>
      </c>
      <c r="O33" s="14">
        <f>N33*VLOOKUP('Données projet'!$B$9,Paramètres!$A$1:$I$89,3,0)*VLOOKUP('Données projet'!$B$9,Paramètres!$A$1:$I$89,5,0)</f>
        <v>105.71654285714287</v>
      </c>
      <c r="P33" s="14">
        <f t="shared" si="33"/>
        <v>28.319447591123378</v>
      </c>
      <c r="Q33" s="22">
        <f t="shared" si="2"/>
        <v>233.44601669739703</v>
      </c>
      <c r="R33" s="62">
        <f t="shared" si="0"/>
        <v>526.77935003073037</v>
      </c>
      <c r="S33" s="62">
        <f ca="1">AVERAGE(OFFSET($R$3,0,0,'Données projet'!$E$9+1,1))-AVERAGE(OFFSET($H$3,0,0,'Données projet'!$E$9+1,1))</f>
        <v>260.02504691866199</v>
      </c>
      <c r="T33" s="62">
        <f t="shared" si="34"/>
        <v>270.11268336406368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10.008304365563527</v>
      </c>
      <c r="AA33" s="23">
        <f>EXP(-LN(2)/25)*AA32+(1-EXP(-LN(2)/25))/(LN(2)/25)*Calculateur!V33*Calculateur!X33*VLOOKUP('Données projet'!$B$9,Paramètres!$A$1:$I$89,3,0)*0.475*44/12</f>
        <v>16.436037444215632</v>
      </c>
      <c r="AB33" s="23">
        <f>EXP(-LN(2)/2)*AB32+(1-EXP(-LN(2)/2))/(LN(2)/2)*V33*Y33*VLOOKUP('Données projet'!$B$9,Paramètres!$A$1:$I$89,3,0)*0.475*44/12</f>
        <v>6.3399609459238393</v>
      </c>
      <c r="AC33" s="24">
        <f t="shared" si="3"/>
        <v>32.784302755703003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2">
        <f t="shared" si="5"/>
        <v>528.40210679086033</v>
      </c>
      <c r="AN33" s="62">
        <f ca="1">AVERAGE(OFFSET($AM$3,0,0,'Données projet'!$E$10+1,1))-AVERAGE(OFFSET($H$3,0,0,'Données projet'!$E$10+1,1))</f>
        <v>475.47920969424894</v>
      </c>
      <c r="AO33" s="62">
        <f t="shared" si="36"/>
        <v>271.73544012419364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95.004000000000005</v>
      </c>
      <c r="BF33" s="14">
        <f t="shared" si="37"/>
        <v>25.768242550600785</v>
      </c>
      <c r="BG33" s="22">
        <f t="shared" si="7"/>
        <v>210.34498910896306</v>
      </c>
      <c r="BH33" s="62">
        <f t="shared" si="8"/>
        <v>503.67832244229635</v>
      </c>
      <c r="BI33" s="62">
        <f ca="1">AVERAGE(OFFSET($BH$3,0,0,'Données projet'!$E$11+1,1))-AVERAGE(OFFSET($H$3,0,0,'Données projet'!$E$11+1,1))</f>
        <v>428.8489304403459</v>
      </c>
      <c r="BJ33" s="62">
        <f t="shared" si="38"/>
        <v>247.01165577562966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84</v>
      </c>
      <c r="BW33" s="13">
        <f>VLOOKUP(A33,'Données projet'!$A$113:$I$133,9,0)</f>
        <v>4</v>
      </c>
      <c r="BX33" s="13">
        <f t="array" ref="BX33">INDEX(BW:BW,MIN(IF(ISNUMBER(BW33:BW229),ROW(BW33:BW229),"")))</f>
        <v>4</v>
      </c>
      <c r="BY33" s="13">
        <f>IF('Données projet'!$A$114&gt;35,BY32+BX33-CG32,IF(A33&lt;'Données projet'!$A$114,$BV$205^A33,IF(A33='Données projet'!$A$114,'Données projet'!$B$114,BY32+BX33-CG32)))</f>
        <v>83.999999999999986</v>
      </c>
      <c r="BZ33" s="14">
        <f>BY33*VLOOKUP('Données projet'!$B$12,Paramètres!$A$1:$I$89,3,0)*VLOOKUP('Données projet'!$B$12,Paramètres!$A$1:$I$89,5,0)</f>
        <v>68.140799999999984</v>
      </c>
      <c r="CA33" s="14">
        <f t="shared" si="39"/>
        <v>19.21103183030446</v>
      </c>
      <c r="CB33" s="22">
        <f t="shared" si="10"/>
        <v>152.13777377111359</v>
      </c>
      <c r="CC33" s="62">
        <f t="shared" si="11"/>
        <v>445.4711071044469</v>
      </c>
      <c r="CD33" s="62">
        <f ca="1">AVERAGE(OFFSET($CC$3,0,0,'Données projet'!$E$12+1,1))-AVERAGE(OFFSET($H$3,0,0,'Données projet'!$E$12+1,1))</f>
        <v>236.22643401787644</v>
      </c>
      <c r="CE33" s="62">
        <f t="shared" si="40"/>
        <v>188.80444043778022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103.27692307692307</v>
      </c>
      <c r="CR33" s="13">
        <f>VLOOKUP(A33,'Données projet'!$A$139:$I$159,9,0)</f>
        <v>3.4425641025641025</v>
      </c>
      <c r="CS33" s="13">
        <f t="array" ref="CS33">INDEX(CR:CR,MIN(IF(ISNUMBER(CR33:CR229),ROW(CR33:CR229),"")))</f>
        <v>3.4425641025641025</v>
      </c>
      <c r="CT33" s="13">
        <f>IF('Données projet'!$A$140&gt;35,CT32+CS33-DB32,IF(A33&lt;'Données projet'!$A$140,$CQ$205^A33,IF(A33='Données projet'!$A$140,'Données projet'!$B$140,CT32+CS33-DB32)))</f>
        <v>103.27692307692307</v>
      </c>
      <c r="CU33" s="18">
        <f>CT33*VLOOKUP('Données projet'!$B$13,Paramètres!$A$1:$I$89,3,0)*VLOOKUP('Données projet'!$B$13,Paramètres!$A$1:$I$89,5,0)</f>
        <v>48.333599999999997</v>
      </c>
      <c r="CV33" s="14">
        <f t="shared" si="41"/>
        <v>14.182559301951969</v>
      </c>
      <c r="CW33" s="22">
        <f t="shared" si="13"/>
        <v>108.88231078423301</v>
      </c>
      <c r="CX33" s="62">
        <f t="shared" si="14"/>
        <v>402.21564411756634</v>
      </c>
      <c r="CY33" s="62">
        <f ca="1">AVERAGE(OFFSET($CX$3,0,0,'Données projet'!$E$13+1,1))-AVERAGE(OFFSET($H$3,0,0,'Données projet'!$E$13+1,1))</f>
        <v>246.73711856758143</v>
      </c>
      <c r="CZ33" s="62">
        <f t="shared" si="42"/>
        <v>145.54897745089966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125.64102564102564</v>
      </c>
      <c r="DM33" s="13">
        <f>VLOOKUP(A33,'Données projet'!$A$165:$I$185,9,0)</f>
        <v>6.7948717948717956</v>
      </c>
      <c r="DN33" s="13">
        <f t="array" ref="DN33">INDEX(DM:DM,MIN(IF(ISNUMBER(DM33:DM229),ROW(DM33:DM229),"")))</f>
        <v>6.7948717948717956</v>
      </c>
      <c r="DO33" s="13">
        <f>IF('Données projet'!$A$166&gt;35,DO32+DN33-DW32,IF(A33&lt;'Données projet'!$A$166,$DL$205^A33,IF(A33='Données projet'!$A$166,'Données projet'!$B$166,DO32+DN33-DW32)))</f>
        <v>125.64102564102561</v>
      </c>
      <c r="DP33" s="18">
        <f>DO33*VLOOKUP('Données projet'!$B$14,Paramètres!$A$1:$I$89,3,0)*VLOOKUP('Données projet'!$B$14,Paramètres!$A$1:$I$89,5,0)</f>
        <v>131.32</v>
      </c>
      <c r="DQ33" s="14">
        <f t="shared" si="43"/>
        <v>34.30119300489546</v>
      </c>
      <c r="DR33" s="22">
        <f t="shared" si="16"/>
        <v>288.45691115019287</v>
      </c>
      <c r="DS33" s="62">
        <f t="shared" si="17"/>
        <v>581.79024448352618</v>
      </c>
      <c r="DT33" s="62">
        <f ca="1">AVERAGE(OFFSET($DS$3,0,0,'Données projet'!$E$14+1,1))-AVERAGE(OFFSET($H$3,0,0,'Données projet'!$E$14+1,1))</f>
        <v>493.70175665335978</v>
      </c>
      <c r="DU33" s="62">
        <f t="shared" si="44"/>
        <v>325.12357781685949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28.205128205128204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93</v>
      </c>
      <c r="EH33" s="13">
        <f>VLOOKUP(A33,'Données projet'!$A$191:$I$211,9,0)</f>
        <v>7.4</v>
      </c>
      <c r="EI33" s="13">
        <f t="array" ref="EI33">INDEX(EH:EH,MIN(IF(ISNUMBER(EH33:EH229),ROW(EH33:EH229),"")))</f>
        <v>7.4</v>
      </c>
      <c r="EJ33" s="13">
        <f>IF('Données projet'!$A$192&gt;35,EJ32+EI33-ER32,IF(A33&lt;'Données projet'!$A$192,$EG$205^A33,IF(A33='Données projet'!$A$192,'Données projet'!$B$192,EJ32+EI33-ER32)))</f>
        <v>93.000000000000028</v>
      </c>
      <c r="EK33" s="18">
        <f>EJ33*VLOOKUP('Données projet'!$B$15,Paramètres!$A$1:$I$89,3,0)*VLOOKUP('Données projet'!$B$15,Paramètres!$A$1:$I$89,5,0)</f>
        <v>81.244800000000026</v>
      </c>
      <c r="EL33" s="14">
        <f t="shared" si="45"/>
        <v>22.441270156928962</v>
      </c>
      <c r="EM33" s="22">
        <f t="shared" si="19"/>
        <v>180.58657218998465</v>
      </c>
      <c r="EN33" s="62">
        <f t="shared" si="20"/>
        <v>473.91990552331799</v>
      </c>
      <c r="EO33" s="62">
        <f ca="1">AVERAGE(OFFSET($EN$3,0,0,'Données projet'!$E$15+1,1))-AVERAGE(OFFSET($H$3,0,0,'Données projet'!$E$15+1,1))</f>
        <v>202.86354781280403</v>
      </c>
      <c r="EP33" s="62">
        <f t="shared" si="46"/>
        <v>217.25323885665131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31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98.717948717948715</v>
      </c>
      <c r="FC33" s="13">
        <f>VLOOKUP(A33,'Données projet'!$A$217:$I$237,9,0)</f>
        <v>6.2820512820512819</v>
      </c>
      <c r="FD33" s="13">
        <f t="array" ref="FD33">INDEX(FC:FC,MIN(IF(ISNUMBER(FC33:FC229),ROW(FC33:FC229),"")))</f>
        <v>6.2820512820512819</v>
      </c>
      <c r="FE33" s="13">
        <f>IF('Données projet'!$A$218&gt;35,FE32+FD33-FM32,IF(A33&lt;'Données projet'!$A$218,$FB$205^A33,IF(A33='Données projet'!$A$218,'Données projet'!$B$218,FE32+FD33-FM32)))</f>
        <v>98.717948717948758</v>
      </c>
      <c r="FF33" s="18">
        <f>FE33*VLOOKUP('Données projet'!$B$16,Paramètres!$A$1:$I$89,3,0)*VLOOKUP('Données projet'!$B$16,Paramètres!$A$1:$I$89,5,0)</f>
        <v>93.94000000000004</v>
      </c>
      <c r="FG33" s="14">
        <f t="shared" si="47"/>
        <v>25.513075604240793</v>
      </c>
      <c r="FH33" s="22">
        <f t="shared" si="22"/>
        <v>208.04744001071947</v>
      </c>
      <c r="FI33" s="62">
        <f t="shared" si="23"/>
        <v>501.38077334405278</v>
      </c>
      <c r="FJ33" s="62">
        <f ca="1">AVERAGE(OFFSET($FI$3,0,0,'Données projet'!$E$16+1,1))-AVERAGE(OFFSET($H$3,0,0,'Données projet'!$E$16+1,1))</f>
        <v>353.61481736740694</v>
      </c>
      <c r="FK33" s="62">
        <f t="shared" si="48"/>
        <v>244.7141066773861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54</v>
      </c>
      <c r="FX33" s="13">
        <f>VLOOKUP(A33,'Données projet'!$A$243:$I$263,9,0)</f>
        <v>3.6</v>
      </c>
      <c r="FY33" s="13">
        <f t="array" ref="FY33">INDEX(FX:FX,MIN(IF(ISNUMBER(FX33:FX229),ROW(FX33:FX229),"")))</f>
        <v>3.6</v>
      </c>
      <c r="FZ33" s="13">
        <f>IF('Données projet'!$A$244&gt;35,FZ32+FY33-GH32,IF(A33&lt;'Données projet'!$A$244,$FW$205^A33,IF(A33='Données projet'!$A$244,'Données projet'!$B$244,FZ32+FY33-GH32)))</f>
        <v>54.000000000000007</v>
      </c>
      <c r="GA33" s="18">
        <f>FZ33*VLOOKUP('Données projet'!$B$17,Paramètres!$A$1:$I$89,3,0)*VLOOKUP('Données projet'!$B$17,Paramètres!$A$1:$I$89,5,0)</f>
        <v>58.125600000000013</v>
      </c>
      <c r="GB33" s="14">
        <f t="shared" si="49"/>
        <v>16.693490054590175</v>
      </c>
      <c r="GC33" s="22">
        <f t="shared" si="25"/>
        <v>130.30991517841125</v>
      </c>
      <c r="GD33" s="62">
        <f t="shared" si="26"/>
        <v>423.64324851174456</v>
      </c>
      <c r="GE33" s="62">
        <f ca="1">AVERAGE(OFFSET($GD$3,0,0,'Données projet'!$E$17+1,1))-AVERAGE(OFFSET($H$3,0,0,'Données projet'!$E$17+1,1))</f>
        <v>280.20599015000306</v>
      </c>
      <c r="GF33" s="62">
        <f t="shared" si="50"/>
        <v>166.97658184507787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119.87179487179486</v>
      </c>
      <c r="GS33" s="13">
        <f>VLOOKUP(A33,'Données projet'!$A$269:$I$289,9,0)</f>
        <v>7.6923076923076907</v>
      </c>
      <c r="GT33" s="13">
        <f t="array" ref="GT33">INDEX(GS:GS,MIN(IF(ISNUMBER(GS33:GS229),ROW(GS33:GS229),"")))</f>
        <v>7.6923076923076907</v>
      </c>
      <c r="GU33" s="13">
        <f>IF('Données projet'!$A$270&gt;35,GU32+GT33-HC32,IF(A33&lt;'Données projet'!$A$270,$GR$205^A33,IF(A33='Données projet'!$A$270,'Données projet'!$B$270,GU32+GT33-HC32)))</f>
        <v>119.87179487179486</v>
      </c>
      <c r="GV33" s="18">
        <f>GU33*VLOOKUP('Données projet'!$B$18,Paramètres!$A$1:$I$89,3,0)*VLOOKUP('Données projet'!$B$18,Paramètres!$A$1:$I$89,5,0)</f>
        <v>80.41</v>
      </c>
      <c r="GW33" s="14">
        <f t="shared" si="51"/>
        <v>22.2374014157886</v>
      </c>
      <c r="GX33" s="22">
        <f t="shared" si="28"/>
        <v>178.77755746583179</v>
      </c>
      <c r="GY33" s="62">
        <f t="shared" si="29"/>
        <v>472.11089079916508</v>
      </c>
      <c r="GZ33" s="62">
        <f ca="1">AVERAGE(OFFSET($GY$3,0,0,'Données projet'!$E$18+1,1))-AVERAGE(OFFSET($H$3,0,0,'Données projet'!$E$18+1,1))</f>
        <v>291.18686311753402</v>
      </c>
      <c r="HA33" s="62">
        <f t="shared" si="52"/>
        <v>215.44422413249839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9">
        <f t="shared" si="1"/>
        <v>256.66666666666669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14.298901098901101</v>
      </c>
      <c r="N34" s="14">
        <f>IF('Données projet'!$A$36&gt;35,N33+M34-V33,IF(A34&lt;'Données projet'!$A$36,$K$205^A34,IF(A34='Données projet'!$A$36,'Données projet'!$B$36,N33+M34-V33)))</f>
        <v>191.08241758241761</v>
      </c>
      <c r="O34" s="14">
        <f>N34*VLOOKUP('Données projet'!$B$9,Paramètres!$A$1:$I$89,3,0)*VLOOKUP('Données projet'!$B$9,Paramètres!$A$1:$I$89,5,0)</f>
        <v>114.26728571428573</v>
      </c>
      <c r="P34" s="14">
        <f t="shared" si="33"/>
        <v>30.334152496808123</v>
      </c>
      <c r="Q34" s="22">
        <f t="shared" si="2"/>
        <v>251.84750488432181</v>
      </c>
      <c r="R34" s="62">
        <f t="shared" si="0"/>
        <v>545.18083821765515</v>
      </c>
      <c r="S34" s="62">
        <f ca="1">AVERAGE(OFFSET($R$3,0,0,'Données projet'!$E$9+1,1))-AVERAGE(OFFSET($H$3,0,0,'Données projet'!$E$9+1,1))</f>
        <v>260.02504691866199</v>
      </c>
      <c r="T34" s="62">
        <f t="shared" si="34"/>
        <v>270.11268336406368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9.8120476214177241</v>
      </c>
      <c r="AA34" s="23">
        <f>EXP(-LN(2)/25)*AA33+(1-EXP(-LN(2)/25))/(LN(2)/25)*Calculateur!V34*Calculateur!X34*VLOOKUP('Données projet'!$B$9,Paramètres!$A$1:$I$89,3,0)*0.475*44/12</f>
        <v>15.986593135969912</v>
      </c>
      <c r="AB34" s="23">
        <f>EXP(-LN(2)/2)*AB33+(1-EXP(-LN(2)/2))/(LN(2)/2)*V34*Y34*VLOOKUP('Données projet'!$B$9,Paramètres!$A$1:$I$89,3,0)*0.475*44/12</f>
        <v>4.4830293773206256</v>
      </c>
      <c r="AC34" s="24">
        <f t="shared" si="3"/>
        <v>30.281670134708264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2">
        <f t="shared" si="5"/>
        <v>482.4332041160016</v>
      </c>
      <c r="AN34" s="62">
        <f ca="1">AVERAGE(OFFSET($AM$3,0,0,'Données projet'!$E$10+1,1))-AVERAGE(OFFSET($H$3,0,0,'Données projet'!$E$10+1,1))</f>
        <v>475.47920969424894</v>
      </c>
      <c r="AO34" s="62">
        <f t="shared" si="36"/>
        <v>271.73544012419364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76.003200000000007</v>
      </c>
      <c r="BF34" s="14">
        <f t="shared" si="37"/>
        <v>21.157049992000456</v>
      </c>
      <c r="BG34" s="22">
        <f t="shared" si="7"/>
        <v>169.22076873606747</v>
      </c>
      <c r="BH34" s="62">
        <f t="shared" si="8"/>
        <v>462.55410206940076</v>
      </c>
      <c r="BI34" s="62">
        <f ca="1">AVERAGE(OFFSET($BH$3,0,0,'Données projet'!$E$11+1,1))-AVERAGE(OFFSET($H$3,0,0,'Données projet'!$E$11+1,1))</f>
        <v>428.8489304403459</v>
      </c>
      <c r="BJ34" s="62">
        <f t="shared" si="38"/>
        <v>247.01165577562966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4.8</v>
      </c>
      <c r="BY34" s="13">
        <f>IF('Données projet'!$A$114&gt;35,BY33+BX34-CG33,IF(A34&lt;'Données projet'!$A$114,$BV$205^A34,IF(A34='Données projet'!$A$114,'Données projet'!$B$114,BY33+BX34-CG33)))</f>
        <v>88.799999999999983</v>
      </c>
      <c r="BZ34" s="14">
        <f>BY34*VLOOKUP('Données projet'!$B$12,Paramètres!$A$1:$I$89,3,0)*VLOOKUP('Données projet'!$B$12,Paramètres!$A$1:$I$89,5,0)</f>
        <v>72.034559999999999</v>
      </c>
      <c r="CA34" s="14">
        <f t="shared" si="39"/>
        <v>20.177864949465988</v>
      </c>
      <c r="CB34" s="22">
        <f t="shared" si="10"/>
        <v>160.60330678698656</v>
      </c>
      <c r="CC34" s="62">
        <f t="shared" si="11"/>
        <v>453.93664012031991</v>
      </c>
      <c r="CD34" s="62">
        <f ca="1">AVERAGE(OFFSET($CC$3,0,0,'Données projet'!$E$12+1,1))-AVERAGE(OFFSET($H$3,0,0,'Données projet'!$E$12+1,1))</f>
        <v>236.22643401787644</v>
      </c>
      <c r="CE34" s="62">
        <f t="shared" si="40"/>
        <v>188.80444043778022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10.407692307692306</v>
      </c>
      <c r="CT34" s="13">
        <f>IF('Données projet'!$A$140&gt;35,CT33+CS34-DB33,IF(A34&lt;'Données projet'!$A$140,$CQ$205^A34,IF(A34='Données projet'!$A$140,'Données projet'!$B$140,CT33+CS34-DB33)))</f>
        <v>113.68461538461537</v>
      </c>
      <c r="CU34" s="18">
        <f>CT34*VLOOKUP('Données projet'!$B$13,Paramètres!$A$1:$I$89,3,0)*VLOOKUP('Données projet'!$B$13,Paramètres!$A$1:$I$89,5,0)</f>
        <v>53.204399999999993</v>
      </c>
      <c r="CV34" s="14">
        <f t="shared" si="41"/>
        <v>15.43829445428918</v>
      </c>
      <c r="CW34" s="22">
        <f t="shared" si="13"/>
        <v>119.55269284122029</v>
      </c>
      <c r="CX34" s="62">
        <f t="shared" si="14"/>
        <v>412.88602617455359</v>
      </c>
      <c r="CY34" s="62">
        <f ca="1">AVERAGE(OFFSET($CX$3,0,0,'Données projet'!$E$13+1,1))-AVERAGE(OFFSET($H$3,0,0,'Données projet'!$E$13+1,1))</f>
        <v>246.73711856758143</v>
      </c>
      <c r="CZ34" s="62">
        <f t="shared" si="42"/>
        <v>145.54897745089966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6.7948717948717956</v>
      </c>
      <c r="DO34" s="13">
        <f>IF('Données projet'!$A$166&gt;35,DO33+DN34-DW33,IF(A34&lt;'Données projet'!$A$166,$DL$205^A34,IF(A34='Données projet'!$A$166,'Données projet'!$B$166,DO33+DN34-DW33)))</f>
        <v>104.2307692307692</v>
      </c>
      <c r="DP34" s="18">
        <f>DO34*VLOOKUP('Données projet'!$B$14,Paramètres!$A$1:$I$89,3,0)*VLOOKUP('Données projet'!$B$14,Paramètres!$A$1:$I$89,5,0)</f>
        <v>108.94199999999996</v>
      </c>
      <c r="DQ34" s="14">
        <f t="shared" si="43"/>
        <v>29.08157148085148</v>
      </c>
      <c r="DR34" s="22">
        <f t="shared" si="16"/>
        <v>240.39105366248293</v>
      </c>
      <c r="DS34" s="62">
        <f t="shared" si="17"/>
        <v>533.7243869958163</v>
      </c>
      <c r="DT34" s="62">
        <f ca="1">AVERAGE(OFFSET($DS$3,0,0,'Données projet'!$E$14+1,1))-AVERAGE(OFFSET($H$3,0,0,'Données projet'!$E$14+1,1))</f>
        <v>493.70175665335978</v>
      </c>
      <c r="DU34" s="62">
        <f t="shared" si="44"/>
        <v>325.12357781685949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6.6</v>
      </c>
      <c r="EJ34" s="13">
        <f>IF('Données projet'!$A$192&gt;35,EJ33+EI34-ER33,IF(A34&lt;'Données projet'!$A$192,$EG$205^A34,IF(A34='Données projet'!$A$192,'Données projet'!$B$192,EJ33+EI34-ER33)))</f>
        <v>68.600000000000023</v>
      </c>
      <c r="EK34" s="18">
        <f>EJ34*VLOOKUP('Données projet'!$B$15,Paramètres!$A$1:$I$89,3,0)*VLOOKUP('Données projet'!$B$15,Paramètres!$A$1:$I$89,5,0)</f>
        <v>59.928960000000032</v>
      </c>
      <c r="EL34" s="14">
        <f t="shared" si="45"/>
        <v>17.150306633391647</v>
      </c>
      <c r="EM34" s="22">
        <f t="shared" si="19"/>
        <v>134.24638938649051</v>
      </c>
      <c r="EN34" s="62">
        <f t="shared" si="20"/>
        <v>427.57972271982385</v>
      </c>
      <c r="EO34" s="62">
        <f ca="1">AVERAGE(OFFSET($EN$3,0,0,'Données projet'!$E$15+1,1))-AVERAGE(OFFSET($H$3,0,0,'Données projet'!$E$15+1,1))</f>
        <v>202.86354781280403</v>
      </c>
      <c r="EP34" s="62">
        <f t="shared" si="46"/>
        <v>217.25323885665131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6.1538461538461515</v>
      </c>
      <c r="FE34" s="13">
        <f>IF('Données projet'!$A$218&gt;35,FE33+FD34-FM33,IF(A34&lt;'Données projet'!$A$218,$FB$205^A34,IF(A34='Données projet'!$A$218,'Données projet'!$B$218,FE33+FD34-FM33)))</f>
        <v>104.8717948717949</v>
      </c>
      <c r="FF34" s="18">
        <f>FE34*VLOOKUP('Données projet'!$B$16,Paramètres!$A$1:$I$89,3,0)*VLOOKUP('Données projet'!$B$16,Paramètres!$A$1:$I$89,5,0)</f>
        <v>99.796000000000035</v>
      </c>
      <c r="FG34" s="14">
        <f t="shared" si="47"/>
        <v>26.913391586854008</v>
      </c>
      <c r="FH34" s="22">
        <f t="shared" si="22"/>
        <v>220.68552368043743</v>
      </c>
      <c r="FI34" s="62">
        <f t="shared" si="23"/>
        <v>514.01885701377068</v>
      </c>
      <c r="FJ34" s="62">
        <f ca="1">AVERAGE(OFFSET($FI$3,0,0,'Données projet'!$E$16+1,1))-AVERAGE(OFFSET($H$3,0,0,'Données projet'!$E$16+1,1))</f>
        <v>353.61481736740694</v>
      </c>
      <c r="FK34" s="62">
        <f t="shared" si="48"/>
        <v>244.7141066773861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3.6</v>
      </c>
      <c r="FZ34" s="13">
        <f>IF('Données projet'!$A$244&gt;35,FZ33+FY34-GH33,IF(A34&lt;'Données projet'!$A$244,$FW$205^A34,IF(A34='Données projet'!$A$244,'Données projet'!$B$244,FZ33+FY34-GH33)))</f>
        <v>57.600000000000009</v>
      </c>
      <c r="GA34" s="18">
        <f>FZ34*VLOOKUP('Données projet'!$B$17,Paramètres!$A$1:$I$89,3,0)*VLOOKUP('Données projet'!$B$17,Paramètres!$A$1:$I$89,5,0)</f>
        <v>62.000640000000004</v>
      </c>
      <c r="GB34" s="14">
        <f t="shared" si="49"/>
        <v>17.6731239306392</v>
      </c>
      <c r="GC34" s="22">
        <f t="shared" si="25"/>
        <v>138.76513884586331</v>
      </c>
      <c r="GD34" s="62">
        <f t="shared" si="26"/>
        <v>432.09847217919662</v>
      </c>
      <c r="GE34" s="62">
        <f ca="1">AVERAGE(OFFSET($GD$3,0,0,'Données projet'!$E$17+1,1))-AVERAGE(OFFSET($H$3,0,0,'Données projet'!$E$17+1,1))</f>
        <v>280.20599015000306</v>
      </c>
      <c r="GF34" s="62">
        <f t="shared" si="50"/>
        <v>166.97658184507787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7.1794871794871824</v>
      </c>
      <c r="GU34" s="13">
        <f>IF('Données projet'!$A$270&gt;35,GU33+GT34-HC33,IF(A34&lt;'Données projet'!$A$270,$GR$205^A34,IF(A34='Données projet'!$A$270,'Données projet'!$B$270,GU33+GT34-HC33)))</f>
        <v>127.05128205128204</v>
      </c>
      <c r="GV34" s="18">
        <f>GU34*VLOOKUP('Données projet'!$B$18,Paramètres!$A$1:$I$89,3,0)*VLOOKUP('Données projet'!$B$18,Paramètres!$A$1:$I$89,5,0)</f>
        <v>85.225999999999999</v>
      </c>
      <c r="GW34" s="14">
        <f t="shared" si="51"/>
        <v>23.410224444266952</v>
      </c>
      <c r="GX34" s="22">
        <f t="shared" si="28"/>
        <v>189.20809090709827</v>
      </c>
      <c r="GY34" s="62">
        <f t="shared" si="29"/>
        <v>482.54142424043158</v>
      </c>
      <c r="GZ34" s="62">
        <f ca="1">AVERAGE(OFFSET($GY$3,0,0,'Données projet'!$E$18+1,1))-AVERAGE(OFFSET($H$3,0,0,'Données projet'!$E$18+1,1))</f>
        <v>291.18686311753402</v>
      </c>
      <c r="HA34" s="62">
        <f t="shared" si="52"/>
        <v>215.44422413249839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9">
        <f t="shared" si="1"/>
        <v>256.66666666666669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14.298901098901101</v>
      </c>
      <c r="N35" s="14">
        <f>IF('Données projet'!$A$36&gt;35,N34+M35-V34,IF(A35&lt;'Données projet'!$A$36,$K$205^A35,IF(A35='Données projet'!$A$36,'Données projet'!$B$36,N34+M35-V34)))</f>
        <v>205.3813186813187</v>
      </c>
      <c r="O35" s="14">
        <f>N35*VLOOKUP('Données projet'!$B$9,Paramètres!$A$1:$I$89,3,0)*VLOOKUP('Données projet'!$B$9,Paramètres!$A$1:$I$89,5,0)</f>
        <v>122.81802857142858</v>
      </c>
      <c r="P35" s="14">
        <f t="shared" si="33"/>
        <v>32.331367630744694</v>
      </c>
      <c r="Q35" s="22">
        <f t="shared" ref="Q35:Q66" si="53">(O35+P35)*0.475*44/12</f>
        <v>270.21853171878513</v>
      </c>
      <c r="R35" s="62">
        <f t="shared" si="0"/>
        <v>563.5518650521185</v>
      </c>
      <c r="S35" s="62">
        <f ca="1">AVERAGE(OFFSET($R$3,0,0,'Données projet'!$E$9+1,1))-AVERAGE(OFFSET($H$3,0,0,'Données projet'!$E$9+1,1))</f>
        <v>260.02504691866199</v>
      </c>
      <c r="T35" s="62">
        <f t="shared" si="34"/>
        <v>270.11268336406368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9.619639352319826</v>
      </c>
      <c r="AA35" s="23">
        <f>EXP(-LN(2)/25)*AA34+(1-EXP(-LN(2)/25))/(LN(2)/25)*Calculateur!V35*Calculateur!X35*VLOOKUP('Données projet'!$B$9,Paramètres!$A$1:$I$89,3,0)*0.475*44/12</f>
        <v>15.549438905968419</v>
      </c>
      <c r="AB35" s="23">
        <f>EXP(-LN(2)/2)*AB34+(1-EXP(-LN(2)/2))/(LN(2)/2)*V35*Y35*VLOOKUP('Données projet'!$B$9,Paramètres!$A$1:$I$89,3,0)*0.475*44/12</f>
        <v>3.1699804729619201</v>
      </c>
      <c r="AC35" s="24">
        <f t="shared" si="3"/>
        <v>28.339058731250166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2">
        <f t="shared" si="5"/>
        <v>499.97258746891305</v>
      </c>
      <c r="AN35" s="62">
        <f ca="1">AVERAGE(OFFSET($AM$3,0,0,'Données projet'!$E$10+1,1))-AVERAGE(OFFSET($H$3,0,0,'Données projet'!$E$10+1,1))</f>
        <v>475.47920969424894</v>
      </c>
      <c r="AO35" s="62">
        <f t="shared" si="36"/>
        <v>271.73544012419364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83.241600000000005</v>
      </c>
      <c r="BF35" s="14">
        <f t="shared" si="37"/>
        <v>22.927930643846508</v>
      </c>
      <c r="BG35" s="22">
        <f t="shared" si="7"/>
        <v>184.91193253803269</v>
      </c>
      <c r="BH35" s="62">
        <f t="shared" si="8"/>
        <v>478.24526587136597</v>
      </c>
      <c r="BI35" s="62">
        <f ca="1">AVERAGE(OFFSET($BH$3,0,0,'Données projet'!$E$11+1,1))-AVERAGE(OFFSET($H$3,0,0,'Données projet'!$E$11+1,1))</f>
        <v>428.8489304403459</v>
      </c>
      <c r="BJ35" s="62">
        <f t="shared" si="38"/>
        <v>247.01165577562966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4.8</v>
      </c>
      <c r="BY35" s="13">
        <f>IF('Données projet'!$A$114&gt;35,BY34+BX35-CG34,IF(A35&lt;'Données projet'!$A$114,$BV$205^A35,IF(A35='Données projet'!$A$114,'Données projet'!$B$114,BY34+BX35-CG34)))</f>
        <v>93.59999999999998</v>
      </c>
      <c r="BZ35" s="14">
        <f>BY35*VLOOKUP('Données projet'!$B$12,Paramètres!$A$1:$I$89,3,0)*VLOOKUP('Données projet'!$B$12,Paramètres!$A$1:$I$89,5,0)</f>
        <v>75.928319999999985</v>
      </c>
      <c r="CA35" s="14">
        <f t="shared" si="39"/>
        <v>21.138630837616763</v>
      </c>
      <c r="CB35" s="22">
        <f t="shared" si="10"/>
        <v>169.05827270884916</v>
      </c>
      <c r="CC35" s="62">
        <f t="shared" si="11"/>
        <v>462.3916060421825</v>
      </c>
      <c r="CD35" s="62">
        <f ca="1">AVERAGE(OFFSET($CC$3,0,0,'Données projet'!$E$12+1,1))-AVERAGE(OFFSET($H$3,0,0,'Données projet'!$E$12+1,1))</f>
        <v>236.22643401787644</v>
      </c>
      <c r="CE35" s="62">
        <f t="shared" si="40"/>
        <v>188.80444043778022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10.407692307692306</v>
      </c>
      <c r="CT35" s="13">
        <f>IF('Données projet'!$A$140&gt;35,CT34+CS35-DB34,IF(A35&lt;'Données projet'!$A$140,$CQ$205^A35,IF(A35='Données projet'!$A$140,'Données projet'!$B$140,CT34+CS35-DB34)))</f>
        <v>124.09230769230767</v>
      </c>
      <c r="CU35" s="18">
        <f>CT35*VLOOKUP('Données projet'!$B$13,Paramètres!$A$1:$I$89,3,0)*VLOOKUP('Données projet'!$B$13,Paramètres!$A$1:$I$89,5,0)</f>
        <v>58.075199999999995</v>
      </c>
      <c r="CV35" s="14">
        <f t="shared" si="41"/>
        <v>16.680699544623803</v>
      </c>
      <c r="CW35" s="22">
        <f t="shared" si="13"/>
        <v>130.19985837355313</v>
      </c>
      <c r="CX35" s="62">
        <f t="shared" si="14"/>
        <v>423.53319170688644</v>
      </c>
      <c r="CY35" s="62">
        <f ca="1">AVERAGE(OFFSET($CX$3,0,0,'Données projet'!$E$13+1,1))-AVERAGE(OFFSET($H$3,0,0,'Données projet'!$E$13+1,1))</f>
        <v>246.73711856758143</v>
      </c>
      <c r="CZ35" s="62">
        <f t="shared" si="42"/>
        <v>145.54897745089966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6.7948717948717956</v>
      </c>
      <c r="DO35" s="13">
        <f>IF('Données projet'!$A$166&gt;35,DO34+DN35-DW34,IF(A35&lt;'Données projet'!$A$166,$DL$205^A35,IF(A35='Données projet'!$A$166,'Données projet'!$B$166,DO34+DN35-DW34)))</f>
        <v>111.02564102564099</v>
      </c>
      <c r="DP35" s="18">
        <f>DO35*VLOOKUP('Données projet'!$B$14,Paramètres!$A$1:$I$89,3,0)*VLOOKUP('Données projet'!$B$14,Paramètres!$A$1:$I$89,5,0)</f>
        <v>116.04399999999997</v>
      </c>
      <c r="DQ35" s="14">
        <f t="shared" si="43"/>
        <v>30.750534860350001</v>
      </c>
      <c r="DR35" s="22">
        <f t="shared" si="16"/>
        <v>255.66714821510956</v>
      </c>
      <c r="DS35" s="62">
        <f t="shared" si="17"/>
        <v>549.00048154844285</v>
      </c>
      <c r="DT35" s="62">
        <f ca="1">AVERAGE(OFFSET($DS$3,0,0,'Données projet'!$E$14+1,1))-AVERAGE(OFFSET($H$3,0,0,'Données projet'!$E$14+1,1))</f>
        <v>493.70175665335978</v>
      </c>
      <c r="DU35" s="62">
        <f t="shared" si="44"/>
        <v>325.12357781685949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6.6</v>
      </c>
      <c r="EJ35" s="13">
        <f>IF('Données projet'!$A$192&gt;35,EJ34+EI35-ER34,IF(A35&lt;'Données projet'!$A$192,$EG$205^A35,IF(A35='Données projet'!$A$192,'Données projet'!$B$192,EJ34+EI35-ER34)))</f>
        <v>75.200000000000017</v>
      </c>
      <c r="EK35" s="18">
        <f>EJ35*VLOOKUP('Données projet'!$B$15,Paramètres!$A$1:$I$89,3,0)*VLOOKUP('Données projet'!$B$15,Paramètres!$A$1:$I$89,5,0)</f>
        <v>65.694720000000032</v>
      </c>
      <c r="EL35" s="14">
        <f t="shared" si="45"/>
        <v>18.600387185619521</v>
      </c>
      <c r="EM35" s="22">
        <f t="shared" si="19"/>
        <v>146.81397834828738</v>
      </c>
      <c r="EN35" s="62">
        <f t="shared" si="20"/>
        <v>440.14731168162069</v>
      </c>
      <c r="EO35" s="62">
        <f ca="1">AVERAGE(OFFSET($EN$3,0,0,'Données projet'!$E$15+1,1))-AVERAGE(OFFSET($H$3,0,0,'Données projet'!$E$15+1,1))</f>
        <v>202.86354781280403</v>
      </c>
      <c r="EP35" s="62">
        <f t="shared" si="46"/>
        <v>217.25323885665131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6.1538461538461515</v>
      </c>
      <c r="FE35" s="13">
        <f>IF('Données projet'!$A$218&gt;35,FE34+FD35-FM34,IF(A35&lt;'Données projet'!$A$218,$FB$205^A35,IF(A35='Données projet'!$A$218,'Données projet'!$B$218,FE34+FD35-FM34)))</f>
        <v>111.02564102564105</v>
      </c>
      <c r="FF35" s="18">
        <f>FE35*VLOOKUP('Données projet'!$B$16,Paramètres!$A$1:$I$89,3,0)*VLOOKUP('Données projet'!$B$16,Paramètres!$A$1:$I$89,5,0)</f>
        <v>105.65200000000003</v>
      </c>
      <c r="FG35" s="14">
        <f t="shared" si="47"/>
        <v>28.304169779393426</v>
      </c>
      <c r="FH35" s="22">
        <f t="shared" si="22"/>
        <v>233.30699569911027</v>
      </c>
      <c r="FI35" s="62">
        <f t="shared" si="23"/>
        <v>526.64032903244356</v>
      </c>
      <c r="FJ35" s="62">
        <f ca="1">AVERAGE(OFFSET($FI$3,0,0,'Données projet'!$E$16+1,1))-AVERAGE(OFFSET($H$3,0,0,'Données projet'!$E$16+1,1))</f>
        <v>353.61481736740694</v>
      </c>
      <c r="FK35" s="62">
        <f t="shared" si="48"/>
        <v>244.7141066773861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3.6</v>
      </c>
      <c r="FZ35" s="13">
        <f>IF('Données projet'!$A$244&gt;35,FZ34+FY35-GH34,IF(A35&lt;'Données projet'!$A$244,$FW$205^A35,IF(A35='Données projet'!$A$244,'Données projet'!$B$244,FZ34+FY35-GH34)))</f>
        <v>61.20000000000001</v>
      </c>
      <c r="GA35" s="18">
        <f>FZ35*VLOOKUP('Données projet'!$B$17,Paramètres!$A$1:$I$89,3,0)*VLOOKUP('Données projet'!$B$17,Paramètres!$A$1:$I$89,5,0)</f>
        <v>65.875680000000003</v>
      </c>
      <c r="GB35" s="14">
        <f t="shared" si="49"/>
        <v>18.64565194906039</v>
      </c>
      <c r="GC35" s="22">
        <f t="shared" si="25"/>
        <v>147.20798647794683</v>
      </c>
      <c r="GD35" s="62">
        <f t="shared" si="26"/>
        <v>440.54131981128012</v>
      </c>
      <c r="GE35" s="62">
        <f ca="1">AVERAGE(OFFSET($GD$3,0,0,'Données projet'!$E$17+1,1))-AVERAGE(OFFSET($H$3,0,0,'Données projet'!$E$17+1,1))</f>
        <v>280.20599015000306</v>
      </c>
      <c r="GF35" s="62">
        <f t="shared" si="50"/>
        <v>166.97658184507787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7.1794871794871824</v>
      </c>
      <c r="GU35" s="13">
        <f>IF('Données projet'!$A$270&gt;35,GU34+GT35-HC34,IF(A35&lt;'Données projet'!$A$270,$GR$205^A35,IF(A35='Données projet'!$A$270,'Données projet'!$B$270,GU34+GT35-HC34)))</f>
        <v>134.23076923076923</v>
      </c>
      <c r="GV35" s="18">
        <f>GU35*VLOOKUP('Données projet'!$B$18,Paramètres!$A$1:$I$89,3,0)*VLOOKUP('Données projet'!$B$18,Paramètres!$A$1:$I$89,5,0)</f>
        <v>90.042000000000002</v>
      </c>
      <c r="GW35" s="14">
        <f t="shared" si="51"/>
        <v>24.575354107485161</v>
      </c>
      <c r="GX35" s="22">
        <f t="shared" si="28"/>
        <v>199.62522507053666</v>
      </c>
      <c r="GY35" s="62">
        <f t="shared" si="29"/>
        <v>492.95855840386997</v>
      </c>
      <c r="GZ35" s="62">
        <f ca="1">AVERAGE(OFFSET($GY$3,0,0,'Données projet'!$E$18+1,1))-AVERAGE(OFFSET($H$3,0,0,'Données projet'!$E$18+1,1))</f>
        <v>291.18686311753402</v>
      </c>
      <c r="HA35" s="62">
        <f t="shared" si="52"/>
        <v>215.44422413249839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9">
        <f t="shared" si="1"/>
        <v>256.66666666666669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14.298901098901101</v>
      </c>
      <c r="N36" s="14">
        <f>IF('Données projet'!$A$36&gt;35,N35+M36-V35,IF(A36&lt;'Données projet'!$A$36,$K$205^A36,IF(A36='Données projet'!$A$36,'Données projet'!$B$36,N35+M36-V35)))</f>
        <v>219.6802197802198</v>
      </c>
      <c r="O36" s="14">
        <f>N36*VLOOKUP('Données projet'!$B$9,Paramètres!$A$1:$I$89,3,0)*VLOOKUP('Données projet'!$B$9,Paramètres!$A$1:$I$89,5,0)</f>
        <v>131.36877142857145</v>
      </c>
      <c r="P36" s="14">
        <f t="shared" si="33"/>
        <v>34.312449162076589</v>
      </c>
      <c r="Q36" s="22">
        <f t="shared" si="53"/>
        <v>288.56145919537863</v>
      </c>
      <c r="R36" s="62">
        <f t="shared" si="0"/>
        <v>581.89479252871195</v>
      </c>
      <c r="S36" s="62">
        <f ca="1">AVERAGE(OFFSET($R$3,0,0,'Données projet'!$E$9+1,1))-AVERAGE(OFFSET($H$3,0,0,'Données projet'!$E$9+1,1))</f>
        <v>260.02504691866199</v>
      </c>
      <c r="T36" s="62">
        <f t="shared" si="34"/>
        <v>270.11268336406368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9.4310040920214817</v>
      </c>
      <c r="AA36" s="23">
        <f>EXP(-LN(2)/25)*AA35+(1-EXP(-LN(2)/25))/(LN(2)/25)*Calculateur!V36*Calculateur!X36*VLOOKUP('Données projet'!$B$9,Paramètres!$A$1:$I$89,3,0)*0.475*44/12</f>
        <v>15.124238681375259</v>
      </c>
      <c r="AB36" s="23">
        <f>EXP(-LN(2)/2)*AB35+(1-EXP(-LN(2)/2))/(LN(2)/2)*V36*Y36*VLOOKUP('Données projet'!$B$9,Paramètres!$A$1:$I$89,3,0)*0.475*44/12</f>
        <v>2.2415146886603132</v>
      </c>
      <c r="AC36" s="24">
        <f t="shared" si="3"/>
        <v>26.796757462057055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2">
        <f t="shared" si="5"/>
        <v>517.477574153982</v>
      </c>
      <c r="AN36" s="62">
        <f ca="1">AVERAGE(OFFSET($AM$3,0,0,'Données projet'!$E$10+1,1))-AVERAGE(OFFSET($H$3,0,0,'Données projet'!$E$10+1,1))</f>
        <v>475.47920969424894</v>
      </c>
      <c r="AO36" s="62">
        <f t="shared" si="36"/>
        <v>271.73544012419364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90.47999999999999</v>
      </c>
      <c r="BF36" s="14">
        <f t="shared" si="37"/>
        <v>24.680953573367994</v>
      </c>
      <c r="BG36" s="22">
        <f t="shared" si="7"/>
        <v>200.57199414028256</v>
      </c>
      <c r="BH36" s="62">
        <f t="shared" si="8"/>
        <v>493.9053274736159</v>
      </c>
      <c r="BI36" s="62">
        <f ca="1">AVERAGE(OFFSET($BH$3,0,0,'Données projet'!$E$11+1,1))-AVERAGE(OFFSET($H$3,0,0,'Données projet'!$E$11+1,1))</f>
        <v>428.8489304403459</v>
      </c>
      <c r="BJ36" s="62">
        <f t="shared" si="38"/>
        <v>247.01165577562966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4.8</v>
      </c>
      <c r="BY36" s="13">
        <f>IF('Données projet'!$A$114&gt;35,BY35+BX36-CG35,IF(A36&lt;'Données projet'!$A$114,$BV$205^A36,IF(A36='Données projet'!$A$114,'Données projet'!$B$114,BY35+BX36-CG35)))</f>
        <v>98.399999999999977</v>
      </c>
      <c r="BZ36" s="14">
        <f>BY36*VLOOKUP('Données projet'!$B$12,Paramètres!$A$1:$I$89,3,0)*VLOOKUP('Données projet'!$B$12,Paramètres!$A$1:$I$89,5,0)</f>
        <v>79.822079999999985</v>
      </c>
      <c r="CA36" s="14">
        <f t="shared" si="39"/>
        <v>22.093676128235838</v>
      </c>
      <c r="CB36" s="22">
        <f t="shared" si="10"/>
        <v>177.5032752566774</v>
      </c>
      <c r="CC36" s="62">
        <f t="shared" si="11"/>
        <v>470.83660859001071</v>
      </c>
      <c r="CD36" s="62">
        <f ca="1">AVERAGE(OFFSET($CC$3,0,0,'Données projet'!$E$12+1,1))-AVERAGE(OFFSET($H$3,0,0,'Données projet'!$E$12+1,1))</f>
        <v>236.22643401787644</v>
      </c>
      <c r="CE36" s="62">
        <f t="shared" si="40"/>
        <v>188.80444043778022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10.407692307692306</v>
      </c>
      <c r="CT36" s="13">
        <f>IF('Données projet'!$A$140&gt;35,CT35+CS36-DB35,IF(A36&lt;'Données projet'!$A$140,$CQ$205^A36,IF(A36='Données projet'!$A$140,'Données projet'!$B$140,CT35+CS36-DB35)))</f>
        <v>134.49999999999997</v>
      </c>
      <c r="CU36" s="18">
        <f>CT36*VLOOKUP('Données projet'!$B$13,Paramètres!$A$1:$I$89,3,0)*VLOOKUP('Données projet'!$B$13,Paramètres!$A$1:$I$89,5,0)</f>
        <v>62.945999999999984</v>
      </c>
      <c r="CV36" s="14">
        <f t="shared" si="41"/>
        <v>17.911019680519317</v>
      </c>
      <c r="CW36" s="22">
        <f t="shared" si="13"/>
        <v>140.82597594357108</v>
      </c>
      <c r="CX36" s="62">
        <f t="shared" si="14"/>
        <v>434.15930927690442</v>
      </c>
      <c r="CY36" s="62">
        <f ca="1">AVERAGE(OFFSET($CX$3,0,0,'Données projet'!$E$13+1,1))-AVERAGE(OFFSET($H$3,0,0,'Données projet'!$E$13+1,1))</f>
        <v>246.73711856758143</v>
      </c>
      <c r="CZ36" s="62">
        <f t="shared" si="42"/>
        <v>145.54897745089966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6.7948717948717956</v>
      </c>
      <c r="DO36" s="13">
        <f>IF('Données projet'!$A$166&gt;35,DO35+DN36-DW35,IF(A36&lt;'Données projet'!$A$166,$DL$205^A36,IF(A36='Données projet'!$A$166,'Données projet'!$B$166,DO35+DN36-DW35)))</f>
        <v>117.82051282051279</v>
      </c>
      <c r="DP36" s="18">
        <f>DO36*VLOOKUP('Données projet'!$B$14,Paramètres!$A$1:$I$89,3,0)*VLOOKUP('Données projet'!$B$14,Paramètres!$A$1:$I$89,5,0)</f>
        <v>123.14599999999997</v>
      </c>
      <c r="DQ36" s="14">
        <f t="shared" si="43"/>
        <v>32.407643337050729</v>
      </c>
      <c r="DR36" s="22">
        <f t="shared" si="16"/>
        <v>270.92259547869656</v>
      </c>
      <c r="DS36" s="62">
        <f t="shared" si="17"/>
        <v>564.25592881202988</v>
      </c>
      <c r="DT36" s="62">
        <f ca="1">AVERAGE(OFFSET($DS$3,0,0,'Données projet'!$E$14+1,1))-AVERAGE(OFFSET($H$3,0,0,'Données projet'!$E$14+1,1))</f>
        <v>493.70175665335978</v>
      </c>
      <c r="DU36" s="62">
        <f t="shared" si="44"/>
        <v>325.12357781685949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6.6</v>
      </c>
      <c r="EJ36" s="13">
        <f>IF('Données projet'!$A$192&gt;35,EJ35+EI36-ER35,IF(A36&lt;'Données projet'!$A$192,$EG$205^A36,IF(A36='Données projet'!$A$192,'Données projet'!$B$192,EJ35+EI36-ER35)))</f>
        <v>81.800000000000011</v>
      </c>
      <c r="EK36" s="18">
        <f>EJ36*VLOOKUP('Données projet'!$B$15,Paramètres!$A$1:$I$89,3,0)*VLOOKUP('Données projet'!$B$15,Paramètres!$A$1:$I$89,5,0)</f>
        <v>71.460480000000018</v>
      </c>
      <c r="EL36" s="14">
        <f t="shared" si="45"/>
        <v>20.035709203981977</v>
      </c>
      <c r="EM36" s="22">
        <f t="shared" si="19"/>
        <v>159.35586286360197</v>
      </c>
      <c r="EN36" s="62">
        <f t="shared" si="20"/>
        <v>452.68919619693531</v>
      </c>
      <c r="EO36" s="62">
        <f ca="1">AVERAGE(OFFSET($EN$3,0,0,'Données projet'!$E$15+1,1))-AVERAGE(OFFSET($H$3,0,0,'Données projet'!$E$15+1,1))</f>
        <v>202.86354781280403</v>
      </c>
      <c r="EP36" s="62">
        <f t="shared" si="46"/>
        <v>217.25323885665131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6.1538461538461515</v>
      </c>
      <c r="FE36" s="13">
        <f>IF('Données projet'!$A$218&gt;35,FE35+FD36-FM35,IF(A36&lt;'Données projet'!$A$218,$FB$205^A36,IF(A36='Données projet'!$A$218,'Données projet'!$B$218,FE35+FD36-FM35)))</f>
        <v>117.1794871794872</v>
      </c>
      <c r="FF36" s="18">
        <f>FE36*VLOOKUP('Données projet'!$B$16,Paramètres!$A$1:$I$89,3,0)*VLOOKUP('Données projet'!$B$16,Paramètres!$A$1:$I$89,5,0)</f>
        <v>111.50800000000002</v>
      </c>
      <c r="FG36" s="14">
        <f t="shared" si="47"/>
        <v>29.685999090183582</v>
      </c>
      <c r="FH36" s="22">
        <f t="shared" si="22"/>
        <v>245.9128817487364</v>
      </c>
      <c r="FI36" s="62">
        <f t="shared" si="23"/>
        <v>539.24621508206974</v>
      </c>
      <c r="FJ36" s="62">
        <f ca="1">AVERAGE(OFFSET($FI$3,0,0,'Données projet'!$E$16+1,1))-AVERAGE(OFFSET($H$3,0,0,'Données projet'!$E$16+1,1))</f>
        <v>353.61481736740694</v>
      </c>
      <c r="FK36" s="62">
        <f t="shared" si="48"/>
        <v>244.7141066773861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3.6</v>
      </c>
      <c r="FZ36" s="13">
        <f>IF('Données projet'!$A$244&gt;35,FZ35+FY36-GH35,IF(A36&lt;'Données projet'!$A$244,$FW$205^A36,IF(A36='Données projet'!$A$244,'Données projet'!$B$244,FZ35+FY36-GH35)))</f>
        <v>64.800000000000011</v>
      </c>
      <c r="GA36" s="18">
        <f>FZ36*VLOOKUP('Données projet'!$B$17,Paramètres!$A$1:$I$89,3,0)*VLOOKUP('Données projet'!$B$17,Paramètres!$A$1:$I$89,5,0)</f>
        <v>69.750720000000001</v>
      </c>
      <c r="GB36" s="14">
        <f t="shared" si="49"/>
        <v>19.611539714272144</v>
      </c>
      <c r="GC36" s="22">
        <f t="shared" si="25"/>
        <v>155.63926900235728</v>
      </c>
      <c r="GD36" s="62">
        <f t="shared" si="26"/>
        <v>448.97260233569057</v>
      </c>
      <c r="GE36" s="62">
        <f ca="1">AVERAGE(OFFSET($GD$3,0,0,'Données projet'!$E$17+1,1))-AVERAGE(OFFSET($H$3,0,0,'Données projet'!$E$17+1,1))</f>
        <v>280.20599015000306</v>
      </c>
      <c r="GF36" s="62">
        <f t="shared" si="50"/>
        <v>166.97658184507787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7.1794871794871824</v>
      </c>
      <c r="GU36" s="13">
        <f>IF('Données projet'!$A$270&gt;35,GU35+GT36-HC35,IF(A36&lt;'Données projet'!$A$270,$GR$205^A36,IF(A36='Données projet'!$A$270,'Données projet'!$B$270,GU35+GT36-HC35)))</f>
        <v>141.41025641025641</v>
      </c>
      <c r="GV36" s="18">
        <f>GU36*VLOOKUP('Données projet'!$B$18,Paramètres!$A$1:$I$89,3,0)*VLOOKUP('Données projet'!$B$18,Paramètres!$A$1:$I$89,5,0)</f>
        <v>94.858000000000004</v>
      </c>
      <c r="GW36" s="14">
        <f t="shared" si="51"/>
        <v>25.733248812615624</v>
      </c>
      <c r="GX36" s="22">
        <f t="shared" si="28"/>
        <v>210.02975834863889</v>
      </c>
      <c r="GY36" s="62">
        <f t="shared" si="29"/>
        <v>503.36309168197221</v>
      </c>
      <c r="GZ36" s="62">
        <f ca="1">AVERAGE(OFFSET($GY$3,0,0,'Données projet'!$E$18+1,1))-AVERAGE(OFFSET($H$3,0,0,'Données projet'!$E$18+1,1))</f>
        <v>291.18686311753402</v>
      </c>
      <c r="HA36" s="62">
        <f t="shared" si="52"/>
        <v>215.44422413249839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9">
        <f t="shared" si="1"/>
        <v>256.66666666666669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14.298901098901101</v>
      </c>
      <c r="N37" s="14">
        <f>IF('Données projet'!$A$36&gt;35,N36+M37-V36,IF(A37&lt;'Données projet'!$A$36,$K$205^A37,IF(A37='Données projet'!$A$36,'Données projet'!$B$36,N36+M37-V36)))</f>
        <v>233.9791208791209</v>
      </c>
      <c r="O37" s="14">
        <f>N37*VLOOKUP('Données projet'!$B$9,Paramètres!$A$1:$I$89,3,0)*VLOOKUP('Données projet'!$B$9,Paramètres!$A$1:$I$89,5,0)</f>
        <v>139.91951428571431</v>
      </c>
      <c r="P37" s="14">
        <f t="shared" si="33"/>
        <v>36.278566731027588</v>
      </c>
      <c r="Q37" s="22">
        <f t="shared" si="53"/>
        <v>306.87832443749215</v>
      </c>
      <c r="R37" s="62">
        <f t="shared" si="0"/>
        <v>600.21165777082547</v>
      </c>
      <c r="S37" s="62">
        <f ca="1">AVERAGE(OFFSET($R$3,0,0,'Données projet'!$E$9+1,1))-AVERAGE(OFFSET($H$3,0,0,'Données projet'!$E$9+1,1))</f>
        <v>260.02504691866199</v>
      </c>
      <c r="T37" s="62">
        <f t="shared" si="34"/>
        <v>270.11268336406368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9.2460678541214403</v>
      </c>
      <c r="AA37" s="23">
        <f>EXP(-LN(2)/25)*AA36+(1-EXP(-LN(2)/25))/(LN(2)/25)*Calculateur!V37*Calculateur!X37*VLOOKUP('Données projet'!$B$9,Paramètres!$A$1:$I$89,3,0)*0.475*44/12</f>
        <v>14.710665579283907</v>
      </c>
      <c r="AB37" s="23">
        <f>EXP(-LN(2)/2)*AB36+(1-EXP(-LN(2)/2))/(LN(2)/2)*V37*Y37*VLOOKUP('Données projet'!$B$9,Paramètres!$A$1:$I$89,3,0)*0.475*44/12</f>
        <v>1.5849902364809605</v>
      </c>
      <c r="AC37" s="24">
        <f t="shared" si="3"/>
        <v>25.541723669886309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2">
        <f t="shared" si="5"/>
        <v>534.95122875168499</v>
      </c>
      <c r="AN37" s="62">
        <f ca="1">AVERAGE(OFFSET($AM$3,0,0,'Données projet'!$E$10+1,1))-AVERAGE(OFFSET($H$3,0,0,'Données projet'!$E$10+1,1))</f>
        <v>475.47920969424894</v>
      </c>
      <c r="AO37" s="62">
        <f t="shared" si="36"/>
        <v>271.73544012419364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97.718399999999988</v>
      </c>
      <c r="BF37" s="14">
        <f t="shared" si="37"/>
        <v>26.417709819192194</v>
      </c>
      <c r="BG37" s="22">
        <f t="shared" si="7"/>
        <v>216.20372460175972</v>
      </c>
      <c r="BH37" s="62">
        <f t="shared" si="8"/>
        <v>509.537057935093</v>
      </c>
      <c r="BI37" s="62">
        <f ca="1">AVERAGE(OFFSET($BH$3,0,0,'Données projet'!$E$11+1,1))-AVERAGE(OFFSET($H$3,0,0,'Données projet'!$E$11+1,1))</f>
        <v>428.8489304403459</v>
      </c>
      <c r="BJ37" s="62">
        <f t="shared" si="38"/>
        <v>247.01165577562966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4.8</v>
      </c>
      <c r="BY37" s="13">
        <f>IF('Données projet'!$A$114&gt;35,BY36+BX37-CG36,IF(A37&lt;'Données projet'!$A$114,$BV$205^A37,IF(A37='Données projet'!$A$114,'Données projet'!$B$114,BY36+BX37-CG36)))</f>
        <v>103.19999999999997</v>
      </c>
      <c r="BZ37" s="14">
        <f>BY37*VLOOKUP('Données projet'!$B$12,Paramètres!$A$1:$I$89,3,0)*VLOOKUP('Données projet'!$B$12,Paramètres!$A$1:$I$89,5,0)</f>
        <v>83.715839999999986</v>
      </c>
      <c r="CA37" s="14">
        <f t="shared" si="39"/>
        <v>23.043311726295538</v>
      </c>
      <c r="CB37" s="22">
        <f t="shared" si="10"/>
        <v>185.93885592329801</v>
      </c>
      <c r="CC37" s="62">
        <f t="shared" si="11"/>
        <v>479.27218925663135</v>
      </c>
      <c r="CD37" s="62">
        <f ca="1">AVERAGE(OFFSET($CC$3,0,0,'Données projet'!$E$12+1,1))-AVERAGE(OFFSET($H$3,0,0,'Données projet'!$E$12+1,1))</f>
        <v>236.22643401787644</v>
      </c>
      <c r="CE37" s="62">
        <f t="shared" si="40"/>
        <v>188.80444043778022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10.407692307692306</v>
      </c>
      <c r="CT37" s="13">
        <f>IF('Données projet'!$A$140&gt;35,CT36+CS37-DB36,IF(A37&lt;'Données projet'!$A$140,$CQ$205^A37,IF(A37='Données projet'!$A$140,'Données projet'!$B$140,CT36+CS37-DB36)))</f>
        <v>144.90769230769229</v>
      </c>
      <c r="CU37" s="18">
        <f>CT37*VLOOKUP('Données projet'!$B$13,Paramètres!$A$1:$I$89,3,0)*VLOOKUP('Données projet'!$B$13,Paramètres!$A$1:$I$89,5,0)</f>
        <v>67.816799999999986</v>
      </c>
      <c r="CV37" s="14">
        <f t="shared" si="41"/>
        <v>19.130296326257337</v>
      </c>
      <c r="CW37" s="22">
        <f t="shared" si="13"/>
        <v>151.43285943489818</v>
      </c>
      <c r="CX37" s="62">
        <f t="shared" si="14"/>
        <v>444.76619276823146</v>
      </c>
      <c r="CY37" s="62">
        <f ca="1">AVERAGE(OFFSET($CX$3,0,0,'Données projet'!$E$13+1,1))-AVERAGE(OFFSET($H$3,0,0,'Données projet'!$E$13+1,1))</f>
        <v>246.73711856758143</v>
      </c>
      <c r="CZ37" s="62">
        <f t="shared" si="42"/>
        <v>145.54897745089966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6.7948717948717956</v>
      </c>
      <c r="DO37" s="13">
        <f>IF('Données projet'!$A$166&gt;35,DO36+DN37-DW36,IF(A37&lt;'Données projet'!$A$166,$DL$205^A37,IF(A37='Données projet'!$A$166,'Données projet'!$B$166,DO36+DN37-DW36)))</f>
        <v>124.61538461538458</v>
      </c>
      <c r="DP37" s="18">
        <f>DO37*VLOOKUP('Données projet'!$B$14,Paramètres!$A$1:$I$89,3,0)*VLOOKUP('Données projet'!$B$14,Paramètres!$A$1:$I$89,5,0)</f>
        <v>130.24799999999999</v>
      </c>
      <c r="DQ37" s="14">
        <f t="shared" si="43"/>
        <v>34.053658492903352</v>
      </c>
      <c r="DR37" s="22">
        <f t="shared" si="16"/>
        <v>286.15872187513997</v>
      </c>
      <c r="DS37" s="62">
        <f t="shared" si="17"/>
        <v>579.49205520847329</v>
      </c>
      <c r="DT37" s="62">
        <f ca="1">AVERAGE(OFFSET($DS$3,0,0,'Données projet'!$E$14+1,1))-AVERAGE(OFFSET($H$3,0,0,'Données projet'!$E$14+1,1))</f>
        <v>493.70175665335978</v>
      </c>
      <c r="DU37" s="62">
        <f t="shared" si="44"/>
        <v>325.12357781685949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6.6</v>
      </c>
      <c r="EJ37" s="13">
        <f>IF('Données projet'!$A$192&gt;35,EJ36+EI37-ER36,IF(A37&lt;'Données projet'!$A$192,$EG$205^A37,IF(A37='Données projet'!$A$192,'Données projet'!$B$192,EJ36+EI37-ER36)))</f>
        <v>88.4</v>
      </c>
      <c r="EK37" s="18">
        <f>EJ37*VLOOKUP('Données projet'!$B$15,Paramètres!$A$1:$I$89,3,0)*VLOOKUP('Données projet'!$B$15,Paramètres!$A$1:$I$89,5,0)</f>
        <v>77.226240000000004</v>
      </c>
      <c r="EL37" s="14">
        <f t="shared" si="45"/>
        <v>21.457598855530147</v>
      </c>
      <c r="EM37" s="22">
        <f t="shared" si="19"/>
        <v>171.87435267338171</v>
      </c>
      <c r="EN37" s="62">
        <f t="shared" si="20"/>
        <v>465.20768600671499</v>
      </c>
      <c r="EO37" s="62">
        <f ca="1">AVERAGE(OFFSET($EN$3,0,0,'Données projet'!$E$15+1,1))-AVERAGE(OFFSET($H$3,0,0,'Données projet'!$E$15+1,1))</f>
        <v>202.86354781280403</v>
      </c>
      <c r="EP37" s="62">
        <f t="shared" si="46"/>
        <v>217.25323885665131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6.1538461538461515</v>
      </c>
      <c r="FE37" s="13">
        <f>IF('Données projet'!$A$218&gt;35,FE36+FD37-FM36,IF(A37&lt;'Données projet'!$A$218,$FB$205^A37,IF(A37='Données projet'!$A$218,'Données projet'!$B$218,FE36+FD37-FM36)))</f>
        <v>123.33333333333334</v>
      </c>
      <c r="FF37" s="18">
        <f>FE37*VLOOKUP('Données projet'!$B$16,Paramètres!$A$1:$I$89,3,0)*VLOOKUP('Données projet'!$B$16,Paramètres!$A$1:$I$89,5,0)</f>
        <v>117.364</v>
      </c>
      <c r="FG37" s="14">
        <f t="shared" si="47"/>
        <v>31.059403079292686</v>
      </c>
      <c r="FH37" s="22">
        <f t="shared" si="22"/>
        <v>258.50409369643472</v>
      </c>
      <c r="FI37" s="62">
        <f t="shared" si="23"/>
        <v>551.83742702976804</v>
      </c>
      <c r="FJ37" s="62">
        <f ca="1">AVERAGE(OFFSET($FI$3,0,0,'Données projet'!$E$16+1,1))-AVERAGE(OFFSET($H$3,0,0,'Données projet'!$E$16+1,1))</f>
        <v>353.61481736740694</v>
      </c>
      <c r="FK37" s="62">
        <f t="shared" si="48"/>
        <v>244.7141066773861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3.6</v>
      </c>
      <c r="FZ37" s="13">
        <f>IF('Données projet'!$A$244&gt;35,FZ36+FY37-GH36,IF(A37&lt;'Données projet'!$A$244,$FW$205^A37,IF(A37='Données projet'!$A$244,'Données projet'!$B$244,FZ36+FY37-GH36)))</f>
        <v>68.400000000000006</v>
      </c>
      <c r="GA37" s="18">
        <f>FZ37*VLOOKUP('Données projet'!$B$17,Paramètres!$A$1:$I$89,3,0)*VLOOKUP('Données projet'!$B$17,Paramètres!$A$1:$I$89,5,0)</f>
        <v>73.62576</v>
      </c>
      <c r="GB37" s="14">
        <f t="shared" si="49"/>
        <v>20.571198174996731</v>
      </c>
      <c r="GC37" s="22">
        <f t="shared" si="25"/>
        <v>164.05970215478595</v>
      </c>
      <c r="GD37" s="62">
        <f t="shared" si="26"/>
        <v>457.39303548811927</v>
      </c>
      <c r="GE37" s="62">
        <f ca="1">AVERAGE(OFFSET($GD$3,0,0,'Données projet'!$E$17+1,1))-AVERAGE(OFFSET($H$3,0,0,'Données projet'!$E$17+1,1))</f>
        <v>280.20599015000306</v>
      </c>
      <c r="GF37" s="62">
        <f t="shared" si="50"/>
        <v>166.97658184507787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7.1794871794871824</v>
      </c>
      <c r="GU37" s="13">
        <f>IF('Données projet'!$A$270&gt;35,GU36+GT37-HC36,IF(A37&lt;'Données projet'!$A$270,$GR$205^A37,IF(A37='Données projet'!$A$270,'Données projet'!$B$270,GU36+GT37-HC36)))</f>
        <v>148.58974358974359</v>
      </c>
      <c r="GV37" s="18">
        <f>GU37*VLOOKUP('Données projet'!$B$18,Paramètres!$A$1:$I$89,3,0)*VLOOKUP('Données projet'!$B$18,Paramètres!$A$1:$I$89,5,0)</f>
        <v>99.674000000000007</v>
      </c>
      <c r="GW37" s="14">
        <f t="shared" si="51"/>
        <v>26.884317790337015</v>
      </c>
      <c r="GX37" s="22">
        <f t="shared" si="28"/>
        <v>220.42240348483696</v>
      </c>
      <c r="GY37" s="62">
        <f t="shared" si="29"/>
        <v>513.75573681817025</v>
      </c>
      <c r="GZ37" s="62">
        <f ca="1">AVERAGE(OFFSET($GY$3,0,0,'Données projet'!$E$18+1,1))-AVERAGE(OFFSET($H$3,0,0,'Données projet'!$E$18+1,1))</f>
        <v>291.18686311753402</v>
      </c>
      <c r="HA37" s="62">
        <f t="shared" si="52"/>
        <v>215.44422413249839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9">
        <f t="shared" si="1"/>
        <v>256.66666666666669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14.298901098901101</v>
      </c>
      <c r="N38" s="14">
        <f>IF('Données projet'!$A$36&gt;35,N37+M38-V37,IF(A38&lt;'Données projet'!$A$36,$K$205^A38,IF(A38='Données projet'!$A$36,'Données projet'!$B$36,N37+M38-V37)))</f>
        <v>248.278021978022</v>
      </c>
      <c r="O38" s="14">
        <f>N38*VLOOKUP('Données projet'!$B$9,Paramètres!$A$1:$I$89,3,0)*VLOOKUP('Données projet'!$B$9,Paramètres!$A$1:$I$89,5,0)</f>
        <v>148.47025714285718</v>
      </c>
      <c r="P38" s="14">
        <f t="shared" si="33"/>
        <v>38.230738941903269</v>
      </c>
      <c r="Q38" s="22">
        <f t="shared" si="53"/>
        <v>325.17090151429107</v>
      </c>
      <c r="R38" s="62">
        <f t="shared" si="0"/>
        <v>618.50423484762439</v>
      </c>
      <c r="S38" s="62">
        <f ca="1">AVERAGE(OFFSET($R$3,0,0,'Données projet'!$E$9+1,1))-AVERAGE(OFFSET($H$3,0,0,'Données projet'!$E$9+1,1))</f>
        <v>260.02504691866199</v>
      </c>
      <c r="T38" s="62">
        <f t="shared" si="34"/>
        <v>270.11268336406368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9.0647581030466515</v>
      </c>
      <c r="AA38" s="23">
        <f>EXP(-LN(2)/25)*AA37+(1-EXP(-LN(2)/25))/(LN(2)/25)*Calculateur!V38*Calculateur!X38*VLOOKUP('Données projet'!$B$9,Paramètres!$A$1:$I$89,3,0)*0.475*44/12</f>
        <v>14.308401655418107</v>
      </c>
      <c r="AB38" s="23">
        <f>EXP(-LN(2)/2)*AB37+(1-EXP(-LN(2)/2))/(LN(2)/2)*V38*Y38*VLOOKUP('Données projet'!$B$9,Paramètres!$A$1:$I$89,3,0)*0.475*44/12</f>
        <v>1.1207573443301568</v>
      </c>
      <c r="AC38" s="24">
        <f t="shared" si="3"/>
        <v>24.493917102794917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552.39613607545789</v>
      </c>
      <c r="AN38" s="62">
        <f ca="1">AVERAGE(OFFSET($AM$3,0,0,'Données projet'!$E$10+1,1))-AVERAGE(OFFSET($H$3,0,0,'Données projet'!$E$10+1,1))</f>
        <v>475.47920969424894</v>
      </c>
      <c r="AO38" s="62">
        <f t="shared" si="36"/>
        <v>271.73544012419364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104.9568</v>
      </c>
      <c r="BF38" s="14">
        <f t="shared" si="37"/>
        <v>28.139541339232373</v>
      </c>
      <c r="BG38" s="22">
        <f t="shared" si="7"/>
        <v>231.8094611658297</v>
      </c>
      <c r="BH38" s="62">
        <f t="shared" si="8"/>
        <v>525.14279449916307</v>
      </c>
      <c r="BI38" s="62">
        <f ca="1">AVERAGE(OFFSET($BH$3,0,0,'Données projet'!$E$11+1,1))-AVERAGE(OFFSET($H$3,0,0,'Données projet'!$E$11+1,1))</f>
        <v>428.8489304403459</v>
      </c>
      <c r="BJ38" s="62">
        <f t="shared" si="38"/>
        <v>247.01165577562966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108</v>
      </c>
      <c r="BW38" s="13">
        <f>VLOOKUP(A38,'Données projet'!$A$113:$I$133,9,0)</f>
        <v>4.8</v>
      </c>
      <c r="BX38" s="13">
        <f t="array" ref="BX38">INDEX(BW:BW,MIN(IF(ISNUMBER(BW38:BW234),ROW(BW38:BW234),"")))</f>
        <v>4.8</v>
      </c>
      <c r="BY38" s="13">
        <f>IF('Données projet'!$A$114&gt;35,BY37+BX38-CG37,IF(A38&lt;'Données projet'!$A$114,$BV$205^A38,IF(A38='Données projet'!$A$114,'Données projet'!$B$114,BY37+BX38-CG37)))</f>
        <v>107.99999999999997</v>
      </c>
      <c r="BZ38" s="14">
        <f>BY38*VLOOKUP('Données projet'!$B$12,Paramètres!$A$1:$I$89,3,0)*VLOOKUP('Données projet'!$B$12,Paramètres!$A$1:$I$89,5,0)</f>
        <v>87.609599999999986</v>
      </c>
      <c r="CA38" s="14">
        <f t="shared" si="39"/>
        <v>23.987817980868787</v>
      </c>
      <c r="CB38" s="22">
        <f t="shared" si="10"/>
        <v>194.36550298334643</v>
      </c>
      <c r="CC38" s="62">
        <f t="shared" si="11"/>
        <v>487.69883631667972</v>
      </c>
      <c r="CD38" s="62">
        <f ca="1">AVERAGE(OFFSET($CC$3,0,0,'Données projet'!$E$12+1,1))-AVERAGE(OFFSET($H$3,0,0,'Données projet'!$E$12+1,1))</f>
        <v>236.22643401787644</v>
      </c>
      <c r="CE38" s="62">
        <f t="shared" si="40"/>
        <v>188.80444043778022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19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10.407692307692306</v>
      </c>
      <c r="CT38" s="13">
        <f>IF('Données projet'!$A$140&gt;35,CT37+CS38-DB37,IF(A38&lt;'Données projet'!$A$140,$CQ$205^A38,IF(A38='Données projet'!$A$140,'Données projet'!$B$140,CT37+CS38-DB37)))</f>
        <v>155.3153846153846</v>
      </c>
      <c r="CU38" s="18">
        <f>CT38*VLOOKUP('Données projet'!$B$13,Paramètres!$A$1:$I$89,3,0)*VLOOKUP('Données projet'!$B$13,Paramètres!$A$1:$I$89,5,0)</f>
        <v>72.687600000000003</v>
      </c>
      <c r="CV38" s="14">
        <f t="shared" si="41"/>
        <v>20.339412865653394</v>
      </c>
      <c r="CW38" s="22">
        <f t="shared" si="13"/>
        <v>162.02204740767968</v>
      </c>
      <c r="CX38" s="62">
        <f t="shared" si="14"/>
        <v>455.35538074101299</v>
      </c>
      <c r="CY38" s="62">
        <f ca="1">AVERAGE(OFFSET($CX$3,0,0,'Données projet'!$E$13+1,1))-AVERAGE(OFFSET($H$3,0,0,'Données projet'!$E$13+1,1))</f>
        <v>246.73711856758143</v>
      </c>
      <c r="CZ38" s="62">
        <f t="shared" si="42"/>
        <v>145.54897745089966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131.41025641025641</v>
      </c>
      <c r="DM38" s="13">
        <f>VLOOKUP(A38,'Données projet'!$A$165:$I$185,9,0)</f>
        <v>6.7948717948717956</v>
      </c>
      <c r="DN38" s="13">
        <f t="array" ref="DN38">INDEX(DM:DM,MIN(IF(ISNUMBER(DM38:DM234),ROW(DM38:DM234),"")))</f>
        <v>6.7948717948717956</v>
      </c>
      <c r="DO38" s="13">
        <f>IF('Données projet'!$A$166&gt;35,DO37+DN38-DW37,IF(A38&lt;'Données projet'!$A$166,$DL$205^A38,IF(A38='Données projet'!$A$166,'Données projet'!$B$166,DO37+DN38-DW37)))</f>
        <v>131.41025641025638</v>
      </c>
      <c r="DP38" s="18">
        <f>DO38*VLOOKUP('Données projet'!$B$14,Paramètres!$A$1:$I$89,3,0)*VLOOKUP('Données projet'!$B$14,Paramètres!$A$1:$I$89,5,0)</f>
        <v>137.35</v>
      </c>
      <c r="DQ38" s="14">
        <f t="shared" si="43"/>
        <v>35.68925416600387</v>
      </c>
      <c r="DR38" s="22">
        <f t="shared" si="16"/>
        <v>301.37670100579004</v>
      </c>
      <c r="DS38" s="62">
        <f t="shared" si="17"/>
        <v>594.71003433912335</v>
      </c>
      <c r="DT38" s="62">
        <f ca="1">AVERAGE(OFFSET($DS$3,0,0,'Données projet'!$E$14+1,1))-AVERAGE(OFFSET($H$3,0,0,'Données projet'!$E$14+1,1))</f>
        <v>493.70175665335978</v>
      </c>
      <c r="DU38" s="62">
        <f t="shared" si="44"/>
        <v>325.12357781685949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95</v>
      </c>
      <c r="EH38" s="13">
        <f>VLOOKUP(A38,'Données projet'!$A$191:$I$211,9,0)</f>
        <v>6.6</v>
      </c>
      <c r="EI38" s="13">
        <f t="array" ref="EI38">INDEX(EH:EH,MIN(IF(ISNUMBER(EH38:EH234),ROW(EH38:EH234),"")))</f>
        <v>6.6</v>
      </c>
      <c r="EJ38" s="13">
        <f>IF('Données projet'!$A$192&gt;35,EJ37+EI38-ER37,IF(A38&lt;'Données projet'!$A$192,$EG$205^A38,IF(A38='Données projet'!$A$192,'Données projet'!$B$192,EJ37+EI38-ER37)))</f>
        <v>95</v>
      </c>
      <c r="EK38" s="18">
        <f>EJ38*VLOOKUP('Données projet'!$B$15,Paramètres!$A$1:$I$89,3,0)*VLOOKUP('Données projet'!$B$15,Paramètres!$A$1:$I$89,5,0)</f>
        <v>82.992000000000004</v>
      </c>
      <c r="EL38" s="14">
        <f t="shared" si="45"/>
        <v>22.867173045817324</v>
      </c>
      <c r="EM38" s="22">
        <f t="shared" si="19"/>
        <v>184.37139305479852</v>
      </c>
      <c r="EN38" s="62">
        <f t="shared" si="20"/>
        <v>477.7047263881318</v>
      </c>
      <c r="EO38" s="62">
        <f ca="1">AVERAGE(OFFSET($EN$3,0,0,'Données projet'!$E$15+1,1))-AVERAGE(OFFSET($H$3,0,0,'Données projet'!$E$15+1,1))</f>
        <v>202.86354781280403</v>
      </c>
      <c r="EP38" s="62">
        <f t="shared" si="46"/>
        <v>217.25323885665131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129.48717948717947</v>
      </c>
      <c r="FC38" s="13">
        <f>VLOOKUP(A38,'Données projet'!$A$217:$I$237,9,0)</f>
        <v>6.1538461538461515</v>
      </c>
      <c r="FD38" s="13">
        <f t="array" ref="FD38">INDEX(FC:FC,MIN(IF(ISNUMBER(FC38:FC234),ROW(FC38:FC234),"")))</f>
        <v>6.1538461538461515</v>
      </c>
      <c r="FE38" s="13">
        <f>IF('Données projet'!$A$218&gt;35,FE37+FD38-FM37,IF(A38&lt;'Données projet'!$A$218,$FB$205^A38,IF(A38='Données projet'!$A$218,'Données projet'!$B$218,FE37+FD38-FM37)))</f>
        <v>129.4871794871795</v>
      </c>
      <c r="FF38" s="18">
        <f>FE38*VLOOKUP('Données projet'!$B$16,Paramètres!$A$1:$I$89,3,0)*VLOOKUP('Données projet'!$B$16,Paramètres!$A$1:$I$89,5,0)</f>
        <v>123.22000000000001</v>
      </c>
      <c r="FG38" s="14">
        <f t="shared" si="47"/>
        <v>32.42485010818541</v>
      </c>
      <c r="FH38" s="22">
        <f t="shared" si="22"/>
        <v>271.0814472717563</v>
      </c>
      <c r="FI38" s="62">
        <f t="shared" si="23"/>
        <v>564.41478060508962</v>
      </c>
      <c r="FJ38" s="62">
        <f ca="1">AVERAGE(OFFSET($FI$3,0,0,'Données projet'!$E$16+1,1))-AVERAGE(OFFSET($H$3,0,0,'Données projet'!$E$16+1,1))</f>
        <v>353.61481736740694</v>
      </c>
      <c r="FK38" s="62">
        <f t="shared" si="48"/>
        <v>244.7141066773861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26.282051282051281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72</v>
      </c>
      <c r="FX38" s="13">
        <f>VLOOKUP(A38,'Données projet'!$A$243:$I$263,9,0)</f>
        <v>3.6</v>
      </c>
      <c r="FY38" s="13">
        <f t="array" ref="FY38">INDEX(FX:FX,MIN(IF(ISNUMBER(FX38:FX234),ROW(FX38:FX234),"")))</f>
        <v>3.6</v>
      </c>
      <c r="FZ38" s="13">
        <f>IF('Données projet'!$A$244&gt;35,FZ37+FY38-GH37,IF(A38&lt;'Données projet'!$A$244,$FW$205^A38,IF(A38='Données projet'!$A$244,'Données projet'!$B$244,FZ37+FY38-GH37)))</f>
        <v>72</v>
      </c>
      <c r="GA38" s="18">
        <f>FZ38*VLOOKUP('Données projet'!$B$17,Paramètres!$A$1:$I$89,3,0)*VLOOKUP('Données projet'!$B$17,Paramètres!$A$1:$I$89,5,0)</f>
        <v>77.500799999999998</v>
      </c>
      <c r="GB38" s="14">
        <f t="shared" si="49"/>
        <v>21.524992579009275</v>
      </c>
      <c r="GC38" s="22">
        <f t="shared" si="25"/>
        <v>172.4699220751078</v>
      </c>
      <c r="GD38" s="62">
        <f t="shared" si="26"/>
        <v>465.80325540844115</v>
      </c>
      <c r="GE38" s="62">
        <f ca="1">AVERAGE(OFFSET($GD$3,0,0,'Données projet'!$E$17+1,1))-AVERAGE(OFFSET($H$3,0,0,'Données projet'!$E$17+1,1))</f>
        <v>280.20599015000306</v>
      </c>
      <c r="GF38" s="62">
        <f t="shared" si="50"/>
        <v>166.97658184507787</v>
      </c>
      <c r="GG38" s="16">
        <f>IF(ISNA(VLOOKUP(A38,'Données projet'!$A$243:$I$263,3,0)),0,VLOOKUP(A38,'Données projet'!$A$243:$I$263,3,0))</f>
        <v>1</v>
      </c>
      <c r="GH38" s="16">
        <f>IF(ISNA(VLOOKUP(A38,'Données projet'!$A$243:$I$263,4,0)),0,VLOOKUP(A38,'Données projet'!$A$243:$I$263,4,0))</f>
        <v>17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155.76923076923077</v>
      </c>
      <c r="GS38" s="13">
        <f>VLOOKUP(A38,'Données projet'!$A$269:$I$289,9,0)</f>
        <v>7.1794871794871824</v>
      </c>
      <c r="GT38" s="13">
        <f t="array" ref="GT38">INDEX(GS:GS,MIN(IF(ISNUMBER(GS38:GS234),ROW(GS38:GS234),"")))</f>
        <v>7.1794871794871824</v>
      </c>
      <c r="GU38" s="13">
        <f>IF('Données projet'!$A$270&gt;35,GU37+GT38-HC37,IF(A38&lt;'Données projet'!$A$270,$GR$205^A38,IF(A38='Données projet'!$A$270,'Données projet'!$B$270,GU37+GT38-HC37)))</f>
        <v>155.76923076923077</v>
      </c>
      <c r="GV38" s="18">
        <f>GU38*VLOOKUP('Données projet'!$B$18,Paramètres!$A$1:$I$89,3,0)*VLOOKUP('Données projet'!$B$18,Paramètres!$A$1:$I$89,5,0)</f>
        <v>104.49</v>
      </c>
      <c r="GW38" s="14">
        <f t="shared" si="51"/>
        <v>28.028928490951767</v>
      </c>
      <c r="GX38" s="22">
        <f t="shared" si="28"/>
        <v>230.80380045507431</v>
      </c>
      <c r="GY38" s="62">
        <f t="shared" si="29"/>
        <v>524.1371337884076</v>
      </c>
      <c r="GZ38" s="62">
        <f ca="1">AVERAGE(OFFSET($GY$3,0,0,'Données projet'!$E$18+1,1))-AVERAGE(OFFSET($H$3,0,0,'Données projet'!$E$18+1,1))</f>
        <v>291.18686311753402</v>
      </c>
      <c r="HA38" s="62">
        <f t="shared" si="52"/>
        <v>215.44422413249839</v>
      </c>
      <c r="HB38" s="16">
        <f>IF(ISNA(VLOOKUP(A38,'Données projet'!$A$269:$I$289,3,0)),0,VLOOKUP(A38,'Données projet'!$A$269:$I$289,3,0))</f>
        <v>2</v>
      </c>
      <c r="HC38" s="16">
        <f>IF(ISNA(VLOOKUP(A38,'Données projet'!$A$269:$I$289,4,0)),0,VLOOKUP(A38,'Données projet'!$A$269:$I$289,4,0))</f>
        <v>31.410256410256409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9">
        <f t="shared" si="1"/>
        <v>256.66666666666669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262.57692307692309</v>
      </c>
      <c r="L39" s="13">
        <f>VLOOKUP(A39,'Données projet'!$A$35:$I$55,9,0)</f>
        <v>14.298901098901101</v>
      </c>
      <c r="M39" s="13">
        <f t="array" ref="M39">INDEX(L:L,MIN(IF(ISNUMBER(L39:L235),ROW(L39:L235),"")))</f>
        <v>14.298901098901101</v>
      </c>
      <c r="N39" s="14">
        <f>IF('Données projet'!$A$36&gt;35,N38+M39-V38,IF(A39&lt;'Données projet'!$A$36,$K$205^A39,IF(A39='Données projet'!$A$36,'Données projet'!$B$36,N38+M39-V38)))</f>
        <v>262.57692307692309</v>
      </c>
      <c r="O39" s="14">
        <f>N39*VLOOKUP('Données projet'!$B$9,Paramètres!$A$1:$I$89,3,0)*VLOOKUP('Données projet'!$B$9,Paramètres!$A$1:$I$89,5,0)</f>
        <v>157.02100000000002</v>
      </c>
      <c r="P39" s="14">
        <f t="shared" si="33"/>
        <v>40.169860444278903</v>
      </c>
      <c r="Q39" s="22">
        <f t="shared" si="53"/>
        <v>343.44074860711908</v>
      </c>
      <c r="R39" s="62">
        <f t="shared" si="0"/>
        <v>636.77408194045233</v>
      </c>
      <c r="S39" s="62">
        <f ca="1">AVERAGE(OFFSET($R$3,0,0,'Données projet'!$E$9+1,1))-AVERAGE(OFFSET($H$3,0,0,'Données projet'!$E$9+1,1))</f>
        <v>260.02504691866199</v>
      </c>
      <c r="T39" s="62">
        <f t="shared" si="34"/>
        <v>270.11268336406368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64.553846153846166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8.8870037256024101</v>
      </c>
      <c r="AA39" s="23">
        <f>EXP(-LN(2)/25)*AA38+(1-EXP(-LN(2)/25))/(LN(2)/25)*Calculateur!V39*Calculateur!X39*VLOOKUP('Données projet'!$B$9,Paramètres!$A$1:$I$89,3,0)*0.475*44/12</f>
        <v>13.917137659704558</v>
      </c>
      <c r="AB39" s="23">
        <f>EXP(-LN(2)/2)*AB38+(1-EXP(-LN(2)/2))/(LN(2)/2)*V39*Y39*VLOOKUP('Données projet'!$B$9,Paramètres!$A$1:$I$89,3,0)*0.475*44/12</f>
        <v>0.79249511824048036</v>
      </c>
      <c r="AC39" s="24">
        <f t="shared" si="3"/>
        <v>23.596636503547451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2">
        <f t="shared" si="5"/>
        <v>570.68476131278612</v>
      </c>
      <c r="AN39" s="62">
        <f ca="1">AVERAGE(OFFSET($AM$3,0,0,'Données projet'!$E$10+1,1))-AVERAGE(OFFSET($H$3,0,0,'Données projet'!$E$10+1,1))</f>
        <v>475.47920969424894</v>
      </c>
      <c r="AO39" s="62">
        <f t="shared" si="36"/>
        <v>271.73544012419364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112.55712000000001</v>
      </c>
      <c r="BF39" s="14">
        <f t="shared" si="37"/>
        <v>29.932653834140599</v>
      </c>
      <c r="BG39" s="22">
        <f t="shared" si="7"/>
        <v>248.16968942779488</v>
      </c>
      <c r="BH39" s="62">
        <f t="shared" si="8"/>
        <v>541.50302276112825</v>
      </c>
      <c r="BI39" s="62">
        <f ca="1">AVERAGE(OFFSET($BH$3,0,0,'Données projet'!$E$11+1,1))-AVERAGE(OFFSET($H$3,0,0,'Données projet'!$E$11+1,1))</f>
        <v>428.8489304403459</v>
      </c>
      <c r="BJ39" s="62">
        <f t="shared" si="38"/>
        <v>247.01165577562966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4.8</v>
      </c>
      <c r="BY39" s="13">
        <f>IF('Données projet'!$A$114&gt;35,BY38+BX39-CG38,IF(A39&lt;'Données projet'!$A$114,$BV$205^A39,IF(A39='Données projet'!$A$114,'Données projet'!$B$114,BY38+BX39-CG38)))</f>
        <v>93.799999999999969</v>
      </c>
      <c r="BZ39" s="14">
        <f>BY39*VLOOKUP('Données projet'!$B$12,Paramètres!$A$1:$I$89,3,0)*VLOOKUP('Données projet'!$B$12,Paramètres!$A$1:$I$89,5,0)</f>
        <v>76.090559999999968</v>
      </c>
      <c r="CA39" s="14">
        <f t="shared" si="39"/>
        <v>21.178536336044907</v>
      </c>
      <c r="CB39" s="22">
        <f t="shared" si="10"/>
        <v>169.41034278527815</v>
      </c>
      <c r="CC39" s="62">
        <f t="shared" si="11"/>
        <v>462.74367611861146</v>
      </c>
      <c r="CD39" s="62">
        <f ca="1">AVERAGE(OFFSET($CC$3,0,0,'Données projet'!$E$12+1,1))-AVERAGE(OFFSET($H$3,0,0,'Données projet'!$E$12+1,1))</f>
        <v>236.22643401787644</v>
      </c>
      <c r="CE39" s="62">
        <f t="shared" si="40"/>
        <v>188.80444043778022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10.407692307692306</v>
      </c>
      <c r="CT39" s="13">
        <f>IF('Données projet'!$A$140&gt;35,CT38+CS39-DB38,IF(A39&lt;'Données projet'!$A$140,$CQ$205^A39,IF(A39='Données projet'!$A$140,'Données projet'!$B$140,CT38+CS39-DB38)))</f>
        <v>165.72307692307692</v>
      </c>
      <c r="CU39" s="18">
        <f>CT39*VLOOKUP('Données projet'!$B$13,Paramètres!$A$1:$I$89,3,0)*VLOOKUP('Données projet'!$B$13,Paramètres!$A$1:$I$89,5,0)</f>
        <v>77.558400000000006</v>
      </c>
      <c r="CV39" s="14">
        <f t="shared" si="41"/>
        <v>21.539127592741618</v>
      </c>
      <c r="CW39" s="22">
        <f t="shared" si="13"/>
        <v>172.59486055735832</v>
      </c>
      <c r="CX39" s="62">
        <f t="shared" si="14"/>
        <v>465.92819389069166</v>
      </c>
      <c r="CY39" s="62">
        <f ca="1">AVERAGE(OFFSET($CX$3,0,0,'Données projet'!$E$13+1,1))-AVERAGE(OFFSET($H$3,0,0,'Données projet'!$E$13+1,1))</f>
        <v>246.73711856758143</v>
      </c>
      <c r="CZ39" s="62">
        <f t="shared" si="42"/>
        <v>145.54897745089966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6.5384615384615357</v>
      </c>
      <c r="DO39" s="13">
        <f>IF('Données projet'!$A$166&gt;35,DO38+DN39-DW38,IF(A39&lt;'Données projet'!$A$166,$DL$205^A39,IF(A39='Données projet'!$A$166,'Données projet'!$B$166,DO38+DN39-DW38)))</f>
        <v>137.94871794871793</v>
      </c>
      <c r="DP39" s="18">
        <f>DO39*VLOOKUP('Données projet'!$B$14,Paramètres!$A$1:$I$89,3,0)*VLOOKUP('Données projet'!$B$14,Paramètres!$A$1:$I$89,5,0)</f>
        <v>144.184</v>
      </c>
      <c r="DQ39" s="14">
        <f t="shared" si="43"/>
        <v>37.253852236732257</v>
      </c>
      <c r="DR39" s="22">
        <f t="shared" si="16"/>
        <v>316.00425931230865</v>
      </c>
      <c r="DS39" s="62">
        <f t="shared" si="17"/>
        <v>609.33759264564196</v>
      </c>
      <c r="DT39" s="62">
        <f ca="1">AVERAGE(OFFSET($DS$3,0,0,'Données projet'!$E$14+1,1))-AVERAGE(OFFSET($H$3,0,0,'Données projet'!$E$14+1,1))</f>
        <v>493.70175665335978</v>
      </c>
      <c r="DU39" s="62">
        <f t="shared" si="44"/>
        <v>325.12357781685949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5.6</v>
      </c>
      <c r="EJ39" s="13">
        <f>IF('Données projet'!$A$192&gt;35,EJ38+EI39-ER38,IF(A39&lt;'Données projet'!$A$192,$EG$205^A39,IF(A39='Données projet'!$A$192,'Données projet'!$B$192,EJ38+EI39-ER38)))</f>
        <v>100.6</v>
      </c>
      <c r="EK39" s="18">
        <f>EJ39*VLOOKUP('Données projet'!$B$15,Paramètres!$A$1:$I$89,3,0)*VLOOKUP('Données projet'!$B$15,Paramètres!$A$1:$I$89,5,0)</f>
        <v>87.884160000000008</v>
      </c>
      <c r="EL39" s="14">
        <f t="shared" si="45"/>
        <v>24.054230949481131</v>
      </c>
      <c r="EM39" s="22">
        <f t="shared" si="19"/>
        <v>194.95936423701301</v>
      </c>
      <c r="EN39" s="62">
        <f t="shared" si="20"/>
        <v>488.29269757034632</v>
      </c>
      <c r="EO39" s="62">
        <f ca="1">AVERAGE(OFFSET($EN$3,0,0,'Données projet'!$E$15+1,1))-AVERAGE(OFFSET($H$3,0,0,'Données projet'!$E$15+1,1))</f>
        <v>202.86354781280403</v>
      </c>
      <c r="EP39" s="62">
        <f t="shared" si="46"/>
        <v>217.25323885665131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5.7692307692307709</v>
      </c>
      <c r="FE39" s="13">
        <f>IF('Données projet'!$A$218&gt;35,FE38+FD39-FM38,IF(A39&lt;'Données projet'!$A$218,$FB$205^A39,IF(A39='Données projet'!$A$218,'Données projet'!$B$218,FE38+FD39-FM38)))</f>
        <v>108.97435897435899</v>
      </c>
      <c r="FF39" s="18">
        <f>FE39*VLOOKUP('Données projet'!$B$16,Paramètres!$A$1:$I$89,3,0)*VLOOKUP('Données projet'!$B$16,Paramètres!$A$1:$I$89,5,0)</f>
        <v>103.7</v>
      </c>
      <c r="FG39" s="14">
        <f t="shared" si="47"/>
        <v>27.841598996112509</v>
      </c>
      <c r="FH39" s="22">
        <f t="shared" si="22"/>
        <v>229.1016182515626</v>
      </c>
      <c r="FI39" s="62">
        <f t="shared" si="23"/>
        <v>522.43495158489588</v>
      </c>
      <c r="FJ39" s="62">
        <f ca="1">AVERAGE(OFFSET($FI$3,0,0,'Données projet'!$E$16+1,1))-AVERAGE(OFFSET($H$3,0,0,'Données projet'!$E$16+1,1))</f>
        <v>353.61481736740694</v>
      </c>
      <c r="FK39" s="62">
        <f t="shared" si="48"/>
        <v>244.7141066773861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4</v>
      </c>
      <c r="FZ39" s="13">
        <f>IF('Données projet'!$A$244&gt;35,FZ38+FY39-GH38,IF(A39&lt;'Données projet'!$A$244,$FW$205^A39,IF(A39='Données projet'!$A$244,'Données projet'!$B$244,FZ38+FY39-GH38)))</f>
        <v>59</v>
      </c>
      <c r="GA39" s="18">
        <f>FZ39*VLOOKUP('Données projet'!$B$17,Paramètres!$A$1:$I$89,3,0)*VLOOKUP('Données projet'!$B$17,Paramètres!$A$1:$I$89,5,0)</f>
        <v>63.507599999999989</v>
      </c>
      <c r="GB39" s="14">
        <f t="shared" si="49"/>
        <v>18.052146695841799</v>
      </c>
      <c r="GC39" s="22">
        <f t="shared" si="25"/>
        <v>142.04989216192445</v>
      </c>
      <c r="GD39" s="62">
        <f t="shared" si="26"/>
        <v>435.38322549525776</v>
      </c>
      <c r="GE39" s="62">
        <f ca="1">AVERAGE(OFFSET($GD$3,0,0,'Données projet'!$E$17+1,1))-AVERAGE(OFFSET($H$3,0,0,'Données projet'!$E$17+1,1))</f>
        <v>280.20599015000306</v>
      </c>
      <c r="GF39" s="62">
        <f t="shared" si="50"/>
        <v>166.97658184507787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6.9230769230769225</v>
      </c>
      <c r="GU39" s="13">
        <f>IF('Données projet'!$A$270&gt;35,GU38+GT39-HC38,IF(A39&lt;'Données projet'!$A$270,$GR$205^A39,IF(A39='Données projet'!$A$270,'Données projet'!$B$270,GU38+GT39-HC38)))</f>
        <v>131.2820512820513</v>
      </c>
      <c r="GV39" s="18">
        <f>GU39*VLOOKUP('Données projet'!$B$18,Paramètres!$A$1:$I$89,3,0)*VLOOKUP('Données projet'!$B$18,Paramètres!$A$1:$I$89,5,0)</f>
        <v>88.064000000000007</v>
      </c>
      <c r="GW39" s="14">
        <f t="shared" si="51"/>
        <v>24.097719124688673</v>
      </c>
      <c r="GX39" s="22">
        <f t="shared" si="28"/>
        <v>195.34832747549947</v>
      </c>
      <c r="GY39" s="62">
        <f t="shared" si="29"/>
        <v>488.68166080883282</v>
      </c>
      <c r="GZ39" s="62">
        <f ca="1">AVERAGE(OFFSET($GY$3,0,0,'Données projet'!$E$18+1,1))-AVERAGE(OFFSET($H$3,0,0,'Données projet'!$E$18+1,1))</f>
        <v>291.18686311753402</v>
      </c>
      <c r="HA39" s="62">
        <f t="shared" si="52"/>
        <v>215.44422413249839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9">
        <f t="shared" si="1"/>
        <v>256.66666666666669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13.141346153846158</v>
      </c>
      <c r="N40" s="14">
        <f>IF('Données projet'!$A$36&gt;35,N39+M40-V39,IF(A40&lt;'Données projet'!$A$36,$K$205^A40,IF(A40='Données projet'!$A$36,'Données projet'!$B$36,N39+M40-V39)))</f>
        <v>211.16442307692307</v>
      </c>
      <c r="O40" s="14">
        <f>N40*VLOOKUP('Données projet'!$B$9,Paramètres!$A$1:$I$89,3,0)*VLOOKUP('Données projet'!$B$9,Paramètres!$A$1:$I$89,5,0)</f>
        <v>126.27632500000001</v>
      </c>
      <c r="P40" s="14">
        <f t="shared" si="33"/>
        <v>33.134477451871625</v>
      </c>
      <c r="Q40" s="22">
        <f t="shared" si="53"/>
        <v>277.64048093700978</v>
      </c>
      <c r="R40" s="62">
        <f t="shared" si="0"/>
        <v>570.97381427034315</v>
      </c>
      <c r="S40" s="62">
        <f ca="1">AVERAGE(OFFSET($R$3,0,0,'Données projet'!$E$9+1,1))-AVERAGE(OFFSET($H$3,0,0,'Données projet'!$E$9+1,1))</f>
        <v>260.02504691866199</v>
      </c>
      <c r="T40" s="62">
        <f t="shared" si="34"/>
        <v>270.11268336406368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8.7127350030803861</v>
      </c>
      <c r="AA40" s="23">
        <f>EXP(-LN(2)/25)*AA39+(1-EXP(-LN(2)/25))/(LN(2)/25)*Calculateur!V40*Calculateur!X40*VLOOKUP('Données projet'!$B$9,Paramètres!$A$1:$I$89,3,0)*0.475*44/12</f>
        <v>13.536572798529475</v>
      </c>
      <c r="AB40" s="23">
        <f>EXP(-LN(2)/2)*AB39+(1-EXP(-LN(2)/2))/(LN(2)/2)*V40*Y40*VLOOKUP('Données projet'!$B$9,Paramètres!$A$1:$I$89,3,0)*0.475*44/12</f>
        <v>0.56037867216507853</v>
      </c>
      <c r="AC40" s="24">
        <f t="shared" si="3"/>
        <v>22.809686473774939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2">
        <f t="shared" si="5"/>
        <v>588.9463250104435</v>
      </c>
      <c r="AN40" s="62">
        <f ca="1">AVERAGE(OFFSET($AM$3,0,0,'Données projet'!$E$10+1,1))-AVERAGE(OFFSET($H$3,0,0,'Données projet'!$E$10+1,1))</f>
        <v>475.47920969424894</v>
      </c>
      <c r="AO40" s="62">
        <f t="shared" si="36"/>
        <v>271.73544012419364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120.15744000000001</v>
      </c>
      <c r="BF40" s="14">
        <f t="shared" si="37"/>
        <v>31.711716786129845</v>
      </c>
      <c r="BG40" s="22">
        <f t="shared" si="7"/>
        <v>264.50544806917611</v>
      </c>
      <c r="BH40" s="62">
        <f t="shared" si="8"/>
        <v>557.83878140250943</v>
      </c>
      <c r="BI40" s="62">
        <f ca="1">AVERAGE(OFFSET($BH$3,0,0,'Données projet'!$E$11+1,1))-AVERAGE(OFFSET($H$3,0,0,'Données projet'!$E$11+1,1))</f>
        <v>428.8489304403459</v>
      </c>
      <c r="BJ40" s="62">
        <f t="shared" si="38"/>
        <v>247.01165577562966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4.8</v>
      </c>
      <c r="BY40" s="13">
        <f>IF('Données projet'!$A$114&gt;35,BY39+BX40-CG39,IF(A40&lt;'Données projet'!$A$114,$BV$205^A40,IF(A40='Données projet'!$A$114,'Données projet'!$B$114,BY39+BX40-CG39)))</f>
        <v>98.599999999999966</v>
      </c>
      <c r="BZ40" s="14">
        <f>BY40*VLOOKUP('Données projet'!$B$12,Paramètres!$A$1:$I$89,3,0)*VLOOKUP('Données projet'!$B$12,Paramètres!$A$1:$I$89,5,0)</f>
        <v>79.984319999999983</v>
      </c>
      <c r="CA40" s="14">
        <f t="shared" si="39"/>
        <v>22.133350243409112</v>
      </c>
      <c r="CB40" s="22">
        <f t="shared" si="10"/>
        <v>177.85494234060414</v>
      </c>
      <c r="CC40" s="62">
        <f t="shared" si="11"/>
        <v>471.18827567393748</v>
      </c>
      <c r="CD40" s="62">
        <f ca="1">AVERAGE(OFFSET($CC$3,0,0,'Données projet'!$E$12+1,1))-AVERAGE(OFFSET($H$3,0,0,'Données projet'!$E$12+1,1))</f>
        <v>236.22643401787644</v>
      </c>
      <c r="CE40" s="62">
        <f t="shared" si="40"/>
        <v>188.80444043778022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10.407692307692306</v>
      </c>
      <c r="CT40" s="13">
        <f>IF('Données projet'!$A$140&gt;35,CT39+CS40-DB39,IF(A40&lt;'Données projet'!$A$140,$CQ$205^A40,IF(A40='Données projet'!$A$140,'Données projet'!$B$140,CT39+CS40-DB39)))</f>
        <v>176.13076923076923</v>
      </c>
      <c r="CU40" s="18">
        <f>CT40*VLOOKUP('Données projet'!$B$13,Paramètres!$A$1:$I$89,3,0)*VLOOKUP('Données projet'!$B$13,Paramètres!$A$1:$I$89,5,0)</f>
        <v>82.429199999999994</v>
      </c>
      <c r="CV40" s="14">
        <f t="shared" si="41"/>
        <v>22.730098173705116</v>
      </c>
      <c r="CW40" s="22">
        <f t="shared" si="13"/>
        <v>183.15244431920306</v>
      </c>
      <c r="CX40" s="62">
        <f t="shared" si="14"/>
        <v>476.4857776525364</v>
      </c>
      <c r="CY40" s="62">
        <f ca="1">AVERAGE(OFFSET($CX$3,0,0,'Données projet'!$E$13+1,1))-AVERAGE(OFFSET($H$3,0,0,'Données projet'!$E$13+1,1))</f>
        <v>246.73711856758143</v>
      </c>
      <c r="CZ40" s="62">
        <f t="shared" si="42"/>
        <v>145.54897745089966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6.5384615384615357</v>
      </c>
      <c r="DO40" s="13">
        <f>IF('Données projet'!$A$166&gt;35,DO39+DN40-DW39,IF(A40&lt;'Données projet'!$A$166,$DL$205^A40,IF(A40='Données projet'!$A$166,'Données projet'!$B$166,DO39+DN40-DW39)))</f>
        <v>144.48717948717947</v>
      </c>
      <c r="DP40" s="18">
        <f>DO40*VLOOKUP('Données projet'!$B$14,Paramètres!$A$1:$I$89,3,0)*VLOOKUP('Données projet'!$B$14,Paramètres!$A$1:$I$89,5,0)</f>
        <v>151.018</v>
      </c>
      <c r="DQ40" s="14">
        <f t="shared" si="43"/>
        <v>38.809838626521376</v>
      </c>
      <c r="DR40" s="22">
        <f t="shared" si="16"/>
        <v>330.61681894119141</v>
      </c>
      <c r="DS40" s="62">
        <f t="shared" si="17"/>
        <v>623.95015227452473</v>
      </c>
      <c r="DT40" s="62">
        <f ca="1">AVERAGE(OFFSET($DS$3,0,0,'Données projet'!$E$14+1,1))-AVERAGE(OFFSET($H$3,0,0,'Données projet'!$E$14+1,1))</f>
        <v>493.70175665335978</v>
      </c>
      <c r="DU40" s="62">
        <f t="shared" si="44"/>
        <v>325.12357781685949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5.6</v>
      </c>
      <c r="EJ40" s="13">
        <f>IF('Données projet'!$A$192&gt;35,EJ39+EI40-ER39,IF(A40&lt;'Données projet'!$A$192,$EG$205^A40,IF(A40='Données projet'!$A$192,'Données projet'!$B$192,EJ39+EI40-ER39)))</f>
        <v>106.19999999999999</v>
      </c>
      <c r="EK40" s="18">
        <f>EJ40*VLOOKUP('Données projet'!$B$15,Paramètres!$A$1:$I$89,3,0)*VLOOKUP('Données projet'!$B$15,Paramètres!$A$1:$I$89,5,0)</f>
        <v>92.776319999999998</v>
      </c>
      <c r="EL40" s="14">
        <f t="shared" si="45"/>
        <v>25.233617967655977</v>
      </c>
      <c r="EM40" s="22">
        <f t="shared" si="19"/>
        <v>205.53397529366748</v>
      </c>
      <c r="EN40" s="62">
        <f t="shared" si="20"/>
        <v>498.8673086270008</v>
      </c>
      <c r="EO40" s="62">
        <f ca="1">AVERAGE(OFFSET($EN$3,0,0,'Données projet'!$E$15+1,1))-AVERAGE(OFFSET($H$3,0,0,'Données projet'!$E$15+1,1))</f>
        <v>202.86354781280403</v>
      </c>
      <c r="EP40" s="62">
        <f t="shared" si="46"/>
        <v>217.25323885665131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5.7692307692307709</v>
      </c>
      <c r="FE40" s="13">
        <f>IF('Données projet'!$A$218&gt;35,FE39+FD40-FM39,IF(A40&lt;'Données projet'!$A$218,$FB$205^A40,IF(A40='Données projet'!$A$218,'Données projet'!$B$218,FE39+FD40-FM39)))</f>
        <v>114.74358974358977</v>
      </c>
      <c r="FF40" s="18">
        <f>FE40*VLOOKUP('Données projet'!$B$16,Paramètres!$A$1:$I$89,3,0)*VLOOKUP('Données projet'!$B$16,Paramètres!$A$1:$I$89,5,0)</f>
        <v>109.19000000000001</v>
      </c>
      <c r="FG40" s="14">
        <f t="shared" si="47"/>
        <v>29.140060241717325</v>
      </c>
      <c r="FH40" s="22">
        <f t="shared" si="22"/>
        <v>240.92485492099104</v>
      </c>
      <c r="FI40" s="62">
        <f t="shared" si="23"/>
        <v>534.2581882543243</v>
      </c>
      <c r="FJ40" s="62">
        <f ca="1">AVERAGE(OFFSET($FI$3,0,0,'Données projet'!$E$16+1,1))-AVERAGE(OFFSET($H$3,0,0,'Données projet'!$E$16+1,1))</f>
        <v>353.61481736740694</v>
      </c>
      <c r="FK40" s="62">
        <f t="shared" si="48"/>
        <v>244.7141066773861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4</v>
      </c>
      <c r="FZ40" s="13">
        <f>IF('Données projet'!$A$244&gt;35,FZ39+FY40-GH39,IF(A40&lt;'Données projet'!$A$244,$FW$205^A40,IF(A40='Données projet'!$A$244,'Données projet'!$B$244,FZ39+FY40-GH39)))</f>
        <v>63</v>
      </c>
      <c r="GA40" s="18">
        <f>FZ40*VLOOKUP('Données projet'!$B$17,Paramètres!$A$1:$I$89,3,0)*VLOOKUP('Données projet'!$B$17,Paramètres!$A$1:$I$89,5,0)</f>
        <v>67.813199999999995</v>
      </c>
      <c r="GB40" s="14">
        <f t="shared" si="49"/>
        <v>19.12939901326985</v>
      </c>
      <c r="GC40" s="22">
        <f t="shared" si="25"/>
        <v>151.42502661477829</v>
      </c>
      <c r="GD40" s="62">
        <f t="shared" si="26"/>
        <v>444.7583599481116</v>
      </c>
      <c r="GE40" s="62">
        <f ca="1">AVERAGE(OFFSET($GD$3,0,0,'Données projet'!$E$17+1,1))-AVERAGE(OFFSET($H$3,0,0,'Données projet'!$E$17+1,1))</f>
        <v>280.20599015000306</v>
      </c>
      <c r="GF40" s="62">
        <f t="shared" si="50"/>
        <v>166.97658184507787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6.9230769230769225</v>
      </c>
      <c r="GU40" s="13">
        <f>IF('Données projet'!$A$270&gt;35,GU39+GT40-HC39,IF(A40&lt;'Données projet'!$A$270,$GR$205^A40,IF(A40='Données projet'!$A$270,'Données projet'!$B$270,GU39+GT40-HC39)))</f>
        <v>138.20512820512823</v>
      </c>
      <c r="GV40" s="18">
        <f>GU40*VLOOKUP('Données projet'!$B$18,Paramètres!$A$1:$I$89,3,0)*VLOOKUP('Données projet'!$B$18,Paramètres!$A$1:$I$89,5,0)</f>
        <v>92.708000000000027</v>
      </c>
      <c r="GW40" s="14">
        <f t="shared" si="51"/>
        <v>25.217198292374437</v>
      </c>
      <c r="GX40" s="22">
        <f t="shared" si="28"/>
        <v>205.38638702588551</v>
      </c>
      <c r="GY40" s="62">
        <f t="shared" si="29"/>
        <v>498.71972035921885</v>
      </c>
      <c r="GZ40" s="62">
        <f ca="1">AVERAGE(OFFSET($GY$3,0,0,'Données projet'!$E$18+1,1))-AVERAGE(OFFSET($H$3,0,0,'Données projet'!$E$18+1,1))</f>
        <v>291.18686311753402</v>
      </c>
      <c r="HA40" s="62">
        <f t="shared" si="52"/>
        <v>215.44422413249839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9">
        <f t="shared" si="1"/>
        <v>256.66666666666669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13.141346153846158</v>
      </c>
      <c r="N41" s="14">
        <f>IF('Données projet'!$A$36&gt;35,N40+M41-V40,IF(A41&lt;'Données projet'!$A$36,$K$205^A41,IF(A41='Données projet'!$A$36,'Données projet'!$B$36,N40+M41-V40)))</f>
        <v>224.30576923076922</v>
      </c>
      <c r="O41" s="14">
        <f>N41*VLOOKUP('Données projet'!$B$9,Paramètres!$A$1:$I$89,3,0)*VLOOKUP('Données projet'!$B$9,Paramètres!$A$1:$I$89,5,0)</f>
        <v>134.13485</v>
      </c>
      <c r="P41" s="14">
        <f t="shared" si="33"/>
        <v>34.950053695803156</v>
      </c>
      <c r="Q41" s="22">
        <f t="shared" si="53"/>
        <v>294.48954060352384</v>
      </c>
      <c r="R41" s="62">
        <f t="shared" si="0"/>
        <v>587.82287393685715</v>
      </c>
      <c r="S41" s="62">
        <f ca="1">AVERAGE(OFFSET($R$3,0,0,'Données projet'!$E$9+1,1))-AVERAGE(OFFSET($H$3,0,0,'Données projet'!$E$9+1,1))</f>
        <v>260.02504691866199</v>
      </c>
      <c r="T41" s="62">
        <f t="shared" si="34"/>
        <v>270.11268336406368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8.5418835839135934</v>
      </c>
      <c r="AA41" s="23">
        <f>EXP(-LN(2)/25)*AA40+(1-EXP(-LN(2)/25))/(LN(2)/25)*Calculateur!V41*Calculateur!X41*VLOOKUP('Données projet'!$B$9,Paramètres!$A$1:$I$89,3,0)*0.475*44/12</f>
        <v>13.166414503496261</v>
      </c>
      <c r="AB41" s="23">
        <f>EXP(-LN(2)/2)*AB40+(1-EXP(-LN(2)/2))/(LN(2)/2)*V41*Y41*VLOOKUP('Données projet'!$B$9,Paramètres!$A$1:$I$89,3,0)*0.475*44/12</f>
        <v>0.39624755912024023</v>
      </c>
      <c r="AC41" s="24">
        <f t="shared" si="3"/>
        <v>22.104545646530095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2">
        <f t="shared" si="5"/>
        <v>607.18273374145838</v>
      </c>
      <c r="AN41" s="62">
        <f ca="1">AVERAGE(OFFSET($AM$3,0,0,'Données projet'!$E$10+1,1))-AVERAGE(OFFSET($H$3,0,0,'Données projet'!$E$10+1,1))</f>
        <v>475.47920969424894</v>
      </c>
      <c r="AO41" s="62">
        <f t="shared" si="36"/>
        <v>271.73544012419364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127.75776</v>
      </c>
      <c r="BF41" s="14">
        <f t="shared" si="37"/>
        <v>33.477720030956604</v>
      </c>
      <c r="BG41" s="22">
        <f t="shared" si="7"/>
        <v>280.81846105391611</v>
      </c>
      <c r="BH41" s="62">
        <f t="shared" si="8"/>
        <v>574.15179438724942</v>
      </c>
      <c r="BI41" s="62">
        <f ca="1">AVERAGE(OFFSET($BH$3,0,0,'Données projet'!$E$11+1,1))-AVERAGE(OFFSET($H$3,0,0,'Données projet'!$E$11+1,1))</f>
        <v>428.8489304403459</v>
      </c>
      <c r="BJ41" s="62">
        <f t="shared" si="38"/>
        <v>247.01165577562966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4.8</v>
      </c>
      <c r="BY41" s="13">
        <f>IF('Données projet'!$A$114&gt;35,BY40+BX41-CG40,IF(A41&lt;'Données projet'!$A$114,$BV$205^A41,IF(A41='Données projet'!$A$114,'Données projet'!$B$114,BY40+BX41-CG40)))</f>
        <v>103.39999999999996</v>
      </c>
      <c r="BZ41" s="14">
        <f>BY41*VLOOKUP('Données projet'!$B$12,Paramètres!$A$1:$I$89,3,0)*VLOOKUP('Données projet'!$B$12,Paramètres!$A$1:$I$89,5,0)</f>
        <v>83.878079999999969</v>
      </c>
      <c r="CA41" s="14">
        <f t="shared" si="39"/>
        <v>23.082766717296661</v>
      </c>
      <c r="CB41" s="22">
        <f t="shared" si="10"/>
        <v>186.29014136595831</v>
      </c>
      <c r="CC41" s="62">
        <f t="shared" si="11"/>
        <v>479.62347469929159</v>
      </c>
      <c r="CD41" s="62">
        <f ca="1">AVERAGE(OFFSET($CC$3,0,0,'Données projet'!$E$12+1,1))-AVERAGE(OFFSET($H$3,0,0,'Données projet'!$E$12+1,1))</f>
        <v>236.22643401787644</v>
      </c>
      <c r="CE41" s="62">
        <f t="shared" si="40"/>
        <v>188.80444043778022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10.407692307692306</v>
      </c>
      <c r="CT41" s="13">
        <f>IF('Données projet'!$A$140&gt;35,CT40+CS41-DB40,IF(A41&lt;'Données projet'!$A$140,$CQ$205^A41,IF(A41='Données projet'!$A$140,'Données projet'!$B$140,CT40+CS41-DB40)))</f>
        <v>186.53846153846155</v>
      </c>
      <c r="CU41" s="18">
        <f>CT41*VLOOKUP('Données projet'!$B$13,Paramètres!$A$1:$I$89,3,0)*VLOOKUP('Données projet'!$B$13,Paramètres!$A$1:$I$89,5,0)</f>
        <v>87.300000000000011</v>
      </c>
      <c r="CV41" s="14">
        <f t="shared" si="41"/>
        <v>23.912900160000429</v>
      </c>
      <c r="CW41" s="22">
        <f t="shared" si="13"/>
        <v>193.69580111200079</v>
      </c>
      <c r="CX41" s="62">
        <f t="shared" si="14"/>
        <v>487.02913444533408</v>
      </c>
      <c r="CY41" s="62">
        <f ca="1">AVERAGE(OFFSET($CX$3,0,0,'Données projet'!$E$13+1,1))-AVERAGE(OFFSET($H$3,0,0,'Données projet'!$E$13+1,1))</f>
        <v>246.73711856758143</v>
      </c>
      <c r="CZ41" s="62">
        <f t="shared" si="42"/>
        <v>145.54897745089966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6.5384615384615357</v>
      </c>
      <c r="DO41" s="13">
        <f>IF('Données projet'!$A$166&gt;35,DO40+DN41-DW40,IF(A41&lt;'Données projet'!$A$166,$DL$205^A41,IF(A41='Données projet'!$A$166,'Données projet'!$B$166,DO40+DN41-DW40)))</f>
        <v>151.02564102564102</v>
      </c>
      <c r="DP41" s="18">
        <f>DO41*VLOOKUP('Données projet'!$B$14,Paramètres!$A$1:$I$89,3,0)*VLOOKUP('Données projet'!$B$14,Paramètres!$A$1:$I$89,5,0)</f>
        <v>157.852</v>
      </c>
      <c r="DQ41" s="14">
        <f t="shared" si="43"/>
        <v>40.357647559226351</v>
      </c>
      <c r="DR41" s="22">
        <f t="shared" si="16"/>
        <v>345.21513616565261</v>
      </c>
      <c r="DS41" s="62">
        <f t="shared" si="17"/>
        <v>638.54846949898592</v>
      </c>
      <c r="DT41" s="62">
        <f ca="1">AVERAGE(OFFSET($DS$3,0,0,'Données projet'!$E$14+1,1))-AVERAGE(OFFSET($H$3,0,0,'Données projet'!$E$14+1,1))</f>
        <v>493.70175665335978</v>
      </c>
      <c r="DU41" s="62">
        <f t="shared" si="44"/>
        <v>325.12357781685949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5.6</v>
      </c>
      <c r="EJ41" s="13">
        <f>IF('Données projet'!$A$192&gt;35,EJ40+EI41-ER40,IF(A41&lt;'Données projet'!$A$192,$EG$205^A41,IF(A41='Données projet'!$A$192,'Données projet'!$B$192,EJ40+EI41-ER40)))</f>
        <v>111.79999999999998</v>
      </c>
      <c r="EK41" s="18">
        <f>EJ41*VLOOKUP('Données projet'!$B$15,Paramètres!$A$1:$I$89,3,0)*VLOOKUP('Données projet'!$B$15,Paramètres!$A$1:$I$89,5,0)</f>
        <v>97.668480000000002</v>
      </c>
      <c r="EL41" s="14">
        <f t="shared" si="45"/>
        <v>26.405784719550642</v>
      </c>
      <c r="EM41" s="22">
        <f t="shared" si="19"/>
        <v>216.09601105321735</v>
      </c>
      <c r="EN41" s="62">
        <f t="shared" si="20"/>
        <v>509.42934438655067</v>
      </c>
      <c r="EO41" s="62">
        <f ca="1">AVERAGE(OFFSET($EN$3,0,0,'Données projet'!$E$15+1,1))-AVERAGE(OFFSET($H$3,0,0,'Données projet'!$E$15+1,1))</f>
        <v>202.86354781280403</v>
      </c>
      <c r="EP41" s="62">
        <f t="shared" si="46"/>
        <v>217.25323885665131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5.7692307692307709</v>
      </c>
      <c r="FE41" s="13">
        <f>IF('Données projet'!$A$218&gt;35,FE40+FD41-FM40,IF(A41&lt;'Données projet'!$A$218,$FB$205^A41,IF(A41='Données projet'!$A$218,'Données projet'!$B$218,FE40+FD41-FM40)))</f>
        <v>120.51282051282054</v>
      </c>
      <c r="FF41" s="18">
        <f>FE41*VLOOKUP('Données projet'!$B$16,Paramètres!$A$1:$I$89,3,0)*VLOOKUP('Données projet'!$B$16,Paramètres!$A$1:$I$89,5,0)</f>
        <v>114.68000000000002</v>
      </c>
      <c r="FG41" s="14">
        <f t="shared" si="47"/>
        <v>30.430941046845955</v>
      </c>
      <c r="FH41" s="22">
        <f t="shared" si="22"/>
        <v>252.73488898992335</v>
      </c>
      <c r="FI41" s="62">
        <f t="shared" si="23"/>
        <v>546.06822232325669</v>
      </c>
      <c r="FJ41" s="62">
        <f ca="1">AVERAGE(OFFSET($FI$3,0,0,'Données projet'!$E$16+1,1))-AVERAGE(OFFSET($H$3,0,0,'Données projet'!$E$16+1,1))</f>
        <v>353.61481736740694</v>
      </c>
      <c r="FK41" s="62">
        <f t="shared" si="48"/>
        <v>244.7141066773861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4</v>
      </c>
      <c r="FZ41" s="13">
        <f>IF('Données projet'!$A$244&gt;35,FZ40+FY41-GH40,IF(A41&lt;'Données projet'!$A$244,$FW$205^A41,IF(A41='Données projet'!$A$244,'Données projet'!$B$244,FZ40+FY41-GH40)))</f>
        <v>67</v>
      </c>
      <c r="GA41" s="18">
        <f>FZ41*VLOOKUP('Données projet'!$B$17,Paramètres!$A$1:$I$89,3,0)*VLOOKUP('Données projet'!$B$17,Paramètres!$A$1:$I$89,5,0)</f>
        <v>72.118799999999993</v>
      </c>
      <c r="GB41" s="14">
        <f t="shared" si="49"/>
        <v>20.198713641862817</v>
      </c>
      <c r="GC41" s="22">
        <f t="shared" si="25"/>
        <v>160.78633625957769</v>
      </c>
      <c r="GD41" s="62">
        <f t="shared" si="26"/>
        <v>454.11966959291101</v>
      </c>
      <c r="GE41" s="62">
        <f ca="1">AVERAGE(OFFSET($GD$3,0,0,'Données projet'!$E$17+1,1))-AVERAGE(OFFSET($H$3,0,0,'Données projet'!$E$17+1,1))</f>
        <v>280.20599015000306</v>
      </c>
      <c r="GF41" s="62">
        <f t="shared" si="50"/>
        <v>166.97658184507787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6.9230769230769225</v>
      </c>
      <c r="GU41" s="13">
        <f>IF('Données projet'!$A$270&gt;35,GU40+GT41-HC40,IF(A41&lt;'Données projet'!$A$270,$GR$205^A41,IF(A41='Données projet'!$A$270,'Données projet'!$B$270,GU40+GT41-HC40)))</f>
        <v>145.12820512820517</v>
      </c>
      <c r="GV41" s="18">
        <f>GU41*VLOOKUP('Données projet'!$B$18,Paramètres!$A$1:$I$89,3,0)*VLOOKUP('Données projet'!$B$18,Paramètres!$A$1:$I$89,5,0)</f>
        <v>97.352000000000032</v>
      </c>
      <c r="GW41" s="14">
        <f t="shared" si="51"/>
        <v>26.330166121651178</v>
      </c>
      <c r="GX41" s="22">
        <f t="shared" si="28"/>
        <v>215.41310599520918</v>
      </c>
      <c r="GY41" s="62">
        <f t="shared" si="29"/>
        <v>508.74643932854246</v>
      </c>
      <c r="GZ41" s="62">
        <f ca="1">AVERAGE(OFFSET($GY$3,0,0,'Données projet'!$E$18+1,1))-AVERAGE(OFFSET($H$3,0,0,'Données projet'!$E$18+1,1))</f>
        <v>291.18686311753402</v>
      </c>
      <c r="HA41" s="62">
        <f t="shared" si="52"/>
        <v>215.44422413249839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9">
        <f t="shared" si="1"/>
        <v>256.66666666666669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13.141346153846158</v>
      </c>
      <c r="N42" s="14">
        <f>IF('Données projet'!$A$36&gt;35,N41+M42-V41,IF(A42&lt;'Données projet'!$A$36,$K$205^A42,IF(A42='Données projet'!$A$36,'Données projet'!$B$36,N41+M42-V41)))</f>
        <v>237.44711538461536</v>
      </c>
      <c r="O42" s="14">
        <f>N42*VLOOKUP('Données projet'!$B$9,Paramètres!$A$1:$I$89,3,0)*VLOOKUP('Données projet'!$B$9,Paramètres!$A$1:$I$89,5,0)</f>
        <v>141.99337499999999</v>
      </c>
      <c r="P42" s="14">
        <f t="shared" si="33"/>
        <v>36.753283288028733</v>
      </c>
      <c r="Q42" s="22">
        <f t="shared" si="53"/>
        <v>311.31709651831665</v>
      </c>
      <c r="R42" s="62">
        <f t="shared" si="0"/>
        <v>604.65042985164996</v>
      </c>
      <c r="S42" s="62">
        <f ca="1">AVERAGE(OFFSET($R$3,0,0,'Données projet'!$E$9+1,1))-AVERAGE(OFFSET($H$3,0,0,'Données projet'!$E$9+1,1))</f>
        <v>260.02504691866199</v>
      </c>
      <c r="T42" s="62">
        <f t="shared" si="34"/>
        <v>270.11268336406368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8.3743824568675862</v>
      </c>
      <c r="AA42" s="23">
        <f>EXP(-LN(2)/25)*AA41+(1-EXP(-LN(2)/25))/(LN(2)/25)*Calculateur!V42*Calculateur!X42*VLOOKUP('Données projet'!$B$9,Paramètres!$A$1:$I$89,3,0)*0.475*44/12</f>
        <v>12.80637820650651</v>
      </c>
      <c r="AB42" s="23">
        <f>EXP(-LN(2)/2)*AB41+(1-EXP(-LN(2)/2))/(LN(2)/2)*V42*Y42*VLOOKUP('Données projet'!$B$9,Paramètres!$A$1:$I$89,3,0)*0.475*44/12</f>
        <v>0.28018933608253926</v>
      </c>
      <c r="AC42" s="24">
        <f t="shared" si="3"/>
        <v>21.460949999456634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2">
        <f t="shared" si="5"/>
        <v>625.39565441895047</v>
      </c>
      <c r="AN42" s="62">
        <f ca="1">AVERAGE(OFFSET($AM$3,0,0,'Données projet'!$E$10+1,1))-AVERAGE(OFFSET($H$3,0,0,'Données projet'!$E$10+1,1))</f>
        <v>475.47920969424894</v>
      </c>
      <c r="AO42" s="62">
        <f t="shared" si="36"/>
        <v>271.73544012419364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135.35808</v>
      </c>
      <c r="BF42" s="14">
        <f t="shared" si="37"/>
        <v>35.231528980112834</v>
      </c>
      <c r="BG42" s="22">
        <f t="shared" si="7"/>
        <v>297.11023564036316</v>
      </c>
      <c r="BH42" s="62">
        <f t="shared" si="8"/>
        <v>590.44356897369653</v>
      </c>
      <c r="BI42" s="62">
        <f ca="1">AVERAGE(OFFSET($BH$3,0,0,'Données projet'!$E$11+1,1))-AVERAGE(OFFSET($H$3,0,0,'Données projet'!$E$11+1,1))</f>
        <v>428.8489304403459</v>
      </c>
      <c r="BJ42" s="62">
        <f t="shared" si="38"/>
        <v>247.01165577562966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4.8</v>
      </c>
      <c r="BY42" s="13">
        <f>IF('Données projet'!$A$114&gt;35,BY41+BX42-CG41,IF(A42&lt;'Données projet'!$A$114,$BV$205^A42,IF(A42='Données projet'!$A$114,'Données projet'!$B$114,BY41+BX42-CG41)))</f>
        <v>108.19999999999996</v>
      </c>
      <c r="BZ42" s="14">
        <f>BY42*VLOOKUP('Données projet'!$B$12,Paramètres!$A$1:$I$89,3,0)*VLOOKUP('Données projet'!$B$12,Paramètres!$A$1:$I$89,5,0)</f>
        <v>87.771839999999969</v>
      </c>
      <c r="CA42" s="14">
        <f t="shared" si="39"/>
        <v>24.027064931094866</v>
      </c>
      <c r="CB42" s="22">
        <f t="shared" si="10"/>
        <v>194.71642608832349</v>
      </c>
      <c r="CC42" s="62">
        <f t="shared" si="11"/>
        <v>488.0497594216568</v>
      </c>
      <c r="CD42" s="62">
        <f ca="1">AVERAGE(OFFSET($CC$3,0,0,'Données projet'!$E$12+1,1))-AVERAGE(OFFSET($H$3,0,0,'Données projet'!$E$12+1,1))</f>
        <v>236.22643401787644</v>
      </c>
      <c r="CE42" s="62">
        <f t="shared" si="40"/>
        <v>188.80444043778022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10.407692307692306</v>
      </c>
      <c r="CT42" s="13">
        <f>IF('Données projet'!$A$140&gt;35,CT41+CS42-DB41,IF(A42&lt;'Données projet'!$A$140,$CQ$205^A42,IF(A42='Données projet'!$A$140,'Données projet'!$B$140,CT41+CS42-DB41)))</f>
        <v>196.94615384615386</v>
      </c>
      <c r="CU42" s="18">
        <f>CT42*VLOOKUP('Données projet'!$B$13,Paramètres!$A$1:$I$89,3,0)*VLOOKUP('Données projet'!$B$13,Paramètres!$A$1:$I$89,5,0)</f>
        <v>92.170800000000014</v>
      </c>
      <c r="CV42" s="14">
        <f t="shared" si="41"/>
        <v>25.088041251308066</v>
      </c>
      <c r="CW42" s="22">
        <f t="shared" si="13"/>
        <v>204.22581517936158</v>
      </c>
      <c r="CX42" s="62">
        <f t="shared" si="14"/>
        <v>497.55914851269489</v>
      </c>
      <c r="CY42" s="62">
        <f ca="1">AVERAGE(OFFSET($CX$3,0,0,'Données projet'!$E$13+1,1))-AVERAGE(OFFSET($H$3,0,0,'Données projet'!$E$13+1,1))</f>
        <v>246.73711856758143</v>
      </c>
      <c r="CZ42" s="62">
        <f t="shared" si="42"/>
        <v>145.54897745089966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6.5384615384615357</v>
      </c>
      <c r="DO42" s="13">
        <f>IF('Données projet'!$A$166&gt;35,DO41+DN42-DW41,IF(A42&lt;'Données projet'!$A$166,$DL$205^A42,IF(A42='Données projet'!$A$166,'Données projet'!$B$166,DO41+DN42-DW41)))</f>
        <v>157.56410256410257</v>
      </c>
      <c r="DP42" s="18">
        <f>DO42*VLOOKUP('Données projet'!$B$14,Paramètres!$A$1:$I$89,3,0)*VLOOKUP('Données projet'!$B$14,Paramètres!$A$1:$I$89,5,0)</f>
        <v>164.68600000000001</v>
      </c>
      <c r="DQ42" s="14">
        <f t="shared" si="43"/>
        <v>41.89767353409232</v>
      </c>
      <c r="DR42" s="22">
        <f t="shared" si="16"/>
        <v>359.79989807187752</v>
      </c>
      <c r="DS42" s="62">
        <f t="shared" si="17"/>
        <v>653.13323140521084</v>
      </c>
      <c r="DT42" s="62">
        <f ca="1">AVERAGE(OFFSET($DS$3,0,0,'Données projet'!$E$14+1,1))-AVERAGE(OFFSET($H$3,0,0,'Données projet'!$E$14+1,1))</f>
        <v>493.70175665335978</v>
      </c>
      <c r="DU42" s="62">
        <f t="shared" si="44"/>
        <v>325.12357781685949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5.6</v>
      </c>
      <c r="EJ42" s="13">
        <f>IF('Données projet'!$A$192&gt;35,EJ41+EI42-ER41,IF(A42&lt;'Données projet'!$A$192,$EG$205^A42,IF(A42='Données projet'!$A$192,'Données projet'!$B$192,EJ41+EI42-ER41)))</f>
        <v>117.39999999999998</v>
      </c>
      <c r="EK42" s="18">
        <f>EJ42*VLOOKUP('Données projet'!$B$15,Paramètres!$A$1:$I$89,3,0)*VLOOKUP('Données projet'!$B$15,Paramètres!$A$1:$I$89,5,0)</f>
        <v>102.56064000000001</v>
      </c>
      <c r="EL42" s="14">
        <f t="shared" si="45"/>
        <v>27.571134131783779</v>
      </c>
      <c r="EM42" s="22">
        <f t="shared" si="19"/>
        <v>226.64617327952342</v>
      </c>
      <c r="EN42" s="62">
        <f t="shared" si="20"/>
        <v>519.97950661285677</v>
      </c>
      <c r="EO42" s="62">
        <f ca="1">AVERAGE(OFFSET($EN$3,0,0,'Données projet'!$E$15+1,1))-AVERAGE(OFFSET($H$3,0,0,'Données projet'!$E$15+1,1))</f>
        <v>202.86354781280403</v>
      </c>
      <c r="EP42" s="62">
        <f t="shared" si="46"/>
        <v>217.25323885665131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5.7692307692307709</v>
      </c>
      <c r="FE42" s="13">
        <f>IF('Données projet'!$A$218&gt;35,FE41+FD42-FM41,IF(A42&lt;'Données projet'!$A$218,$FB$205^A42,IF(A42='Données projet'!$A$218,'Données projet'!$B$218,FE41+FD42-FM41)))</f>
        <v>126.28205128205131</v>
      </c>
      <c r="FF42" s="18">
        <f>FE42*VLOOKUP('Données projet'!$B$16,Paramètres!$A$1:$I$89,3,0)*VLOOKUP('Données projet'!$B$16,Paramètres!$A$1:$I$89,5,0)</f>
        <v>120.17000000000003</v>
      </c>
      <c r="FG42" s="14">
        <f t="shared" si="47"/>
        <v>31.714645735009839</v>
      </c>
      <c r="FH42" s="22">
        <f t="shared" si="22"/>
        <v>264.53242465514222</v>
      </c>
      <c r="FI42" s="62">
        <f t="shared" si="23"/>
        <v>557.86575798847548</v>
      </c>
      <c r="FJ42" s="62">
        <f ca="1">AVERAGE(OFFSET($FI$3,0,0,'Données projet'!$E$16+1,1))-AVERAGE(OFFSET($H$3,0,0,'Données projet'!$E$16+1,1))</f>
        <v>353.61481736740694</v>
      </c>
      <c r="FK42" s="62">
        <f t="shared" si="48"/>
        <v>244.7141066773861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4</v>
      </c>
      <c r="FZ42" s="13">
        <f>IF('Données projet'!$A$244&gt;35,FZ41+FY42-GH41,IF(A42&lt;'Données projet'!$A$244,$FW$205^A42,IF(A42='Données projet'!$A$244,'Données projet'!$B$244,FZ41+FY42-GH41)))</f>
        <v>71</v>
      </c>
      <c r="GA42" s="18">
        <f>FZ42*VLOOKUP('Données projet'!$B$17,Paramètres!$A$1:$I$89,3,0)*VLOOKUP('Données projet'!$B$17,Paramètres!$A$1:$I$89,5,0)</f>
        <v>76.424399999999991</v>
      </c>
      <c r="GB42" s="14">
        <f t="shared" si="49"/>
        <v>21.260618446015851</v>
      </c>
      <c r="GC42" s="22">
        <f t="shared" si="25"/>
        <v>170.13474046014426</v>
      </c>
      <c r="GD42" s="62">
        <f t="shared" si="26"/>
        <v>463.46807379347757</v>
      </c>
      <c r="GE42" s="62">
        <f ca="1">AVERAGE(OFFSET($GD$3,0,0,'Données projet'!$E$17+1,1))-AVERAGE(OFFSET($H$3,0,0,'Données projet'!$E$17+1,1))</f>
        <v>280.20599015000306</v>
      </c>
      <c r="GF42" s="62">
        <f t="shared" si="50"/>
        <v>166.97658184507787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6.9230769230769225</v>
      </c>
      <c r="GU42" s="13">
        <f>IF('Données projet'!$A$270&gt;35,GU41+GT42-HC41,IF(A42&lt;'Données projet'!$A$270,$GR$205^A42,IF(A42='Données projet'!$A$270,'Données projet'!$B$270,GU41+GT42-HC41)))</f>
        <v>152.0512820512821</v>
      </c>
      <c r="GV42" s="18">
        <f>GU42*VLOOKUP('Données projet'!$B$18,Paramètres!$A$1:$I$89,3,0)*VLOOKUP('Données projet'!$B$18,Paramètres!$A$1:$I$89,5,0)</f>
        <v>101.99600000000004</v>
      </c>
      <c r="GW42" s="14">
        <f t="shared" si="51"/>
        <v>27.436968686812364</v>
      </c>
      <c r="GX42" s="22">
        <f t="shared" si="28"/>
        <v>225.42908712953158</v>
      </c>
      <c r="GY42" s="62">
        <f t="shared" si="29"/>
        <v>518.76242046286484</v>
      </c>
      <c r="GZ42" s="62">
        <f ca="1">AVERAGE(OFFSET($GY$3,0,0,'Données projet'!$E$18+1,1))-AVERAGE(OFFSET($H$3,0,0,'Données projet'!$E$18+1,1))</f>
        <v>291.18686311753402</v>
      </c>
      <c r="HA42" s="62">
        <f t="shared" si="52"/>
        <v>215.44422413249839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9">
        <f t="shared" si="1"/>
        <v>256.66666666666669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13.141346153846158</v>
      </c>
      <c r="N43" s="14">
        <f>IF('Données projet'!$A$36&gt;35,N42+M43-V42,IF(A43&lt;'Données projet'!$A$36,$K$205^A43,IF(A43='Données projet'!$A$36,'Données projet'!$B$36,N42+M43-V42)))</f>
        <v>250.5884615384615</v>
      </c>
      <c r="O43" s="14">
        <f>N43*VLOOKUP('Données projet'!$B$9,Paramètres!$A$1:$I$89,3,0)*VLOOKUP('Données projet'!$B$9,Paramètres!$A$1:$I$89,5,0)</f>
        <v>149.8519</v>
      </c>
      <c r="P43" s="14">
        <f t="shared" si="33"/>
        <v>38.544927429723309</v>
      </c>
      <c r="Q43" s="22">
        <f t="shared" si="53"/>
        <v>328.12447444010144</v>
      </c>
      <c r="R43" s="62">
        <f t="shared" si="0"/>
        <v>621.45780777343475</v>
      </c>
      <c r="S43" s="62">
        <f ca="1">AVERAGE(OFFSET($R$3,0,0,'Données projet'!$E$9+1,1))-AVERAGE(OFFSET($H$3,0,0,'Données projet'!$E$9+1,1))</f>
        <v>260.02504691866199</v>
      </c>
      <c r="T43" s="62">
        <f t="shared" si="34"/>
        <v>270.11268336406368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8.2101659247573515</v>
      </c>
      <c r="AA43" s="23">
        <f>EXP(-LN(2)/25)*AA42+(1-EXP(-LN(2)/25))/(LN(2)/25)*Calculateur!V43*Calculateur!X43*VLOOKUP('Données projet'!$B$9,Paramètres!$A$1:$I$89,3,0)*0.475*44/12</f>
        <v>12.456187120991428</v>
      </c>
      <c r="AB43" s="23">
        <f>EXP(-LN(2)/2)*AB42+(1-EXP(-LN(2)/2))/(LN(2)/2)*V43*Y43*VLOOKUP('Données projet'!$B$9,Paramètres!$A$1:$I$89,3,0)*0.475*44/12</f>
        <v>0.19812377956012012</v>
      </c>
      <c r="AC43" s="24">
        <f t="shared" si="3"/>
        <v>20.864476825308898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2">
        <f t="shared" si="5"/>
        <v>643.58655618988507</v>
      </c>
      <c r="AN43" s="62">
        <f ca="1">AVERAGE(OFFSET($AM$3,0,0,'Données projet'!$E$10+1,1))-AVERAGE(OFFSET($H$3,0,0,'Données projet'!$E$10+1,1))</f>
        <v>475.47920969424894</v>
      </c>
      <c r="AO43" s="62">
        <f t="shared" si="36"/>
        <v>271.73544012419364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142.95840000000004</v>
      </c>
      <c r="BF43" s="14">
        <f t="shared" si="37"/>
        <v>36.973906370811264</v>
      </c>
      <c r="BG43" s="22">
        <f t="shared" si="7"/>
        <v>313.38210026249641</v>
      </c>
      <c r="BH43" s="62">
        <f t="shared" si="8"/>
        <v>606.71543359582972</v>
      </c>
      <c r="BI43" s="62">
        <f ca="1">AVERAGE(OFFSET($BH$3,0,0,'Données projet'!$E$11+1,1))-AVERAGE(OFFSET($H$3,0,0,'Données projet'!$E$11+1,1))</f>
        <v>428.8489304403459</v>
      </c>
      <c r="BJ43" s="62">
        <f t="shared" si="38"/>
        <v>247.01165577562966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113</v>
      </c>
      <c r="BW43" s="13">
        <f>VLOOKUP(A43,'Données projet'!$A$113:$I$133,9,0)</f>
        <v>4.8</v>
      </c>
      <c r="BX43" s="13">
        <f t="array" ref="BX43">INDEX(BW:BW,MIN(IF(ISNUMBER(BW43:BW239),ROW(BW43:BW239),"")))</f>
        <v>4.8</v>
      </c>
      <c r="BY43" s="13">
        <f>IF('Données projet'!$A$114&gt;35,BY42+BX43-CG42,IF(A43&lt;'Données projet'!$A$114,$BV$205^A43,IF(A43='Données projet'!$A$114,'Données projet'!$B$114,BY42+BX43-CG42)))</f>
        <v>112.99999999999996</v>
      </c>
      <c r="BZ43" s="14">
        <f>BY43*VLOOKUP('Données projet'!$B$12,Paramètres!$A$1:$I$89,3,0)*VLOOKUP('Données projet'!$B$12,Paramètres!$A$1:$I$89,5,0)</f>
        <v>91.665599999999969</v>
      </c>
      <c r="CA43" s="14">
        <f t="shared" si="39"/>
        <v>24.966497888207439</v>
      </c>
      <c r="CB43" s="22">
        <f t="shared" si="10"/>
        <v>203.13423715529458</v>
      </c>
      <c r="CC43" s="62">
        <f t="shared" si="11"/>
        <v>496.46757048862787</v>
      </c>
      <c r="CD43" s="62">
        <f ca="1">AVERAGE(OFFSET($CC$3,0,0,'Données projet'!$E$12+1,1))-AVERAGE(OFFSET($H$3,0,0,'Données projet'!$E$12+1,1))</f>
        <v>236.22643401787644</v>
      </c>
      <c r="CE43" s="62">
        <f t="shared" si="40"/>
        <v>188.80444043778022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10.407692307692306</v>
      </c>
      <c r="CT43" s="13">
        <f>IF('Données projet'!$A$140&gt;35,CT42+CS43-DB42,IF(A43&lt;'Données projet'!$A$140,$CQ$205^A43,IF(A43='Données projet'!$A$140,'Données projet'!$B$140,CT42+CS43-DB42)))</f>
        <v>207.35384615384618</v>
      </c>
      <c r="CU43" s="18">
        <f>CT43*VLOOKUP('Données projet'!$B$13,Paramètres!$A$1:$I$89,3,0)*VLOOKUP('Données projet'!$B$13,Paramètres!$A$1:$I$89,5,0)</f>
        <v>97.041600000000017</v>
      </c>
      <c r="CV43" s="14">
        <f t="shared" si="41"/>
        <v>26.255972457521427</v>
      </c>
      <c r="CW43" s="22">
        <f t="shared" si="13"/>
        <v>214.74327203018319</v>
      </c>
      <c r="CX43" s="62">
        <f t="shared" si="14"/>
        <v>508.07660536351648</v>
      </c>
      <c r="CY43" s="62">
        <f ca="1">AVERAGE(OFFSET($CX$3,0,0,'Données projet'!$E$13+1,1))-AVERAGE(OFFSET($H$3,0,0,'Données projet'!$E$13+1,1))</f>
        <v>246.73711856758143</v>
      </c>
      <c r="CZ43" s="62">
        <f t="shared" si="42"/>
        <v>145.54897745089966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164.10256410256409</v>
      </c>
      <c r="DM43" s="13">
        <f>VLOOKUP(A43,'Données projet'!$A$165:$I$185,9,0)</f>
        <v>6.5384615384615357</v>
      </c>
      <c r="DN43" s="13">
        <f t="array" ref="DN43">INDEX(DM:DM,MIN(IF(ISNUMBER(DM43:DM239),ROW(DM43:DM239),"")))</f>
        <v>6.5384615384615357</v>
      </c>
      <c r="DO43" s="13">
        <f>IF('Données projet'!$A$166&gt;35,DO42+DN43-DW42,IF(A43&lt;'Données projet'!$A$166,$DL$205^A43,IF(A43='Données projet'!$A$166,'Données projet'!$B$166,DO42+DN43-DW42)))</f>
        <v>164.10256410256412</v>
      </c>
      <c r="DP43" s="18">
        <f>DO43*VLOOKUP('Données projet'!$B$14,Paramètres!$A$1:$I$89,3,0)*VLOOKUP('Données projet'!$B$14,Paramètres!$A$1:$I$89,5,0)</f>
        <v>171.52000000000004</v>
      </c>
      <c r="DQ43" s="14">
        <f t="shared" si="43"/>
        <v>43.430276456724698</v>
      </c>
      <c r="DR43" s="22">
        <f t="shared" si="16"/>
        <v>374.3717314954622</v>
      </c>
      <c r="DS43" s="62">
        <f t="shared" si="17"/>
        <v>667.70506482879546</v>
      </c>
      <c r="DT43" s="62">
        <f ca="1">AVERAGE(OFFSET($DS$3,0,0,'Données projet'!$E$14+1,1))-AVERAGE(OFFSET($H$3,0,0,'Données projet'!$E$14+1,1))</f>
        <v>493.70175665335978</v>
      </c>
      <c r="DU43" s="62">
        <f t="shared" si="44"/>
        <v>325.12357781685949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22.435897435897434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123</v>
      </c>
      <c r="EH43" s="13">
        <f>VLOOKUP(A43,'Données projet'!$A$191:$I$211,9,0)</f>
        <v>5.6</v>
      </c>
      <c r="EI43" s="13">
        <f t="array" ref="EI43">INDEX(EH:EH,MIN(IF(ISNUMBER(EH43:EH239),ROW(EH43:EH239),"")))</f>
        <v>5.6</v>
      </c>
      <c r="EJ43" s="13">
        <f>IF('Données projet'!$A$192&gt;35,EJ42+EI43-ER42,IF(A43&lt;'Données projet'!$A$192,$EG$205^A43,IF(A43='Données projet'!$A$192,'Données projet'!$B$192,EJ42+EI43-ER42)))</f>
        <v>122.99999999999997</v>
      </c>
      <c r="EK43" s="18">
        <f>EJ43*VLOOKUP('Données projet'!$B$15,Paramètres!$A$1:$I$89,3,0)*VLOOKUP('Données projet'!$B$15,Paramètres!$A$1:$I$89,5,0)</f>
        <v>107.4528</v>
      </c>
      <c r="EL43" s="14">
        <f t="shared" si="45"/>
        <v>28.7300285196239</v>
      </c>
      <c r="EM43" s="22">
        <f t="shared" si="19"/>
        <v>237.18509300501162</v>
      </c>
      <c r="EN43" s="62">
        <f t="shared" si="20"/>
        <v>530.51842633834497</v>
      </c>
      <c r="EO43" s="62">
        <f ca="1">AVERAGE(OFFSET($EN$3,0,0,'Données projet'!$E$15+1,1))-AVERAGE(OFFSET($H$3,0,0,'Données projet'!$E$15+1,1))</f>
        <v>202.86354781280403</v>
      </c>
      <c r="EP43" s="62">
        <f t="shared" si="46"/>
        <v>217.25323885665131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28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132.05128205128204</v>
      </c>
      <c r="FC43" s="13">
        <f>VLOOKUP(A43,'Données projet'!$A$217:$I$237,9,0)</f>
        <v>5.7692307692307709</v>
      </c>
      <c r="FD43" s="13">
        <f t="array" ref="FD43">INDEX(FC:FC,MIN(IF(ISNUMBER(FC43:FC239),ROW(FC43:FC239),"")))</f>
        <v>5.7692307692307709</v>
      </c>
      <c r="FE43" s="13">
        <f>IF('Données projet'!$A$218&gt;35,FE42+FD43-FM42,IF(A43&lt;'Données projet'!$A$218,$FB$205^A43,IF(A43='Données projet'!$A$218,'Données projet'!$B$218,FE42+FD43-FM42)))</f>
        <v>132.05128205128207</v>
      </c>
      <c r="FF43" s="18">
        <f>FE43*VLOOKUP('Données projet'!$B$16,Paramètres!$A$1:$I$89,3,0)*VLOOKUP('Données projet'!$B$16,Paramètres!$A$1:$I$89,5,0)</f>
        <v>125.66000000000001</v>
      </c>
      <c r="FG43" s="14">
        <f t="shared" si="47"/>
        <v>32.991539598281548</v>
      </c>
      <c r="FH43" s="22">
        <f t="shared" si="22"/>
        <v>276.31809813367369</v>
      </c>
      <c r="FI43" s="62">
        <f t="shared" si="23"/>
        <v>569.651431467007</v>
      </c>
      <c r="FJ43" s="62">
        <f ca="1">AVERAGE(OFFSET($FI$3,0,0,'Données projet'!$E$16+1,1))-AVERAGE(OFFSET($H$3,0,0,'Données projet'!$E$16+1,1))</f>
        <v>353.61481736740694</v>
      </c>
      <c r="FK43" s="62">
        <f t="shared" si="48"/>
        <v>244.7141066773861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75</v>
      </c>
      <c r="FX43" s="13">
        <f>VLOOKUP(A43,'Données projet'!$A$243:$I$263,9,0)</f>
        <v>4</v>
      </c>
      <c r="FY43" s="13">
        <f t="array" ref="FY43">INDEX(FX:FX,MIN(IF(ISNUMBER(FX43:FX239),ROW(FX43:FX239),"")))</f>
        <v>4</v>
      </c>
      <c r="FZ43" s="13">
        <f>IF('Données projet'!$A$244&gt;35,FZ42+FY43-GH42,IF(A43&lt;'Données projet'!$A$244,$FW$205^A43,IF(A43='Données projet'!$A$244,'Données projet'!$B$244,FZ42+FY43-GH42)))</f>
        <v>75</v>
      </c>
      <c r="GA43" s="18">
        <f>FZ43*VLOOKUP('Données projet'!$B$17,Paramètres!$A$1:$I$89,3,0)*VLOOKUP('Données projet'!$B$17,Paramètres!$A$1:$I$89,5,0)</f>
        <v>80.72999999999999</v>
      </c>
      <c r="GB43" s="14">
        <f t="shared" si="49"/>
        <v>22.315578453114171</v>
      </c>
      <c r="GC43" s="22">
        <f t="shared" si="25"/>
        <v>179.47104913917383</v>
      </c>
      <c r="GD43" s="62">
        <f t="shared" si="26"/>
        <v>472.80438247250714</v>
      </c>
      <c r="GE43" s="62">
        <f ca="1">AVERAGE(OFFSET($GD$3,0,0,'Données projet'!$E$17+1,1))-AVERAGE(OFFSET($H$3,0,0,'Données projet'!$E$17+1,1))</f>
        <v>280.20599015000306</v>
      </c>
      <c r="GF43" s="62">
        <f t="shared" si="50"/>
        <v>166.97658184507787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158.97435897435898</v>
      </c>
      <c r="GS43" s="13">
        <f>VLOOKUP(A43,'Données projet'!$A$269:$I$289,9,0)</f>
        <v>6.9230769230769225</v>
      </c>
      <c r="GT43" s="13">
        <f t="array" ref="GT43">INDEX(GS:GS,MIN(IF(ISNUMBER(GS43:GS239),ROW(GS43:GS239),"")))</f>
        <v>6.9230769230769225</v>
      </c>
      <c r="GU43" s="13">
        <f>IF('Données projet'!$A$270&gt;35,GU42+GT43-HC42,IF(A43&lt;'Données projet'!$A$270,$GR$205^A43,IF(A43='Données projet'!$A$270,'Données projet'!$B$270,GU42+GT43-HC42)))</f>
        <v>158.97435897435903</v>
      </c>
      <c r="GV43" s="18">
        <f>GU43*VLOOKUP('Données projet'!$B$18,Paramètres!$A$1:$I$89,3,0)*VLOOKUP('Données projet'!$B$18,Paramètres!$A$1:$I$89,5,0)</f>
        <v>106.64000000000003</v>
      </c>
      <c r="GW43" s="14">
        <f t="shared" si="51"/>
        <v>28.537918766434618</v>
      </c>
      <c r="GX43" s="22">
        <f t="shared" si="28"/>
        <v>235.4348751848737</v>
      </c>
      <c r="GY43" s="62">
        <f t="shared" si="29"/>
        <v>528.76820851820708</v>
      </c>
      <c r="GZ43" s="62">
        <f ca="1">AVERAGE(OFFSET($GY$3,0,0,'Données projet'!$E$18+1,1))-AVERAGE(OFFSET($H$3,0,0,'Données projet'!$E$18+1,1))</f>
        <v>291.18686311753402</v>
      </c>
      <c r="HA43" s="62">
        <f t="shared" si="52"/>
        <v>215.44422413249839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9">
        <f t="shared" si="1"/>
        <v>256.66666666666669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13.141346153846158</v>
      </c>
      <c r="N44" s="14">
        <f>IF('Données projet'!$A$36&gt;35,N43+M44-V43,IF(A44&lt;'Données projet'!$A$36,$K$205^A44,IF(A44='Données projet'!$A$36,'Données projet'!$B$36,N43+M44-V43)))</f>
        <v>263.72980769230765</v>
      </c>
      <c r="O44" s="14">
        <f>N44*VLOOKUP('Données projet'!$B$9,Paramètres!$A$1:$I$89,3,0)*VLOOKUP('Données projet'!$B$9,Paramètres!$A$1:$I$89,5,0)</f>
        <v>157.71042499999999</v>
      </c>
      <c r="P44" s="14">
        <f t="shared" si="33"/>
        <v>40.325662975074472</v>
      </c>
      <c r="Q44" s="22">
        <f t="shared" si="53"/>
        <v>344.91285322325461</v>
      </c>
      <c r="R44" s="62">
        <f t="shared" si="0"/>
        <v>638.24618655658787</v>
      </c>
      <c r="S44" s="62">
        <f ca="1">AVERAGE(OFFSET($R$3,0,0,'Données projet'!$E$9+1,1))-AVERAGE(OFFSET($H$3,0,0,'Données projet'!$E$9+1,1))</f>
        <v>260.02504691866199</v>
      </c>
      <c r="T44" s="62">
        <f t="shared" si="34"/>
        <v>270.11268336406368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8.0491695786796047</v>
      </c>
      <c r="AA44" s="23">
        <f>EXP(-LN(2)/25)*AA43+(1-EXP(-LN(2)/25))/(LN(2)/25)*Calculateur!V44*Calculateur!X44*VLOOKUP('Données projet'!$B$9,Paramètres!$A$1:$I$89,3,0)*0.475*44/12</f>
        <v>12.115572029125506</v>
      </c>
      <c r="AB44" s="23">
        <f>EXP(-LN(2)/2)*AB43+(1-EXP(-LN(2)/2))/(LN(2)/2)*V44*Y44*VLOOKUP('Données projet'!$B$9,Paramètres!$A$1:$I$89,3,0)*0.475*44/12</f>
        <v>0.14009466804126963</v>
      </c>
      <c r="AC44" s="24">
        <f t="shared" si="3"/>
        <v>20.30483627584638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2">
        <f t="shared" si="5"/>
        <v>570.68476131278635</v>
      </c>
      <c r="AN44" s="62">
        <f ca="1">AVERAGE(OFFSET($AM$3,0,0,'Données projet'!$E$10+1,1))-AVERAGE(OFFSET($H$3,0,0,'Données projet'!$E$10+1,1))</f>
        <v>475.47920969424894</v>
      </c>
      <c r="AO44" s="62">
        <f t="shared" si="36"/>
        <v>271.73544012419364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112.55712000000003</v>
      </c>
      <c r="BF44" s="14">
        <f t="shared" si="37"/>
        <v>29.932653834140599</v>
      </c>
      <c r="BG44" s="22">
        <f t="shared" si="7"/>
        <v>248.16968942779496</v>
      </c>
      <c r="BH44" s="62">
        <f t="shared" si="8"/>
        <v>541.50302276112825</v>
      </c>
      <c r="BI44" s="62">
        <f ca="1">AVERAGE(OFFSET($BH$3,0,0,'Données projet'!$E$11+1,1))-AVERAGE(OFFSET($H$3,0,0,'Données projet'!$E$11+1,1))</f>
        <v>428.8489304403459</v>
      </c>
      <c r="BJ44" s="62">
        <f t="shared" si="38"/>
        <v>247.01165577562966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4.8</v>
      </c>
      <c r="BY44" s="13">
        <f>IF('Données projet'!$A$114&gt;35,BY43+BX44-CG43,IF(A44&lt;'Données projet'!$A$114,$BV$205^A44,IF(A44='Données projet'!$A$114,'Données projet'!$B$114,BY43+BX44-CG43)))</f>
        <v>117.79999999999995</v>
      </c>
      <c r="BZ44" s="14">
        <f>BY44*VLOOKUP('Données projet'!$B$12,Paramètres!$A$1:$I$89,3,0)*VLOOKUP('Données projet'!$B$12,Paramètres!$A$1:$I$89,5,0)</f>
        <v>95.55935999999997</v>
      </c>
      <c r="CA44" s="14">
        <f t="shared" si="39"/>
        <v>25.901295882154653</v>
      </c>
      <c r="CB44" s="22">
        <f t="shared" si="10"/>
        <v>211.5439756614193</v>
      </c>
      <c r="CC44" s="62">
        <f t="shared" si="11"/>
        <v>504.87730899475264</v>
      </c>
      <c r="CD44" s="62">
        <f ca="1">AVERAGE(OFFSET($CC$3,0,0,'Données projet'!$E$12+1,1))-AVERAGE(OFFSET($H$3,0,0,'Données projet'!$E$12+1,1))</f>
        <v>236.22643401787644</v>
      </c>
      <c r="CE44" s="62">
        <f t="shared" si="40"/>
        <v>188.80444043778022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10.407692307692306</v>
      </c>
      <c r="CT44" s="13">
        <f>IF('Données projet'!$A$140&gt;35,CT43+CS44-DB43,IF(A44&lt;'Données projet'!$A$140,$CQ$205^A44,IF(A44='Données projet'!$A$140,'Données projet'!$B$140,CT43+CS44-DB43)))</f>
        <v>217.76153846153849</v>
      </c>
      <c r="CU44" s="18">
        <f>CT44*VLOOKUP('Données projet'!$B$13,Paramètres!$A$1:$I$89,3,0)*VLOOKUP('Données projet'!$B$13,Paramètres!$A$1:$I$89,5,0)</f>
        <v>101.91240000000002</v>
      </c>
      <c r="CV44" s="14">
        <f t="shared" si="41"/>
        <v>27.417096956022522</v>
      </c>
      <c r="CW44" s="22">
        <f t="shared" si="13"/>
        <v>225.2488738650726</v>
      </c>
      <c r="CX44" s="62">
        <f t="shared" si="14"/>
        <v>518.58220719840597</v>
      </c>
      <c r="CY44" s="62">
        <f ca="1">AVERAGE(OFFSET($CX$3,0,0,'Données projet'!$E$13+1,1))-AVERAGE(OFFSET($H$3,0,0,'Données projet'!$E$13+1,1))</f>
        <v>246.73711856758143</v>
      </c>
      <c r="CZ44" s="62">
        <f t="shared" si="42"/>
        <v>145.54897745089966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6.2820512820512819</v>
      </c>
      <c r="DO44" s="13">
        <f>IF('Données projet'!$A$166&gt;35,DO43+DN44-DW43,IF(A44&lt;'Données projet'!$A$166,$DL$205^A44,IF(A44='Données projet'!$A$166,'Données projet'!$B$166,DO43+DN44-DW43)))</f>
        <v>147.94871794871796</v>
      </c>
      <c r="DP44" s="18">
        <f>DO44*VLOOKUP('Données projet'!$B$14,Paramètres!$A$1:$I$89,3,0)*VLOOKUP('Données projet'!$B$14,Paramètres!$A$1:$I$89,5,0)</f>
        <v>154.63600000000002</v>
      </c>
      <c r="DQ44" s="14">
        <f t="shared" si="43"/>
        <v>39.630259615196607</v>
      </c>
      <c r="DR44" s="22">
        <f t="shared" si="16"/>
        <v>338.34706882980078</v>
      </c>
      <c r="DS44" s="62">
        <f t="shared" si="17"/>
        <v>631.68040216313409</v>
      </c>
      <c r="DT44" s="62">
        <f ca="1">AVERAGE(OFFSET($DS$3,0,0,'Données projet'!$E$14+1,1))-AVERAGE(OFFSET($H$3,0,0,'Données projet'!$E$14+1,1))</f>
        <v>493.70175665335978</v>
      </c>
      <c r="DU44" s="62">
        <f t="shared" si="44"/>
        <v>325.12357781685949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5</v>
      </c>
      <c r="EJ44" s="13">
        <f>IF('Données projet'!$A$192&gt;35,EJ43+EI44-ER43,IF(A44&lt;'Données projet'!$A$192,$EG$205^A44,IF(A44='Données projet'!$A$192,'Données projet'!$B$192,EJ43+EI44-ER43)))</f>
        <v>99.999999999999972</v>
      </c>
      <c r="EK44" s="18">
        <f>EJ44*VLOOKUP('Données projet'!$B$15,Paramètres!$A$1:$I$89,3,0)*VLOOKUP('Données projet'!$B$15,Paramètres!$A$1:$I$89,5,0)</f>
        <v>87.359999999999985</v>
      </c>
      <c r="EL44" s="14">
        <f t="shared" si="45"/>
        <v>23.927421530185931</v>
      </c>
      <c r="EM44" s="22">
        <f t="shared" si="19"/>
        <v>193.82559249840713</v>
      </c>
      <c r="EN44" s="62">
        <f t="shared" si="20"/>
        <v>487.15892583174048</v>
      </c>
      <c r="EO44" s="62">
        <f ca="1">AVERAGE(OFFSET($EN$3,0,0,'Données projet'!$E$15+1,1))-AVERAGE(OFFSET($H$3,0,0,'Données projet'!$E$15+1,1))</f>
        <v>202.86354781280403</v>
      </c>
      <c r="EP44" s="62">
        <f t="shared" si="46"/>
        <v>217.25323885665131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5.6410256410256405</v>
      </c>
      <c r="FE44" s="13">
        <f>IF('Données projet'!$A$218&gt;35,FE43+FD44-FM43,IF(A44&lt;'Données projet'!$A$218,$FB$205^A44,IF(A44='Données projet'!$A$218,'Données projet'!$B$218,FE43+FD44-FM43)))</f>
        <v>137.69230769230771</v>
      </c>
      <c r="FF44" s="18">
        <f>FE44*VLOOKUP('Données projet'!$B$16,Paramètres!$A$1:$I$89,3,0)*VLOOKUP('Données projet'!$B$16,Paramètres!$A$1:$I$89,5,0)</f>
        <v>131.02800000000002</v>
      </c>
      <c r="FG44" s="14">
        <f t="shared" si="47"/>
        <v>34.23379094712331</v>
      </c>
      <c r="FH44" s="22">
        <f t="shared" si="22"/>
        <v>287.83095256623977</v>
      </c>
      <c r="FI44" s="62">
        <f t="shared" si="23"/>
        <v>581.16428589957309</v>
      </c>
      <c r="FJ44" s="62">
        <f ca="1">AVERAGE(OFFSET($FI$3,0,0,'Données projet'!$E$16+1,1))-AVERAGE(OFFSET($H$3,0,0,'Données projet'!$E$16+1,1))</f>
        <v>353.61481736740694</v>
      </c>
      <c r="FK44" s="62">
        <f t="shared" si="48"/>
        <v>244.7141066773861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3.8</v>
      </c>
      <c r="FZ44" s="13">
        <f>IF('Données projet'!$A$244&gt;35,FZ43+FY44-GH43,IF(A44&lt;'Données projet'!$A$244,$FW$205^A44,IF(A44='Données projet'!$A$244,'Données projet'!$B$244,FZ43+FY44-GH43)))</f>
        <v>78.8</v>
      </c>
      <c r="GA44" s="18">
        <f>FZ44*VLOOKUP('Données projet'!$B$17,Paramètres!$A$1:$I$89,3,0)*VLOOKUP('Données projet'!$B$17,Paramètres!$A$1:$I$89,5,0)</f>
        <v>84.820319999999995</v>
      </c>
      <c r="GB44" s="14">
        <f t="shared" si="49"/>
        <v>23.311734183304917</v>
      </c>
      <c r="GC44" s="22">
        <f t="shared" si="25"/>
        <v>188.32999436925604</v>
      </c>
      <c r="GD44" s="62">
        <f t="shared" si="26"/>
        <v>481.66332770258936</v>
      </c>
      <c r="GE44" s="62">
        <f ca="1">AVERAGE(OFFSET($GD$3,0,0,'Données projet'!$E$17+1,1))-AVERAGE(OFFSET($H$3,0,0,'Données projet'!$E$17+1,1))</f>
        <v>280.20599015000306</v>
      </c>
      <c r="GF44" s="62">
        <f t="shared" si="50"/>
        <v>166.97658184507787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6.2820512820512819</v>
      </c>
      <c r="GU44" s="13">
        <f>IF('Données projet'!$A$270&gt;35,GU43+GT44-HC43,IF(A44&lt;'Données projet'!$A$270,$GR$205^A44,IF(A44='Données projet'!$A$270,'Données projet'!$B$270,GU43+GT44-HC43)))</f>
        <v>165.25641025641031</v>
      </c>
      <c r="GV44" s="18">
        <f>GU44*VLOOKUP('Données projet'!$B$18,Paramètres!$A$1:$I$89,3,0)*VLOOKUP('Données projet'!$B$18,Paramètres!$A$1:$I$89,5,0)</f>
        <v>110.85400000000003</v>
      </c>
      <c r="GW44" s="14">
        <f t="shared" si="51"/>
        <v>29.532102980068863</v>
      </c>
      <c r="GX44" s="22">
        <f t="shared" si="28"/>
        <v>244.50579602361998</v>
      </c>
      <c r="GY44" s="62">
        <f t="shared" si="29"/>
        <v>537.83912935695332</v>
      </c>
      <c r="GZ44" s="62">
        <f ca="1">AVERAGE(OFFSET($GY$3,0,0,'Données projet'!$E$18+1,1))-AVERAGE(OFFSET($H$3,0,0,'Données projet'!$E$18+1,1))</f>
        <v>291.18686311753402</v>
      </c>
      <c r="HA44" s="62">
        <f t="shared" si="52"/>
        <v>215.44422413249839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9">
        <f t="shared" si="1"/>
        <v>256.66666666666669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13.141346153846158</v>
      </c>
      <c r="N45" s="14">
        <f>IF('Données projet'!$A$36&gt;35,N44+M45-V44,IF(A45&lt;'Données projet'!$A$36,$K$205^A45,IF(A45='Données projet'!$A$36,'Données projet'!$B$36,N44+M45-V44)))</f>
        <v>276.87115384615379</v>
      </c>
      <c r="O45" s="14">
        <f>N45*VLOOKUP('Données projet'!$B$9,Paramètres!$A$1:$I$89,3,0)*VLOOKUP('Données projet'!$B$9,Paramètres!$A$1:$I$89,5,0)</f>
        <v>165.56894999999997</v>
      </c>
      <c r="P45" s="14">
        <f t="shared" si="33"/>
        <v>42.096095514085818</v>
      </c>
      <c r="Q45" s="22">
        <f t="shared" si="53"/>
        <v>361.6832876036994</v>
      </c>
      <c r="R45" s="62">
        <f t="shared" si="0"/>
        <v>655.01662093703271</v>
      </c>
      <c r="S45" s="62">
        <f ca="1">AVERAGE(OFFSET($R$3,0,0,'Données projet'!$E$9+1,1))-AVERAGE(OFFSET($H$3,0,0,'Données projet'!$E$9+1,1))</f>
        <v>260.02504691866199</v>
      </c>
      <c r="T45" s="62">
        <f t="shared" si="34"/>
        <v>270.11268336406368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7.8913302727503671</v>
      </c>
      <c r="AA45" s="23">
        <f>EXP(-LN(2)/25)*AA44+(1-EXP(-LN(2)/25))/(LN(2)/25)*Calculateur!V45*Calculateur!X45*VLOOKUP('Données projet'!$B$9,Paramètres!$A$1:$I$89,3,0)*0.475*44/12</f>
        <v>11.784271074858827</v>
      </c>
      <c r="AB45" s="23">
        <f>EXP(-LN(2)/2)*AB44+(1-EXP(-LN(2)/2))/(LN(2)/2)*V45*Y45*VLOOKUP('Données projet'!$B$9,Paramètres!$A$1:$I$89,3,0)*0.475*44/12</f>
        <v>9.9061889780060058E-2</v>
      </c>
      <c r="AC45" s="24">
        <f t="shared" si="3"/>
        <v>19.774663237389255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2">
        <f t="shared" si="5"/>
        <v>588.94632501044362</v>
      </c>
      <c r="AN45" s="62">
        <f ca="1">AVERAGE(OFFSET($AM$3,0,0,'Données projet'!$E$10+1,1))-AVERAGE(OFFSET($H$3,0,0,'Données projet'!$E$10+1,1))</f>
        <v>475.47920969424894</v>
      </c>
      <c r="AO45" s="62">
        <f t="shared" si="36"/>
        <v>271.73544012419364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120.15744000000002</v>
      </c>
      <c r="BF45" s="14">
        <f t="shared" si="37"/>
        <v>31.711716786129845</v>
      </c>
      <c r="BG45" s="22">
        <f t="shared" si="7"/>
        <v>264.50544806917623</v>
      </c>
      <c r="BH45" s="62">
        <f t="shared" si="8"/>
        <v>557.83878140250954</v>
      </c>
      <c r="BI45" s="62">
        <f ca="1">AVERAGE(OFFSET($BH$3,0,0,'Données projet'!$E$11+1,1))-AVERAGE(OFFSET($H$3,0,0,'Données projet'!$E$11+1,1))</f>
        <v>428.8489304403459</v>
      </c>
      <c r="BJ45" s="62">
        <f t="shared" si="38"/>
        <v>247.01165577562966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4.8</v>
      </c>
      <c r="BY45" s="13">
        <f>IF('Données projet'!$A$114&gt;35,BY44+BX45-CG44,IF(A45&lt;'Données projet'!$A$114,$BV$205^A45,IF(A45='Données projet'!$A$114,'Données projet'!$B$114,BY44+BX45-CG44)))</f>
        <v>122.59999999999995</v>
      </c>
      <c r="BZ45" s="14">
        <f>BY45*VLOOKUP('Données projet'!$B$12,Paramètres!$A$1:$I$89,3,0)*VLOOKUP('Données projet'!$B$12,Paramètres!$A$1:$I$89,5,0)</f>
        <v>99.453119999999956</v>
      </c>
      <c r="CA45" s="14">
        <f t="shared" si="39"/>
        <v>26.831669376836924</v>
      </c>
      <c r="CB45" s="22">
        <f t="shared" si="10"/>
        <v>219.94600816465757</v>
      </c>
      <c r="CC45" s="62">
        <f t="shared" si="11"/>
        <v>513.27934149799091</v>
      </c>
      <c r="CD45" s="62">
        <f ca="1">AVERAGE(OFFSET($CC$3,0,0,'Données projet'!$E$12+1,1))-AVERAGE(OFFSET($H$3,0,0,'Données projet'!$E$12+1,1))</f>
        <v>236.22643401787644</v>
      </c>
      <c r="CE45" s="62">
        <f t="shared" si="40"/>
        <v>188.80444043778022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10.407692307692306</v>
      </c>
      <c r="CT45" s="13">
        <f>IF('Données projet'!$A$140&gt;35,CT44+CS45-DB44,IF(A45&lt;'Données projet'!$A$140,$CQ$205^A45,IF(A45='Données projet'!$A$140,'Données projet'!$B$140,CT44+CS45-DB44)))</f>
        <v>228.16923076923081</v>
      </c>
      <c r="CU45" s="18">
        <f>CT45*VLOOKUP('Données projet'!$B$13,Paramètres!$A$1:$I$89,3,0)*VLOOKUP('Données projet'!$B$13,Paramètres!$A$1:$I$89,5,0)</f>
        <v>106.78320000000002</v>
      </c>
      <c r="CV45" s="14">
        <f t="shared" si="41"/>
        <v>28.571777207672977</v>
      </c>
      <c r="CW45" s="22">
        <f t="shared" si="13"/>
        <v>235.74325197003046</v>
      </c>
      <c r="CX45" s="62">
        <f t="shared" si="14"/>
        <v>529.0765853033638</v>
      </c>
      <c r="CY45" s="62">
        <f ca="1">AVERAGE(OFFSET($CX$3,0,0,'Données projet'!$E$13+1,1))-AVERAGE(OFFSET($H$3,0,0,'Données projet'!$E$13+1,1))</f>
        <v>246.73711856758143</v>
      </c>
      <c r="CZ45" s="62">
        <f t="shared" si="42"/>
        <v>145.54897745089966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6.2820512820512819</v>
      </c>
      <c r="DO45" s="13">
        <f>IF('Données projet'!$A$166&gt;35,DO44+DN45-DW44,IF(A45&lt;'Données projet'!$A$166,$DL$205^A45,IF(A45='Données projet'!$A$166,'Données projet'!$B$166,DO44+DN45-DW44)))</f>
        <v>154.23076923076923</v>
      </c>
      <c r="DP45" s="18">
        <f>DO45*VLOOKUP('Données projet'!$B$14,Paramètres!$A$1:$I$89,3,0)*VLOOKUP('Données projet'!$B$14,Paramètres!$A$1:$I$89,5,0)</f>
        <v>161.20200000000003</v>
      </c>
      <c r="DQ45" s="14">
        <f t="shared" si="43"/>
        <v>41.113511653265036</v>
      </c>
      <c r="DR45" s="22">
        <f t="shared" si="16"/>
        <v>352.36618279610326</v>
      </c>
      <c r="DS45" s="62">
        <f t="shared" si="17"/>
        <v>645.69951612943657</v>
      </c>
      <c r="DT45" s="62">
        <f ca="1">AVERAGE(OFFSET($DS$3,0,0,'Données projet'!$E$14+1,1))-AVERAGE(OFFSET($H$3,0,0,'Données projet'!$E$14+1,1))</f>
        <v>493.70175665335978</v>
      </c>
      <c r="DU45" s="62">
        <f t="shared" si="44"/>
        <v>325.12357781685949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5</v>
      </c>
      <c r="EJ45" s="13">
        <f>IF('Données projet'!$A$192&gt;35,EJ44+EI45-ER44,IF(A45&lt;'Données projet'!$A$192,$EG$205^A45,IF(A45='Données projet'!$A$192,'Données projet'!$B$192,EJ44+EI45-ER44)))</f>
        <v>104.99999999999997</v>
      </c>
      <c r="EK45" s="18">
        <f>EJ45*VLOOKUP('Données projet'!$B$15,Paramètres!$A$1:$I$89,3,0)*VLOOKUP('Données projet'!$B$15,Paramètres!$A$1:$I$89,5,0)</f>
        <v>91.727999999999994</v>
      </c>
      <c r="EL45" s="14">
        <f t="shared" si="45"/>
        <v>24.981514582386563</v>
      </c>
      <c r="EM45" s="22">
        <f t="shared" si="19"/>
        <v>203.26907123098991</v>
      </c>
      <c r="EN45" s="62">
        <f t="shared" si="20"/>
        <v>496.60240456432325</v>
      </c>
      <c r="EO45" s="62">
        <f ca="1">AVERAGE(OFFSET($EN$3,0,0,'Données projet'!$E$15+1,1))-AVERAGE(OFFSET($H$3,0,0,'Données projet'!$E$15+1,1))</f>
        <v>202.86354781280403</v>
      </c>
      <c r="EP45" s="62">
        <f t="shared" si="46"/>
        <v>217.25323885665131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5.6410256410256405</v>
      </c>
      <c r="FE45" s="13">
        <f>IF('Données projet'!$A$218&gt;35,FE44+FD45-FM44,IF(A45&lt;'Données projet'!$A$218,$FB$205^A45,IF(A45='Données projet'!$A$218,'Données projet'!$B$218,FE44+FD45-FM44)))</f>
        <v>143.33333333333334</v>
      </c>
      <c r="FF45" s="18">
        <f>FE45*VLOOKUP('Données projet'!$B$16,Paramètres!$A$1:$I$89,3,0)*VLOOKUP('Données projet'!$B$16,Paramètres!$A$1:$I$89,5,0)</f>
        <v>136.39600000000002</v>
      </c>
      <c r="FG45" s="14">
        <f t="shared" si="47"/>
        <v>35.470130709133613</v>
      </c>
      <c r="FH45" s="22">
        <f t="shared" si="22"/>
        <v>299.33351098507438</v>
      </c>
      <c r="FI45" s="62">
        <f t="shared" si="23"/>
        <v>592.6668443184077</v>
      </c>
      <c r="FJ45" s="62">
        <f ca="1">AVERAGE(OFFSET($FI$3,0,0,'Données projet'!$E$16+1,1))-AVERAGE(OFFSET($H$3,0,0,'Données projet'!$E$16+1,1))</f>
        <v>353.61481736740694</v>
      </c>
      <c r="FK45" s="62">
        <f t="shared" si="48"/>
        <v>244.7141066773861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3.8</v>
      </c>
      <c r="FZ45" s="13">
        <f>IF('Données projet'!$A$244&gt;35,FZ44+FY45-GH44,IF(A45&lt;'Données projet'!$A$244,$FW$205^A45,IF(A45='Données projet'!$A$244,'Données projet'!$B$244,FZ44+FY45-GH44)))</f>
        <v>82.6</v>
      </c>
      <c r="GA45" s="18">
        <f>FZ45*VLOOKUP('Données projet'!$B$17,Paramètres!$A$1:$I$89,3,0)*VLOOKUP('Données projet'!$B$17,Paramètres!$A$1:$I$89,5,0)</f>
        <v>88.910639999999987</v>
      </c>
      <c r="GB45" s="14">
        <f t="shared" si="49"/>
        <v>24.302311675558148</v>
      </c>
      <c r="GC45" s="22">
        <f t="shared" si="25"/>
        <v>197.17922416826374</v>
      </c>
      <c r="GD45" s="62">
        <f t="shared" si="26"/>
        <v>490.51255750159703</v>
      </c>
      <c r="GE45" s="62">
        <f ca="1">AVERAGE(OFFSET($GD$3,0,0,'Données projet'!$E$17+1,1))-AVERAGE(OFFSET($H$3,0,0,'Données projet'!$E$17+1,1))</f>
        <v>280.20599015000306</v>
      </c>
      <c r="GF45" s="62">
        <f t="shared" si="50"/>
        <v>166.97658184507787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6.2820512820512819</v>
      </c>
      <c r="GU45" s="13">
        <f>IF('Données projet'!$A$270&gt;35,GU44+GT45-HC44,IF(A45&lt;'Données projet'!$A$270,$GR$205^A45,IF(A45='Données projet'!$A$270,'Données projet'!$B$270,GU44+GT45-HC44)))</f>
        <v>171.53846153846158</v>
      </c>
      <c r="GV45" s="18">
        <f>GU45*VLOOKUP('Données projet'!$B$18,Paramètres!$A$1:$I$89,3,0)*VLOOKUP('Données projet'!$B$18,Paramètres!$A$1:$I$89,5,0)</f>
        <v>115.06800000000003</v>
      </c>
      <c r="GW45" s="14">
        <f t="shared" si="51"/>
        <v>30.521896703482735</v>
      </c>
      <c r="GX45" s="22">
        <f t="shared" si="28"/>
        <v>253.56907009189914</v>
      </c>
      <c r="GY45" s="62">
        <f t="shared" si="29"/>
        <v>546.90240342523248</v>
      </c>
      <c r="GZ45" s="62">
        <f ca="1">AVERAGE(OFFSET($GY$3,0,0,'Données projet'!$E$18+1,1))-AVERAGE(OFFSET($H$3,0,0,'Données projet'!$E$18+1,1))</f>
        <v>291.18686311753402</v>
      </c>
      <c r="HA45" s="62">
        <f t="shared" si="52"/>
        <v>215.44422413249839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9">
        <f t="shared" si="1"/>
        <v>256.66666666666669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13.141346153846158</v>
      </c>
      <c r="N46" s="14">
        <f>IF('Données projet'!$A$36&gt;35,N45+M46-V45,IF(A46&lt;'Données projet'!$A$36,$K$205^A46,IF(A46='Données projet'!$A$36,'Données projet'!$B$36,N45+M46-V45)))</f>
        <v>290.01249999999993</v>
      </c>
      <c r="O46" s="14">
        <f>N46*VLOOKUP('Données projet'!$B$9,Paramètres!$A$1:$I$89,3,0)*VLOOKUP('Données projet'!$B$9,Paramètres!$A$1:$I$89,5,0)</f>
        <v>173.42747499999999</v>
      </c>
      <c r="P46" s="14">
        <f t="shared" si="33"/>
        <v>43.856769901180428</v>
      </c>
      <c r="Q46" s="22">
        <f t="shared" si="53"/>
        <v>378.43672653622252</v>
      </c>
      <c r="R46" s="62">
        <f t="shared" si="0"/>
        <v>671.77005986955578</v>
      </c>
      <c r="S46" s="62">
        <f ca="1">AVERAGE(OFFSET($R$3,0,0,'Données projet'!$E$9+1,1))-AVERAGE(OFFSET($H$3,0,0,'Données projet'!$E$9+1,1))</f>
        <v>260.02504691866199</v>
      </c>
      <c r="T46" s="62">
        <f t="shared" si="34"/>
        <v>270.11268336406368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7.7365860993379316</v>
      </c>
      <c r="AA46" s="23">
        <f>EXP(-LN(2)/25)*AA45+(1-EXP(-LN(2)/25))/(LN(2)/25)*Calculateur!V46*Calculateur!X46*VLOOKUP('Données projet'!$B$9,Paramètres!$A$1:$I$89,3,0)*0.475*44/12</f>
        <v>11.462029562608929</v>
      </c>
      <c r="AB46" s="23">
        <f>EXP(-LN(2)/2)*AB45+(1-EXP(-LN(2)/2))/(LN(2)/2)*V46*Y46*VLOOKUP('Données projet'!$B$9,Paramètres!$A$1:$I$89,3,0)*0.475*44/12</f>
        <v>7.0047334020634816E-2</v>
      </c>
      <c r="AC46" s="24">
        <f t="shared" si="3"/>
        <v>19.268662995967496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607.18273374145838</v>
      </c>
      <c r="AN46" s="62">
        <f ca="1">AVERAGE(OFFSET($AM$3,0,0,'Données projet'!$E$10+1,1))-AVERAGE(OFFSET($H$3,0,0,'Données projet'!$E$10+1,1))</f>
        <v>475.47920969424894</v>
      </c>
      <c r="AO46" s="62">
        <f t="shared" si="36"/>
        <v>271.73544012419364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127.75776000000003</v>
      </c>
      <c r="BF46" s="14">
        <f t="shared" si="37"/>
        <v>33.477720030956604</v>
      </c>
      <c r="BG46" s="22">
        <f t="shared" si="7"/>
        <v>280.81846105391611</v>
      </c>
      <c r="BH46" s="62">
        <f t="shared" si="8"/>
        <v>574.15179438724942</v>
      </c>
      <c r="BI46" s="62">
        <f ca="1">AVERAGE(OFFSET($BH$3,0,0,'Données projet'!$E$11+1,1))-AVERAGE(OFFSET($H$3,0,0,'Données projet'!$E$11+1,1))</f>
        <v>428.8489304403459</v>
      </c>
      <c r="BJ46" s="62">
        <f t="shared" si="38"/>
        <v>247.01165577562966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4.8</v>
      </c>
      <c r="BY46" s="13">
        <f>IF('Données projet'!$A$114&gt;35,BY45+BX46-CG45,IF(A46&lt;'Données projet'!$A$114,$BV$205^A46,IF(A46='Données projet'!$A$114,'Données projet'!$B$114,BY45+BX46-CG45)))</f>
        <v>127.39999999999995</v>
      </c>
      <c r="BZ46" s="14">
        <f>BY46*VLOOKUP('Données projet'!$B$12,Paramètres!$A$1:$I$89,3,0)*VLOOKUP('Données projet'!$B$12,Paramètres!$A$1:$I$89,5,0)</f>
        <v>103.34687999999997</v>
      </c>
      <c r="CA46" s="14">
        <f t="shared" si="39"/>
        <v>27.757811423037616</v>
      </c>
      <c r="CB46" s="22">
        <f t="shared" si="10"/>
        <v>228.34067089512379</v>
      </c>
      <c r="CC46" s="62">
        <f t="shared" si="11"/>
        <v>521.67400422845708</v>
      </c>
      <c r="CD46" s="62">
        <f ca="1">AVERAGE(OFFSET($CC$3,0,0,'Données projet'!$E$12+1,1))-AVERAGE(OFFSET($H$3,0,0,'Données projet'!$E$12+1,1))</f>
        <v>236.22643401787644</v>
      </c>
      <c r="CE46" s="62">
        <f t="shared" si="40"/>
        <v>188.80444043778022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10.407692307692306</v>
      </c>
      <c r="CT46" s="13">
        <f>IF('Données projet'!$A$140&gt;35,CT45+CS46-DB45,IF(A46&lt;'Données projet'!$A$140,$CQ$205^A46,IF(A46='Données projet'!$A$140,'Données projet'!$B$140,CT45+CS46-DB45)))</f>
        <v>238.57692307692312</v>
      </c>
      <c r="CU46" s="18">
        <f>CT46*VLOOKUP('Données projet'!$B$13,Paramètres!$A$1:$I$89,3,0)*VLOOKUP('Données projet'!$B$13,Paramètres!$A$1:$I$89,5,0)</f>
        <v>111.65400000000002</v>
      </c>
      <c r="CV46" s="14">
        <f t="shared" si="41"/>
        <v>29.720340737744728</v>
      </c>
      <c r="CW46" s="22">
        <f t="shared" si="13"/>
        <v>246.22697678490542</v>
      </c>
      <c r="CX46" s="62">
        <f t="shared" si="14"/>
        <v>539.5603101182387</v>
      </c>
      <c r="CY46" s="62">
        <f ca="1">AVERAGE(OFFSET($CX$3,0,0,'Données projet'!$E$13+1,1))-AVERAGE(OFFSET($H$3,0,0,'Données projet'!$E$13+1,1))</f>
        <v>246.73711856758143</v>
      </c>
      <c r="CZ46" s="62">
        <f t="shared" si="42"/>
        <v>145.54897745089966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6.2820512820512819</v>
      </c>
      <c r="DO46" s="13">
        <f>IF('Données projet'!$A$166&gt;35,DO45+DN46-DW45,IF(A46&lt;'Données projet'!$A$166,$DL$205^A46,IF(A46='Données projet'!$A$166,'Données projet'!$B$166,DO45+DN46-DW45)))</f>
        <v>160.5128205128205</v>
      </c>
      <c r="DP46" s="18">
        <f>DO46*VLOOKUP('Données projet'!$B$14,Paramètres!$A$1:$I$89,3,0)*VLOOKUP('Données projet'!$B$14,Paramètres!$A$1:$I$89,5,0)</f>
        <v>167.768</v>
      </c>
      <c r="DQ46" s="14">
        <f t="shared" si="43"/>
        <v>42.589745970134487</v>
      </c>
      <c r="DR46" s="22">
        <f t="shared" si="16"/>
        <v>366.37307423131756</v>
      </c>
      <c r="DS46" s="62">
        <f t="shared" si="17"/>
        <v>659.70640756465082</v>
      </c>
      <c r="DT46" s="62">
        <f ca="1">AVERAGE(OFFSET($DS$3,0,0,'Données projet'!$E$14+1,1))-AVERAGE(OFFSET($H$3,0,0,'Données projet'!$E$14+1,1))</f>
        <v>493.70175665335978</v>
      </c>
      <c r="DU46" s="62">
        <f t="shared" si="44"/>
        <v>325.12357781685949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5</v>
      </c>
      <c r="EJ46" s="13">
        <f>IF('Données projet'!$A$192&gt;35,EJ45+EI46-ER45,IF(A46&lt;'Données projet'!$A$192,$EG$205^A46,IF(A46='Données projet'!$A$192,'Données projet'!$B$192,EJ45+EI46-ER45)))</f>
        <v>109.99999999999997</v>
      </c>
      <c r="EK46" s="18">
        <f>EJ46*VLOOKUP('Données projet'!$B$15,Paramètres!$A$1:$I$89,3,0)*VLOOKUP('Données projet'!$B$15,Paramètres!$A$1:$I$89,5,0)</f>
        <v>96.095999999999989</v>
      </c>
      <c r="EL46" s="14">
        <f t="shared" si="45"/>
        <v>26.029778784173352</v>
      </c>
      <c r="EM46" s="22">
        <f t="shared" si="19"/>
        <v>212.70239804910193</v>
      </c>
      <c r="EN46" s="62">
        <f t="shared" si="20"/>
        <v>506.03573138243524</v>
      </c>
      <c r="EO46" s="62">
        <f ca="1">AVERAGE(OFFSET($EN$3,0,0,'Données projet'!$E$15+1,1))-AVERAGE(OFFSET($H$3,0,0,'Données projet'!$E$15+1,1))</f>
        <v>202.86354781280403</v>
      </c>
      <c r="EP46" s="62">
        <f t="shared" si="46"/>
        <v>217.25323885665131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5.6410256410256405</v>
      </c>
      <c r="FE46" s="13">
        <f>IF('Données projet'!$A$218&gt;35,FE45+FD46-FM45,IF(A46&lt;'Données projet'!$A$218,$FB$205^A46,IF(A46='Données projet'!$A$218,'Données projet'!$B$218,FE45+FD46-FM45)))</f>
        <v>148.97435897435898</v>
      </c>
      <c r="FF46" s="18">
        <f>FE46*VLOOKUP('Données projet'!$B$16,Paramètres!$A$1:$I$89,3,0)*VLOOKUP('Données projet'!$B$16,Paramètres!$A$1:$I$89,5,0)</f>
        <v>141.76400000000001</v>
      </c>
      <c r="FG46" s="14">
        <f t="shared" si="47"/>
        <v>36.700818164211768</v>
      </c>
      <c r="FH46" s="22">
        <f t="shared" si="22"/>
        <v>310.8262249693355</v>
      </c>
      <c r="FI46" s="62">
        <f t="shared" si="23"/>
        <v>604.15955830266876</v>
      </c>
      <c r="FJ46" s="62">
        <f ca="1">AVERAGE(OFFSET($FI$3,0,0,'Données projet'!$E$16+1,1))-AVERAGE(OFFSET($H$3,0,0,'Données projet'!$E$16+1,1))</f>
        <v>353.61481736740694</v>
      </c>
      <c r="FK46" s="62">
        <f t="shared" si="48"/>
        <v>244.7141066773861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3.8</v>
      </c>
      <c r="FZ46" s="13">
        <f>IF('Données projet'!$A$244&gt;35,FZ45+FY46-GH45,IF(A46&lt;'Données projet'!$A$244,$FW$205^A46,IF(A46='Données projet'!$A$244,'Données projet'!$B$244,FZ45+FY46-GH45)))</f>
        <v>86.399999999999991</v>
      </c>
      <c r="GA46" s="18">
        <f>FZ46*VLOOKUP('Données projet'!$B$17,Paramètres!$A$1:$I$89,3,0)*VLOOKUP('Données projet'!$B$17,Paramètres!$A$1:$I$89,5,0)</f>
        <v>93.000959999999992</v>
      </c>
      <c r="GB46" s="14">
        <f t="shared" si="49"/>
        <v>25.28759686753336</v>
      </c>
      <c r="GC46" s="22">
        <f t="shared" si="25"/>
        <v>206.01923654428722</v>
      </c>
      <c r="GD46" s="62">
        <f t="shared" si="26"/>
        <v>499.35256987762057</v>
      </c>
      <c r="GE46" s="62">
        <f ca="1">AVERAGE(OFFSET($GD$3,0,0,'Données projet'!$E$17+1,1))-AVERAGE(OFFSET($H$3,0,0,'Données projet'!$E$17+1,1))</f>
        <v>280.20599015000306</v>
      </c>
      <c r="GF46" s="62">
        <f t="shared" si="50"/>
        <v>166.97658184507787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6.2820512820512819</v>
      </c>
      <c r="GU46" s="13">
        <f>IF('Données projet'!$A$270&gt;35,GU45+GT46-HC45,IF(A46&lt;'Données projet'!$A$270,$GR$205^A46,IF(A46='Données projet'!$A$270,'Données projet'!$B$270,GU45+GT46-HC45)))</f>
        <v>177.82051282051285</v>
      </c>
      <c r="GV46" s="18">
        <f>GU46*VLOOKUP('Données projet'!$B$18,Paramètres!$A$1:$I$89,3,0)*VLOOKUP('Données projet'!$B$18,Paramètres!$A$1:$I$89,5,0)</f>
        <v>119.28200000000002</v>
      </c>
      <c r="GW46" s="14">
        <f t="shared" si="51"/>
        <v>31.507479139573579</v>
      </c>
      <c r="GX46" s="22">
        <f t="shared" si="28"/>
        <v>262.62500950142402</v>
      </c>
      <c r="GY46" s="62">
        <f t="shared" si="29"/>
        <v>555.95834283475733</v>
      </c>
      <c r="GZ46" s="62">
        <f ca="1">AVERAGE(OFFSET($GY$3,0,0,'Données projet'!$E$18+1,1))-AVERAGE(OFFSET($H$3,0,0,'Données projet'!$E$18+1,1))</f>
        <v>291.18686311753402</v>
      </c>
      <c r="HA46" s="62">
        <f t="shared" si="52"/>
        <v>215.44422413249839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9">
        <f t="shared" si="1"/>
        <v>256.66666666666669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303.15384615384619</v>
      </c>
      <c r="L47" s="13">
        <f>VLOOKUP(A47,'Données projet'!$A$35:$I$55,9,0)</f>
        <v>13.141346153846158</v>
      </c>
      <c r="M47" s="13">
        <f t="array" ref="M47">INDEX(L:L,MIN(IF(ISNUMBER(L47:L243),ROW(L47:L243),"")))</f>
        <v>13.141346153846158</v>
      </c>
      <c r="N47" s="14">
        <f>IF('Données projet'!$A$36&gt;35,N46+M47-V46,IF(A47&lt;'Données projet'!$A$36,$K$205^A47,IF(A47='Données projet'!$A$36,'Données projet'!$B$36,N46+M47-V46)))</f>
        <v>303.15384615384608</v>
      </c>
      <c r="O47" s="14">
        <f>N47*VLOOKUP('Données projet'!$B$9,Paramètres!$A$1:$I$89,3,0)*VLOOKUP('Données projet'!$B$9,Paramètres!$A$1:$I$89,5,0)</f>
        <v>181.28599999999997</v>
      </c>
      <c r="P47" s="14">
        <f t="shared" si="33"/>
        <v>45.608178821536583</v>
      </c>
      <c r="Q47" s="22">
        <f t="shared" si="53"/>
        <v>395.17402811417611</v>
      </c>
      <c r="R47" s="62">
        <f t="shared" si="0"/>
        <v>688.50736144750942</v>
      </c>
      <c r="S47" s="62">
        <f ca="1">AVERAGE(OFFSET($R$3,0,0,'Données projet'!$E$9+1,1))-AVERAGE(OFFSET($H$3,0,0,'Données projet'!$E$9+1,1))</f>
        <v>260.02504691866199</v>
      </c>
      <c r="T47" s="62">
        <f t="shared" si="34"/>
        <v>270.11268336406368</v>
      </c>
      <c r="U47" s="16">
        <f>IF(ISNA(VLOOKUP(A47,'Données projet'!$A$35:$I$55,3,0)),0,VLOOKUP(A47,'Données projet'!$A$35:$I$55,3,0))</f>
        <v>5</v>
      </c>
      <c r="V47" s="16">
        <f>IF(ISNA(VLOOKUP(A47,'Données projet'!$A$35:$I$55,4,0)),0,VLOOKUP(A47,'Données projet'!$A$35:$I$55,4,0))</f>
        <v>64.476923076923114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7.5848763647814872</v>
      </c>
      <c r="AA47" s="23">
        <f>EXP(-LN(2)/25)*AA46+(1-EXP(-LN(2)/25))/(LN(2)/25)*Calculateur!V47*Calculateur!X47*VLOOKUP('Données projet'!$B$9,Paramètres!$A$1:$I$89,3,0)*0.475*44/12</f>
        <v>11.148599761457451</v>
      </c>
      <c r="AB47" s="23">
        <f>EXP(-LN(2)/2)*AB46+(1-EXP(-LN(2)/2))/(LN(2)/2)*V47*Y47*VLOOKUP('Données projet'!$B$9,Paramètres!$A$1:$I$89,3,0)*0.475*44/12</f>
        <v>4.9530944890030029E-2</v>
      </c>
      <c r="AC47" s="24">
        <f t="shared" si="3"/>
        <v>18.783007071128967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2">
        <f t="shared" si="5"/>
        <v>625.39565441895047</v>
      </c>
      <c r="AN47" s="62">
        <f ca="1">AVERAGE(OFFSET($AM$3,0,0,'Données projet'!$E$10+1,1))-AVERAGE(OFFSET($H$3,0,0,'Données projet'!$E$10+1,1))</f>
        <v>475.47920969424894</v>
      </c>
      <c r="AO47" s="62">
        <f t="shared" si="36"/>
        <v>271.73544012419364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135.35808000000006</v>
      </c>
      <c r="BF47" s="14">
        <f t="shared" si="37"/>
        <v>35.231528980112834</v>
      </c>
      <c r="BG47" s="22">
        <f t="shared" si="7"/>
        <v>297.11023564036327</v>
      </c>
      <c r="BH47" s="62">
        <f t="shared" si="8"/>
        <v>590.44356897369653</v>
      </c>
      <c r="BI47" s="62">
        <f ca="1">AVERAGE(OFFSET($BH$3,0,0,'Données projet'!$E$11+1,1))-AVERAGE(OFFSET($H$3,0,0,'Données projet'!$E$11+1,1))</f>
        <v>428.8489304403459</v>
      </c>
      <c r="BJ47" s="62">
        <f t="shared" si="38"/>
        <v>247.01165577562966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4.8</v>
      </c>
      <c r="BY47" s="13">
        <f>IF('Données projet'!$A$114&gt;35,BY46+BX47-CG46,IF(A47&lt;'Données projet'!$A$114,$BV$205^A47,IF(A47='Données projet'!$A$114,'Données projet'!$B$114,BY46+BX47-CG46)))</f>
        <v>132.19999999999996</v>
      </c>
      <c r="BZ47" s="14">
        <f>BY47*VLOOKUP('Données projet'!$B$12,Paramètres!$A$1:$I$89,3,0)*VLOOKUP('Données projet'!$B$12,Paramètres!$A$1:$I$89,5,0)</f>
        <v>107.24063999999998</v>
      </c>
      <c r="CA47" s="14">
        <f t="shared" si="39"/>
        <v>28.679899700503601</v>
      </c>
      <c r="CB47" s="22">
        <f t="shared" si="10"/>
        <v>236.72827331171041</v>
      </c>
      <c r="CC47" s="62">
        <f t="shared" si="11"/>
        <v>530.06160664504375</v>
      </c>
      <c r="CD47" s="62">
        <f ca="1">AVERAGE(OFFSET($CC$3,0,0,'Données projet'!$E$12+1,1))-AVERAGE(OFFSET($H$3,0,0,'Données projet'!$E$12+1,1))</f>
        <v>236.22643401787644</v>
      </c>
      <c r="CE47" s="62">
        <f t="shared" si="40"/>
        <v>188.80444043778022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10.407692307692306</v>
      </c>
      <c r="CT47" s="13">
        <f>IF('Données projet'!$A$140&gt;35,CT46+CS47-DB46,IF(A47&lt;'Données projet'!$A$140,$CQ$205^A47,IF(A47='Données projet'!$A$140,'Données projet'!$B$140,CT46+CS47-DB46)))</f>
        <v>248.98461538461544</v>
      </c>
      <c r="CU47" s="18">
        <f>CT47*VLOOKUP('Données projet'!$B$13,Paramètres!$A$1:$I$89,3,0)*VLOOKUP('Données projet'!$B$13,Paramètres!$A$1:$I$89,5,0)</f>
        <v>116.52480000000001</v>
      </c>
      <c r="CV47" s="14">
        <f t="shared" si="41"/>
        <v>30.86308487963316</v>
      </c>
      <c r="CW47" s="22">
        <f t="shared" si="13"/>
        <v>256.70056616536107</v>
      </c>
      <c r="CX47" s="62">
        <f t="shared" si="14"/>
        <v>550.03389949869438</v>
      </c>
      <c r="CY47" s="62">
        <f ca="1">AVERAGE(OFFSET($CX$3,0,0,'Données projet'!$E$13+1,1))-AVERAGE(OFFSET($H$3,0,0,'Données projet'!$E$13+1,1))</f>
        <v>246.73711856758143</v>
      </c>
      <c r="CZ47" s="62">
        <f t="shared" si="42"/>
        <v>145.54897745089966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6.2820512820512819</v>
      </c>
      <c r="DO47" s="13">
        <f>IF('Données projet'!$A$166&gt;35,DO46+DN47-DW46,IF(A47&lt;'Données projet'!$A$166,$DL$205^A47,IF(A47='Données projet'!$A$166,'Données projet'!$B$166,DO46+DN47-DW46)))</f>
        <v>166.79487179487177</v>
      </c>
      <c r="DP47" s="18">
        <f>DO47*VLOOKUP('Données projet'!$B$14,Paramètres!$A$1:$I$89,3,0)*VLOOKUP('Données projet'!$B$14,Paramètres!$A$1:$I$89,5,0)</f>
        <v>174.334</v>
      </c>
      <c r="DQ47" s="14">
        <f t="shared" si="43"/>
        <v>44.059268652696204</v>
      </c>
      <c r="DR47" s="22">
        <f t="shared" si="16"/>
        <v>380.3682762367792</v>
      </c>
      <c r="DS47" s="62">
        <f t="shared" si="17"/>
        <v>673.70160957011251</v>
      </c>
      <c r="DT47" s="62">
        <f ca="1">AVERAGE(OFFSET($DS$3,0,0,'Données projet'!$E$14+1,1))-AVERAGE(OFFSET($H$3,0,0,'Données projet'!$E$14+1,1))</f>
        <v>493.70175665335978</v>
      </c>
      <c r="DU47" s="62">
        <f t="shared" si="44"/>
        <v>325.12357781685949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5</v>
      </c>
      <c r="EJ47" s="13">
        <f>IF('Données projet'!$A$192&gt;35,EJ46+EI47-ER46,IF(A47&lt;'Données projet'!$A$192,$EG$205^A47,IF(A47='Données projet'!$A$192,'Données projet'!$B$192,EJ46+EI47-ER46)))</f>
        <v>114.99999999999997</v>
      </c>
      <c r="EK47" s="18">
        <f>EJ47*VLOOKUP('Données projet'!$B$15,Paramètres!$A$1:$I$89,3,0)*VLOOKUP('Données projet'!$B$15,Paramètres!$A$1:$I$89,5,0)</f>
        <v>100.46399999999998</v>
      </c>
      <c r="EL47" s="14">
        <f t="shared" si="45"/>
        <v>27.072509349827456</v>
      </c>
      <c r="EM47" s="22">
        <f t="shared" si="19"/>
        <v>222.12608711761615</v>
      </c>
      <c r="EN47" s="62">
        <f t="shared" si="20"/>
        <v>515.45942045094944</v>
      </c>
      <c r="EO47" s="62">
        <f ca="1">AVERAGE(OFFSET($EN$3,0,0,'Données projet'!$E$15+1,1))-AVERAGE(OFFSET($H$3,0,0,'Données projet'!$E$15+1,1))</f>
        <v>202.86354781280403</v>
      </c>
      <c r="EP47" s="62">
        <f t="shared" si="46"/>
        <v>217.25323885665131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5.6410256410256405</v>
      </c>
      <c r="FE47" s="13">
        <f>IF('Données projet'!$A$218&gt;35,FE46+FD47-FM46,IF(A47&lt;'Données projet'!$A$218,$FB$205^A47,IF(A47='Données projet'!$A$218,'Données projet'!$B$218,FE46+FD47-FM46)))</f>
        <v>154.61538461538461</v>
      </c>
      <c r="FF47" s="18">
        <f>FE47*VLOOKUP('Données projet'!$B$16,Paramètres!$A$1:$I$89,3,0)*VLOOKUP('Données projet'!$B$16,Paramètres!$A$1:$I$89,5,0)</f>
        <v>147.13200000000001</v>
      </c>
      <c r="FG47" s="14">
        <f t="shared" si="47"/>
        <v>37.926091844382093</v>
      </c>
      <c r="FH47" s="22">
        <f t="shared" si="22"/>
        <v>322.30950996229876</v>
      </c>
      <c r="FI47" s="62">
        <f t="shared" si="23"/>
        <v>615.64284329563202</v>
      </c>
      <c r="FJ47" s="62">
        <f ca="1">AVERAGE(OFFSET($FI$3,0,0,'Données projet'!$E$16+1,1))-AVERAGE(OFFSET($H$3,0,0,'Données projet'!$E$16+1,1))</f>
        <v>353.61481736740694</v>
      </c>
      <c r="FK47" s="62">
        <f t="shared" si="48"/>
        <v>244.7141066773861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3.8</v>
      </c>
      <c r="FZ47" s="13">
        <f>IF('Données projet'!$A$244&gt;35,FZ46+FY47-GH46,IF(A47&lt;'Données projet'!$A$244,$FW$205^A47,IF(A47='Données projet'!$A$244,'Données projet'!$B$244,FZ46+FY47-GH46)))</f>
        <v>90.199999999999989</v>
      </c>
      <c r="GA47" s="18">
        <f>FZ47*VLOOKUP('Données projet'!$B$17,Paramètres!$A$1:$I$89,3,0)*VLOOKUP('Données projet'!$B$17,Paramètres!$A$1:$I$89,5,0)</f>
        <v>97.091279999999983</v>
      </c>
      <c r="GB47" s="14">
        <f t="shared" si="49"/>
        <v>26.267849122787243</v>
      </c>
      <c r="GC47" s="22">
        <f t="shared" si="25"/>
        <v>214.85048322218776</v>
      </c>
      <c r="GD47" s="62">
        <f t="shared" si="26"/>
        <v>508.18381655552105</v>
      </c>
      <c r="GE47" s="62">
        <f ca="1">AVERAGE(OFFSET($GD$3,0,0,'Données projet'!$E$17+1,1))-AVERAGE(OFFSET($H$3,0,0,'Données projet'!$E$17+1,1))</f>
        <v>280.20599015000306</v>
      </c>
      <c r="GF47" s="62">
        <f t="shared" si="50"/>
        <v>166.97658184507787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6.2820512820512819</v>
      </c>
      <c r="GU47" s="13">
        <f>IF('Données projet'!$A$270&gt;35,GU46+GT47-HC46,IF(A47&lt;'Données projet'!$A$270,$GR$205^A47,IF(A47='Données projet'!$A$270,'Données projet'!$B$270,GU46+GT47-HC46)))</f>
        <v>184.10256410256412</v>
      </c>
      <c r="GV47" s="18">
        <f>GU47*VLOOKUP('Données projet'!$B$18,Paramètres!$A$1:$I$89,3,0)*VLOOKUP('Données projet'!$B$18,Paramètres!$A$1:$I$89,5,0)</f>
        <v>123.49600000000001</v>
      </c>
      <c r="GW47" s="14">
        <f t="shared" si="51"/>
        <v>32.489016111577364</v>
      </c>
      <c r="GX47" s="22">
        <f t="shared" si="28"/>
        <v>271.67390306099725</v>
      </c>
      <c r="GY47" s="62">
        <f t="shared" si="29"/>
        <v>565.00723639433056</v>
      </c>
      <c r="GZ47" s="62">
        <f ca="1">AVERAGE(OFFSET($GY$3,0,0,'Données projet'!$E$18+1,1))-AVERAGE(OFFSET($H$3,0,0,'Données projet'!$E$18+1,1))</f>
        <v>291.18686311753402</v>
      </c>
      <c r="HA47" s="62">
        <f t="shared" si="52"/>
        <v>215.44422413249839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9">
        <f t="shared" si="1"/>
        <v>256.66666666666669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11.611538461538466</v>
      </c>
      <c r="N48" s="14">
        <f>IF('Données projet'!$A$36&gt;35,N47+M48-V47,IF(A48&lt;'Données projet'!$A$36,$K$205^A48,IF(A48='Données projet'!$A$36,'Données projet'!$B$36,N47+M48-V47)))</f>
        <v>250.28846153846143</v>
      </c>
      <c r="O48" s="14">
        <f>N48*VLOOKUP('Données projet'!$B$9,Paramètres!$A$1:$I$89,3,0)*VLOOKUP('Données projet'!$B$9,Paramètres!$A$1:$I$89,5,0)</f>
        <v>149.67249999999996</v>
      </c>
      <c r="P48" s="14">
        <f t="shared" si="33"/>
        <v>38.504150605716987</v>
      </c>
      <c r="Q48" s="22">
        <f t="shared" si="53"/>
        <v>327.74099980495697</v>
      </c>
      <c r="R48" s="62">
        <f t="shared" si="0"/>
        <v>621.07433313829029</v>
      </c>
      <c r="S48" s="62">
        <f ca="1">AVERAGE(OFFSET($R$3,0,0,'Données projet'!$E$9+1,1))-AVERAGE(OFFSET($H$3,0,0,'Données projet'!$E$9+1,1))</f>
        <v>260.02504691866199</v>
      </c>
      <c r="T48" s="62">
        <f t="shared" si="34"/>
        <v>270.11268336406368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7.4361415655858938</v>
      </c>
      <c r="AA48" s="23">
        <f>EXP(-LN(2)/25)*AA47+(1-EXP(-LN(2)/25))/(LN(2)/25)*Calculateur!V48*Calculateur!X48*VLOOKUP('Données projet'!$B$9,Paramètres!$A$1:$I$89,3,0)*0.475*44/12</f>
        <v>10.843740714701015</v>
      </c>
      <c r="AB48" s="23">
        <f>EXP(-LN(2)/2)*AB47+(1-EXP(-LN(2)/2))/(LN(2)/2)*V48*Y48*VLOOKUP('Données projet'!$B$9,Paramètres!$A$1:$I$89,3,0)*0.475*44/12</f>
        <v>3.5023667010317408E-2</v>
      </c>
      <c r="AC48" s="24">
        <f t="shared" si="3"/>
        <v>18.314905947297227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2">
        <f t="shared" si="5"/>
        <v>643.58655618988519</v>
      </c>
      <c r="AN48" s="62">
        <f ca="1">AVERAGE(OFFSET($AM$3,0,0,'Données projet'!$E$10+1,1))-AVERAGE(OFFSET($H$3,0,0,'Données projet'!$E$10+1,1))</f>
        <v>475.47920969424894</v>
      </c>
      <c r="AO48" s="62">
        <f t="shared" si="36"/>
        <v>271.73544012419364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142.95840000000004</v>
      </c>
      <c r="BF48" s="14">
        <f t="shared" si="37"/>
        <v>36.973906370811264</v>
      </c>
      <c r="BG48" s="22">
        <f t="shared" si="7"/>
        <v>313.38210026249641</v>
      </c>
      <c r="BH48" s="62">
        <f t="shared" si="8"/>
        <v>606.71543359582972</v>
      </c>
      <c r="BI48" s="62">
        <f ca="1">AVERAGE(OFFSET($BH$3,0,0,'Données projet'!$E$11+1,1))-AVERAGE(OFFSET($H$3,0,0,'Données projet'!$E$11+1,1))</f>
        <v>428.8489304403459</v>
      </c>
      <c r="BJ48" s="62">
        <f t="shared" si="38"/>
        <v>247.01165577562966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137</v>
      </c>
      <c r="BW48" s="13">
        <f>VLOOKUP(A48,'Données projet'!$A$113:$I$133,9,0)</f>
        <v>4.8</v>
      </c>
      <c r="BX48" s="13">
        <f t="array" ref="BX48">INDEX(BW:BW,MIN(IF(ISNUMBER(BW48:BW244),ROW(BW48:BW244),"")))</f>
        <v>4.8</v>
      </c>
      <c r="BY48" s="13">
        <f>IF('Données projet'!$A$114&gt;35,BY47+BX48-CG47,IF(A48&lt;'Données projet'!$A$114,$BV$205^A48,IF(A48='Données projet'!$A$114,'Données projet'!$B$114,BY47+BX48-CG47)))</f>
        <v>136.99999999999997</v>
      </c>
      <c r="BZ48" s="14">
        <f>BY48*VLOOKUP('Données projet'!$B$12,Paramètres!$A$1:$I$89,3,0)*VLOOKUP('Données projet'!$B$12,Paramètres!$A$1:$I$89,5,0)</f>
        <v>111.13439999999997</v>
      </c>
      <c r="CA48" s="14">
        <f t="shared" si="39"/>
        <v>29.598098255109335</v>
      </c>
      <c r="CB48" s="22">
        <f t="shared" si="10"/>
        <v>245.10910112764864</v>
      </c>
      <c r="CC48" s="62">
        <f t="shared" si="11"/>
        <v>538.44243446098199</v>
      </c>
      <c r="CD48" s="62">
        <f ca="1">AVERAGE(OFFSET($CC$3,0,0,'Données projet'!$E$12+1,1))-AVERAGE(OFFSET($H$3,0,0,'Données projet'!$E$12+1,1))</f>
        <v>236.22643401787644</v>
      </c>
      <c r="CE48" s="62">
        <f t="shared" si="40"/>
        <v>188.80444043778022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10.407692307692306</v>
      </c>
      <c r="CT48" s="13">
        <f>IF('Données projet'!$A$140&gt;35,CT47+CS48-DB47,IF(A48&lt;'Données projet'!$A$140,$CQ$205^A48,IF(A48='Données projet'!$A$140,'Données projet'!$B$140,CT47+CS48-DB47)))</f>
        <v>259.39230769230772</v>
      </c>
      <c r="CU48" s="18">
        <f>CT48*VLOOKUP('Données projet'!$B$13,Paramètres!$A$1:$I$89,3,0)*VLOOKUP('Données projet'!$B$13,Paramètres!$A$1:$I$89,5,0)</f>
        <v>121.39560000000002</v>
      </c>
      <c r="CV48" s="14">
        <f t="shared" si="41"/>
        <v>32.000280703058984</v>
      </c>
      <c r="CW48" s="22">
        <f t="shared" si="13"/>
        <v>267.16449222449438</v>
      </c>
      <c r="CX48" s="62">
        <f t="shared" si="14"/>
        <v>560.4978255578277</v>
      </c>
      <c r="CY48" s="62">
        <f ca="1">AVERAGE(OFFSET($CX$3,0,0,'Données projet'!$E$13+1,1))-AVERAGE(OFFSET($H$3,0,0,'Données projet'!$E$13+1,1))</f>
        <v>246.73711856758143</v>
      </c>
      <c r="CZ48" s="62">
        <f t="shared" si="42"/>
        <v>145.54897745089966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173.07692307692307</v>
      </c>
      <c r="DM48" s="13">
        <f>VLOOKUP(A48,'Données projet'!$A$165:$I$185,9,0)</f>
        <v>6.2820512820512819</v>
      </c>
      <c r="DN48" s="13">
        <f t="array" ref="DN48">INDEX(DM:DM,MIN(IF(ISNUMBER(DM48:DM244),ROW(DM48:DM244),"")))</f>
        <v>6.2820512820512819</v>
      </c>
      <c r="DO48" s="13">
        <f>IF('Données projet'!$A$166&gt;35,DO47+DN48-DW47,IF(A48&lt;'Données projet'!$A$166,$DL$205^A48,IF(A48='Données projet'!$A$166,'Données projet'!$B$166,DO47+DN48-DW47)))</f>
        <v>173.07692307692304</v>
      </c>
      <c r="DP48" s="18">
        <f>DO48*VLOOKUP('Données projet'!$B$14,Paramètres!$A$1:$I$89,3,0)*VLOOKUP('Données projet'!$B$14,Paramètres!$A$1:$I$89,5,0)</f>
        <v>180.89999999999998</v>
      </c>
      <c r="DQ48" s="14">
        <f t="shared" si="43"/>
        <v>45.522361425254346</v>
      </c>
      <c r="DR48" s="22">
        <f t="shared" si="16"/>
        <v>394.35227948231795</v>
      </c>
      <c r="DS48" s="62">
        <f t="shared" si="17"/>
        <v>687.68561281565121</v>
      </c>
      <c r="DT48" s="62">
        <f ca="1">AVERAGE(OFFSET($DS$3,0,0,'Données projet'!$E$14+1,1))-AVERAGE(OFFSET($H$3,0,0,'Données projet'!$E$14+1,1))</f>
        <v>493.70175665335978</v>
      </c>
      <c r="DU48" s="62">
        <f t="shared" si="44"/>
        <v>325.12357781685949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120</v>
      </c>
      <c r="EH48" s="13">
        <f>VLOOKUP(A48,'Données projet'!$A$191:$I$211,9,0)</f>
        <v>5</v>
      </c>
      <c r="EI48" s="13">
        <f t="array" ref="EI48">INDEX(EH:EH,MIN(IF(ISNUMBER(EH48:EH244),ROW(EH48:EH244),"")))</f>
        <v>5</v>
      </c>
      <c r="EJ48" s="13">
        <f>IF('Données projet'!$A$192&gt;35,EJ47+EI48-ER47,IF(A48&lt;'Données projet'!$A$192,$EG$205^A48,IF(A48='Données projet'!$A$192,'Données projet'!$B$192,EJ47+EI48-ER47)))</f>
        <v>119.99999999999997</v>
      </c>
      <c r="EK48" s="18">
        <f>EJ48*VLOOKUP('Données projet'!$B$15,Paramètres!$A$1:$I$89,3,0)*VLOOKUP('Données projet'!$B$15,Paramètres!$A$1:$I$89,5,0)</f>
        <v>104.83199999999998</v>
      </c>
      <c r="EL48" s="14">
        <f t="shared" si="45"/>
        <v>28.109974371137692</v>
      </c>
      <c r="EM48" s="22">
        <f t="shared" si="19"/>
        <v>231.54060536306474</v>
      </c>
      <c r="EN48" s="62">
        <f t="shared" si="20"/>
        <v>524.873938696398</v>
      </c>
      <c r="EO48" s="62">
        <f ca="1">AVERAGE(OFFSET($EN$3,0,0,'Données projet'!$E$15+1,1))-AVERAGE(OFFSET($H$3,0,0,'Données projet'!$E$15+1,1))</f>
        <v>202.86354781280403</v>
      </c>
      <c r="EP48" s="62">
        <f t="shared" si="46"/>
        <v>217.25323885665131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160.25641025641025</v>
      </c>
      <c r="FC48" s="13">
        <f>VLOOKUP(A48,'Données projet'!$A$217:$I$237,9,0)</f>
        <v>5.6410256410256405</v>
      </c>
      <c r="FD48" s="13">
        <f t="array" ref="FD48">INDEX(FC:FC,MIN(IF(ISNUMBER(FC48:FC244),ROW(FC48:FC244),"")))</f>
        <v>5.6410256410256405</v>
      </c>
      <c r="FE48" s="13">
        <f>IF('Données projet'!$A$218&gt;35,FE47+FD48-FM47,IF(A48&lt;'Données projet'!$A$218,$FB$205^A48,IF(A48='Données projet'!$A$218,'Données projet'!$B$218,FE47+FD48-FM47)))</f>
        <v>160.25641025641025</v>
      </c>
      <c r="FF48" s="18">
        <f>FE48*VLOOKUP('Données projet'!$B$16,Paramètres!$A$1:$I$89,3,0)*VLOOKUP('Données projet'!$B$16,Paramètres!$A$1:$I$89,5,0)</f>
        <v>152.5</v>
      </c>
      <c r="FG48" s="14">
        <f t="shared" si="47"/>
        <v>39.146171889962673</v>
      </c>
      <c r="FH48" s="22">
        <f t="shared" si="22"/>
        <v>333.78374937501832</v>
      </c>
      <c r="FI48" s="62">
        <f t="shared" si="23"/>
        <v>627.11708270835163</v>
      </c>
      <c r="FJ48" s="62">
        <f ca="1">AVERAGE(OFFSET($FI$3,0,0,'Données projet'!$E$16+1,1))-AVERAGE(OFFSET($H$3,0,0,'Données projet'!$E$16+1,1))</f>
        <v>353.61481736740694</v>
      </c>
      <c r="FK48" s="62">
        <f t="shared" si="48"/>
        <v>244.7141066773861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28.205128205128204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94</v>
      </c>
      <c r="FX48" s="13">
        <f>VLOOKUP(A48,'Données projet'!$A$243:$I$263,9,0)</f>
        <v>3.8</v>
      </c>
      <c r="FY48" s="13">
        <f t="array" ref="FY48">INDEX(FX:FX,MIN(IF(ISNUMBER(FX48:FX244),ROW(FX48:FX244),"")))</f>
        <v>3.8</v>
      </c>
      <c r="FZ48" s="13">
        <f>IF('Données projet'!$A$244&gt;35,FZ47+FY48-GH47,IF(A48&lt;'Données projet'!$A$244,$FW$205^A48,IF(A48='Données projet'!$A$244,'Données projet'!$B$244,FZ47+FY48-GH47)))</f>
        <v>93.999999999999986</v>
      </c>
      <c r="GA48" s="18">
        <f>FZ48*VLOOKUP('Données projet'!$B$17,Paramètres!$A$1:$I$89,3,0)*VLOOKUP('Données projet'!$B$17,Paramètres!$A$1:$I$89,5,0)</f>
        <v>101.18159999999997</v>
      </c>
      <c r="GB48" s="14">
        <f t="shared" si="49"/>
        <v>27.243304715412336</v>
      </c>
      <c r="GC48" s="22">
        <f t="shared" si="25"/>
        <v>223.6733757126764</v>
      </c>
      <c r="GD48" s="62">
        <f t="shared" si="26"/>
        <v>517.00670904600975</v>
      </c>
      <c r="GE48" s="62">
        <f ca="1">AVERAGE(OFFSET($GD$3,0,0,'Données projet'!$E$17+1,1))-AVERAGE(OFFSET($H$3,0,0,'Données projet'!$E$17+1,1))</f>
        <v>280.20599015000306</v>
      </c>
      <c r="GF48" s="62">
        <f t="shared" si="50"/>
        <v>166.97658184507787</v>
      </c>
      <c r="GG48" s="16">
        <f>IF(ISNA(VLOOKUP(A48,'Données projet'!$A$243:$I$263,3,0)),0,VLOOKUP(A48,'Données projet'!$A$243:$I$263,3,0))</f>
        <v>2</v>
      </c>
      <c r="GH48" s="16">
        <f>IF(ISNA(VLOOKUP(A48,'Données projet'!$A$243:$I$263,4,0)),0,VLOOKUP(A48,'Données projet'!$A$243:$I$263,4,0))</f>
        <v>18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190.38461538461539</v>
      </c>
      <c r="GS48" s="13">
        <f>VLOOKUP(A48,'Données projet'!$A$269:$I$289,9,0)</f>
        <v>6.2820512820512819</v>
      </c>
      <c r="GT48" s="13">
        <f t="array" ref="GT48">INDEX(GS:GS,MIN(IF(ISNUMBER(GS48:GS244),ROW(GS48:GS244),"")))</f>
        <v>6.2820512820512819</v>
      </c>
      <c r="GU48" s="13">
        <f>IF('Données projet'!$A$270&gt;35,GU47+GT48-HC47,IF(A48&lt;'Données projet'!$A$270,$GR$205^A48,IF(A48='Données projet'!$A$270,'Données projet'!$B$270,GU47+GT48-HC47)))</f>
        <v>190.38461538461539</v>
      </c>
      <c r="GV48" s="18">
        <f>GU48*VLOOKUP('Données projet'!$B$18,Paramètres!$A$1:$I$89,3,0)*VLOOKUP('Données projet'!$B$18,Paramètres!$A$1:$I$89,5,0)</f>
        <v>127.71000000000001</v>
      </c>
      <c r="GW48" s="14">
        <f t="shared" si="51"/>
        <v>33.466661484162984</v>
      </c>
      <c r="GX48" s="22">
        <f t="shared" si="28"/>
        <v>280.71601875158382</v>
      </c>
      <c r="GY48" s="62">
        <f t="shared" si="29"/>
        <v>574.04935208491713</v>
      </c>
      <c r="GZ48" s="62">
        <f ca="1">AVERAGE(OFFSET($GY$3,0,0,'Données projet'!$E$18+1,1))-AVERAGE(OFFSET($H$3,0,0,'Données projet'!$E$18+1,1))</f>
        <v>291.18686311753402</v>
      </c>
      <c r="HA48" s="62">
        <f t="shared" si="52"/>
        <v>215.44422413249839</v>
      </c>
      <c r="HB48" s="16">
        <f>IF(ISNA(VLOOKUP(A48,'Données projet'!$A$269:$I$289,3,0)),0,VLOOKUP(A48,'Données projet'!$A$269:$I$289,3,0))</f>
        <v>3</v>
      </c>
      <c r="HC48" s="16">
        <f>IF(ISNA(VLOOKUP(A48,'Données projet'!$A$269:$I$289,4,0)),0,VLOOKUP(A48,'Données projet'!$A$269:$I$289,4,0))</f>
        <v>31.410256410256409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9">
        <f t="shared" si="1"/>
        <v>256.66666666666669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11.611538461538466</v>
      </c>
      <c r="N49" s="14">
        <f>IF('Données projet'!$A$36&gt;35,N48+M49-V48,IF(A49&lt;'Données projet'!$A$36,$K$205^A49,IF(A49='Données projet'!$A$36,'Données projet'!$B$36,N48+M49-V48)))</f>
        <v>261.89999999999992</v>
      </c>
      <c r="O49" s="14">
        <f>N49*VLOOKUP('Données projet'!$B$9,Paramètres!$A$1:$I$89,3,0)*VLOOKUP('Données projet'!$B$9,Paramètres!$A$1:$I$89,5,0)</f>
        <v>156.61619999999996</v>
      </c>
      <c r="P49" s="14">
        <f t="shared" si="33"/>
        <v>40.07834297246675</v>
      </c>
      <c r="Q49" s="22">
        <f t="shared" si="53"/>
        <v>342.57632901037942</v>
      </c>
      <c r="R49" s="62">
        <f t="shared" si="0"/>
        <v>635.90966234371274</v>
      </c>
      <c r="S49" s="62">
        <f ca="1">AVERAGE(OFFSET($R$3,0,0,'Données projet'!$E$9+1,1))-AVERAGE(OFFSET($H$3,0,0,'Données projet'!$E$9+1,1))</f>
        <v>260.02504691866199</v>
      </c>
      <c r="T49" s="62">
        <f t="shared" si="34"/>
        <v>270.11268336406368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7.290323365083256</v>
      </c>
      <c r="AA49" s="23">
        <f>EXP(-LN(2)/25)*AA48+(1-EXP(-LN(2)/25))/(LN(2)/25)*Calculateur!V49*Calculateur!X49*VLOOKUP('Données projet'!$B$9,Paramètres!$A$1:$I$89,3,0)*0.475*44/12</f>
        <v>10.547218054609976</v>
      </c>
      <c r="AB49" s="23">
        <f>EXP(-LN(2)/2)*AB48+(1-EXP(-LN(2)/2))/(LN(2)/2)*V49*Y49*VLOOKUP('Données projet'!$B$9,Paramètres!$A$1:$I$89,3,0)*0.475*44/12</f>
        <v>2.4765472445015015E-2</v>
      </c>
      <c r="AC49" s="24">
        <f t="shared" si="3"/>
        <v>17.862306892138246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2">
        <f t="shared" si="5"/>
        <v>661.32435123407731</v>
      </c>
      <c r="AN49" s="62">
        <f ca="1">AVERAGE(OFFSET($AM$3,0,0,'Données projet'!$E$10+1,1))-AVERAGE(OFFSET($H$3,0,0,'Données projet'!$E$10+1,1))</f>
        <v>475.47920969424894</v>
      </c>
      <c r="AO49" s="62">
        <f t="shared" si="36"/>
        <v>271.73544012419364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150.37776000000002</v>
      </c>
      <c r="BF49" s="14">
        <f t="shared" si="37"/>
        <v>38.664420365454049</v>
      </c>
      <c r="BG49" s="22">
        <f t="shared" si="7"/>
        <v>329.24846413649914</v>
      </c>
      <c r="BH49" s="62">
        <f t="shared" si="8"/>
        <v>622.58179746983251</v>
      </c>
      <c r="BI49" s="62">
        <f ca="1">AVERAGE(OFFSET($BH$3,0,0,'Données projet'!$E$11+1,1))-AVERAGE(OFFSET($H$3,0,0,'Données projet'!$E$11+1,1))</f>
        <v>428.8489304403459</v>
      </c>
      <c r="BJ49" s="62">
        <f t="shared" si="38"/>
        <v>247.01165577562966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4.5999999999999996</v>
      </c>
      <c r="BY49" s="13">
        <f>IF('Données projet'!$A$114&gt;35,BY48+BX49-CG48,IF(A49&lt;'Données projet'!$A$114,$BV$205^A49,IF(A49='Données projet'!$A$114,'Données projet'!$B$114,BY48+BX49-CG48)))</f>
        <v>120.59999999999997</v>
      </c>
      <c r="BZ49" s="14">
        <f>BY49*VLOOKUP('Données projet'!$B$12,Paramètres!$A$1:$I$89,3,0)*VLOOKUP('Données projet'!$B$12,Paramètres!$A$1:$I$89,5,0)</f>
        <v>97.830719999999971</v>
      </c>
      <c r="CA49" s="14">
        <f t="shared" si="39"/>
        <v>26.444538701397263</v>
      </c>
      <c r="CB49" s="22">
        <f t="shared" si="10"/>
        <v>216.44607557160018</v>
      </c>
      <c r="CC49" s="62">
        <f t="shared" si="11"/>
        <v>509.77940890493346</v>
      </c>
      <c r="CD49" s="62">
        <f ca="1">AVERAGE(OFFSET($CC$3,0,0,'Données projet'!$E$12+1,1))-AVERAGE(OFFSET($H$3,0,0,'Données projet'!$E$12+1,1))</f>
        <v>236.22643401787644</v>
      </c>
      <c r="CE49" s="62">
        <f t="shared" si="40"/>
        <v>188.80444043778022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10.407692307692306</v>
      </c>
      <c r="CT49" s="13">
        <f>IF('Données projet'!$A$140&gt;35,CT48+CS49-DB48,IF(A49&lt;'Données projet'!$A$140,$CQ$205^A49,IF(A49='Données projet'!$A$140,'Données projet'!$B$140,CT48+CS49-DB48)))</f>
        <v>269.8</v>
      </c>
      <c r="CU49" s="18">
        <f>CT49*VLOOKUP('Données projet'!$B$13,Paramètres!$A$1:$I$89,3,0)*VLOOKUP('Données projet'!$B$13,Paramètres!$A$1:$I$89,5,0)</f>
        <v>126.2664</v>
      </c>
      <c r="CV49" s="14">
        <f t="shared" si="41"/>
        <v>33.132176294071812</v>
      </c>
      <c r="CW49" s="22">
        <f t="shared" si="13"/>
        <v>277.6191870455084</v>
      </c>
      <c r="CX49" s="62">
        <f t="shared" si="14"/>
        <v>570.95252037884165</v>
      </c>
      <c r="CY49" s="62">
        <f ca="1">AVERAGE(OFFSET($CX$3,0,0,'Données projet'!$E$13+1,1))-AVERAGE(OFFSET($H$3,0,0,'Données projet'!$E$13+1,1))</f>
        <v>246.73711856758143</v>
      </c>
      <c r="CZ49" s="62">
        <f t="shared" si="42"/>
        <v>145.54897745089966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6.0256410256410273</v>
      </c>
      <c r="DO49" s="13">
        <f>IF('Données projet'!$A$166&gt;35,DO48+DN49-DW48,IF(A49&lt;'Données projet'!$A$166,$DL$205^A49,IF(A49='Données projet'!$A$166,'Données projet'!$B$166,DO48+DN49-DW48)))</f>
        <v>179.10256410256406</v>
      </c>
      <c r="DP49" s="18">
        <f>DO49*VLOOKUP('Données projet'!$B$14,Paramètres!$A$1:$I$89,3,0)*VLOOKUP('Données projet'!$B$14,Paramètres!$A$1:$I$89,5,0)</f>
        <v>187.19799999999998</v>
      </c>
      <c r="DQ49" s="14">
        <f t="shared" si="43"/>
        <v>46.919935793880072</v>
      </c>
      <c r="DR49" s="22">
        <f t="shared" si="16"/>
        <v>407.75540484100776</v>
      </c>
      <c r="DS49" s="62">
        <f t="shared" si="17"/>
        <v>701.08873817434107</v>
      </c>
      <c r="DT49" s="62">
        <f ca="1">AVERAGE(OFFSET($DS$3,0,0,'Données projet'!$E$14+1,1))-AVERAGE(OFFSET($H$3,0,0,'Données projet'!$E$14+1,1))</f>
        <v>493.70175665335978</v>
      </c>
      <c r="DU49" s="62">
        <f t="shared" si="44"/>
        <v>325.12357781685949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4.2</v>
      </c>
      <c r="EJ49" s="13">
        <f>IF('Données projet'!$A$192&gt;35,EJ48+EI49-ER48,IF(A49&lt;'Données projet'!$A$192,$EG$205^A49,IF(A49='Données projet'!$A$192,'Données projet'!$B$192,EJ48+EI49-ER48)))</f>
        <v>124.19999999999997</v>
      </c>
      <c r="EK49" s="18">
        <f>EJ49*VLOOKUP('Données projet'!$B$15,Paramètres!$A$1:$I$89,3,0)*VLOOKUP('Données projet'!$B$15,Paramètres!$A$1:$I$89,5,0)</f>
        <v>108.50111999999999</v>
      </c>
      <c r="EL49" s="14">
        <f t="shared" si="45"/>
        <v>28.977555261594095</v>
      </c>
      <c r="EM49" s="22">
        <f t="shared" si="19"/>
        <v>239.44202608060968</v>
      </c>
      <c r="EN49" s="62">
        <f t="shared" si="20"/>
        <v>532.77535941394297</v>
      </c>
      <c r="EO49" s="62">
        <f ca="1">AVERAGE(OFFSET($EN$3,0,0,'Données projet'!$E$15+1,1))-AVERAGE(OFFSET($H$3,0,0,'Données projet'!$E$15+1,1))</f>
        <v>202.86354781280403</v>
      </c>
      <c r="EP49" s="62">
        <f t="shared" si="46"/>
        <v>217.25323885665131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5.2564102564102537</v>
      </c>
      <c r="FE49" s="13">
        <f>IF('Données projet'!$A$218&gt;35,FE48+FD49-FM48,IF(A49&lt;'Données projet'!$A$218,$FB$205^A49,IF(A49='Données projet'!$A$218,'Données projet'!$B$218,FE48+FD49-FM48)))</f>
        <v>137.30769230769229</v>
      </c>
      <c r="FF49" s="18">
        <f>FE49*VLOOKUP('Données projet'!$B$16,Paramètres!$A$1:$I$89,3,0)*VLOOKUP('Données projet'!$B$16,Paramètres!$A$1:$I$89,5,0)</f>
        <v>130.66199999999998</v>
      </c>
      <c r="FG49" s="14">
        <f t="shared" si="47"/>
        <v>34.149282845527253</v>
      </c>
      <c r="FH49" s="22">
        <f t="shared" si="22"/>
        <v>287.04631762262659</v>
      </c>
      <c r="FI49" s="62">
        <f t="shared" si="23"/>
        <v>580.37965095595996</v>
      </c>
      <c r="FJ49" s="62">
        <f ca="1">AVERAGE(OFFSET($FI$3,0,0,'Données projet'!$E$16+1,1))-AVERAGE(OFFSET($H$3,0,0,'Données projet'!$E$16+1,1))</f>
        <v>353.61481736740694</v>
      </c>
      <c r="FK49" s="62">
        <f t="shared" si="48"/>
        <v>244.7141066773861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3.8</v>
      </c>
      <c r="FZ49" s="13">
        <f>IF('Données projet'!$A$244&gt;35,FZ48+FY49-GH48,IF(A49&lt;'Données projet'!$A$244,$FW$205^A49,IF(A49='Données projet'!$A$244,'Données projet'!$B$244,FZ48+FY49-GH48)))</f>
        <v>79.799999999999983</v>
      </c>
      <c r="GA49" s="18">
        <f>FZ49*VLOOKUP('Données projet'!$B$17,Paramètres!$A$1:$I$89,3,0)*VLOOKUP('Données projet'!$B$17,Paramètres!$A$1:$I$89,5,0)</f>
        <v>85.896719999999974</v>
      </c>
      <c r="GB49" s="14">
        <f t="shared" si="49"/>
        <v>23.572941115591171</v>
      </c>
      <c r="GC49" s="22">
        <f t="shared" si="25"/>
        <v>190.65965977632126</v>
      </c>
      <c r="GD49" s="62">
        <f t="shared" si="26"/>
        <v>483.99299310965455</v>
      </c>
      <c r="GE49" s="62">
        <f ca="1">AVERAGE(OFFSET($GD$3,0,0,'Données projet'!$E$17+1,1))-AVERAGE(OFFSET($H$3,0,0,'Données projet'!$E$17+1,1))</f>
        <v>280.20599015000306</v>
      </c>
      <c r="GF49" s="62">
        <f t="shared" si="50"/>
        <v>166.97658184507787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5.8974358974358951</v>
      </c>
      <c r="GU49" s="13">
        <f>IF('Données projet'!$A$270&gt;35,GU48+GT49-HC48,IF(A49&lt;'Données projet'!$A$270,$GR$205^A49,IF(A49='Données projet'!$A$270,'Données projet'!$B$270,GU48+GT49-HC48)))</f>
        <v>164.87179487179486</v>
      </c>
      <c r="GV49" s="18">
        <f>GU49*VLOOKUP('Données projet'!$B$18,Paramètres!$A$1:$I$89,3,0)*VLOOKUP('Données projet'!$B$18,Paramètres!$A$1:$I$89,5,0)</f>
        <v>110.59599999999999</v>
      </c>
      <c r="GW49" s="14">
        <f t="shared" si="51"/>
        <v>29.471362629717831</v>
      </c>
      <c r="GX49" s="22">
        <f t="shared" si="28"/>
        <v>243.95065658009185</v>
      </c>
      <c r="GY49" s="62">
        <f t="shared" si="29"/>
        <v>537.2839899134251</v>
      </c>
      <c r="GZ49" s="62">
        <f ca="1">AVERAGE(OFFSET($GY$3,0,0,'Données projet'!$E$18+1,1))-AVERAGE(OFFSET($H$3,0,0,'Données projet'!$E$18+1,1))</f>
        <v>291.18686311753402</v>
      </c>
      <c r="HA49" s="62">
        <f t="shared" si="52"/>
        <v>215.44422413249839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9">
        <f t="shared" si="1"/>
        <v>256.66666666666669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11.611538461538466</v>
      </c>
      <c r="N50" s="14">
        <f>IF('Données projet'!$A$36&gt;35,N49+M50-V49,IF(A50&lt;'Données projet'!$A$36,$K$205^A50,IF(A50='Données projet'!$A$36,'Données projet'!$B$36,N49+M50-V49)))</f>
        <v>273.51153846153841</v>
      </c>
      <c r="O50" s="14">
        <f>N50*VLOOKUP('Données projet'!$B$9,Paramètres!$A$1:$I$89,3,0)*VLOOKUP('Données projet'!$B$9,Paramètres!$A$1:$I$89,5,0)</f>
        <v>163.55989999999997</v>
      </c>
      <c r="P50" s="14">
        <f t="shared" si="33"/>
        <v>41.644429552500291</v>
      </c>
      <c r="Q50" s="22">
        <f t="shared" si="53"/>
        <v>357.39754063727128</v>
      </c>
      <c r="R50" s="62">
        <f t="shared" si="0"/>
        <v>650.73087397060453</v>
      </c>
      <c r="S50" s="62">
        <f ca="1">AVERAGE(OFFSET($R$3,0,0,'Données projet'!$E$9+1,1))-AVERAGE(OFFSET($H$3,0,0,'Données projet'!$E$9+1,1))</f>
        <v>260.02504691866199</v>
      </c>
      <c r="T50" s="62">
        <f t="shared" si="34"/>
        <v>270.11268336406368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7.1473645705521553</v>
      </c>
      <c r="AA50" s="23">
        <f>EXP(-LN(2)/25)*AA49+(1-EXP(-LN(2)/25))/(LN(2)/25)*Calculateur!V50*Calculateur!X50*VLOOKUP('Données projet'!$B$9,Paramètres!$A$1:$I$89,3,0)*0.475*44/12</f>
        <v>10.258803822252574</v>
      </c>
      <c r="AB50" s="23">
        <f>EXP(-LN(2)/2)*AB49+(1-EXP(-LN(2)/2))/(LN(2)/2)*V50*Y50*VLOOKUP('Données projet'!$B$9,Paramètres!$A$1:$I$89,3,0)*0.475*44/12</f>
        <v>1.7511833505158704E-2</v>
      </c>
      <c r="AC50" s="24">
        <f t="shared" si="3"/>
        <v>17.423680226309887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2">
        <f t="shared" si="5"/>
        <v>679.04349174077868</v>
      </c>
      <c r="AN50" s="62">
        <f ca="1">AVERAGE(OFFSET($AM$3,0,0,'Données projet'!$E$10+1,1))-AVERAGE(OFFSET($H$3,0,0,'Données projet'!$E$10+1,1))</f>
        <v>475.47920969424894</v>
      </c>
      <c r="AO50" s="62">
        <f t="shared" si="36"/>
        <v>271.73544012419364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157.79712000000004</v>
      </c>
      <c r="BF50" s="14">
        <f t="shared" si="37"/>
        <v>40.345249481546155</v>
      </c>
      <c r="BG50" s="22">
        <f t="shared" si="7"/>
        <v>345.09796018035962</v>
      </c>
      <c r="BH50" s="62">
        <f t="shared" si="8"/>
        <v>638.43129351369294</v>
      </c>
      <c r="BI50" s="62">
        <f ca="1">AVERAGE(OFFSET($BH$3,0,0,'Données projet'!$E$11+1,1))-AVERAGE(OFFSET($H$3,0,0,'Données projet'!$E$11+1,1))</f>
        <v>428.8489304403459</v>
      </c>
      <c r="BJ50" s="62">
        <f t="shared" si="38"/>
        <v>247.01165577562966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4.5999999999999996</v>
      </c>
      <c r="BY50" s="13">
        <f>IF('Données projet'!$A$114&gt;35,BY49+BX50-CG49,IF(A50&lt;'Données projet'!$A$114,$BV$205^A50,IF(A50='Données projet'!$A$114,'Données projet'!$B$114,BY49+BX50-CG49)))</f>
        <v>125.19999999999996</v>
      </c>
      <c r="BZ50" s="14">
        <f>BY50*VLOOKUP('Données projet'!$B$12,Paramètres!$A$1:$I$89,3,0)*VLOOKUP('Données projet'!$B$12,Paramètres!$A$1:$I$89,5,0)</f>
        <v>101.56223999999997</v>
      </c>
      <c r="CA50" s="14">
        <f t="shared" si="39"/>
        <v>27.333843239980062</v>
      </c>
      <c r="CB50" s="22">
        <f t="shared" si="10"/>
        <v>224.49401164296523</v>
      </c>
      <c r="CC50" s="62">
        <f t="shared" si="11"/>
        <v>517.82734497629849</v>
      </c>
      <c r="CD50" s="62">
        <f ca="1">AVERAGE(OFFSET($CC$3,0,0,'Données projet'!$E$12+1,1))-AVERAGE(OFFSET($H$3,0,0,'Données projet'!$E$12+1,1))</f>
        <v>236.22643401787644</v>
      </c>
      <c r="CE50" s="62">
        <f t="shared" si="40"/>
        <v>188.80444043778022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10.407692307692306</v>
      </c>
      <c r="CT50" s="13">
        <f>IF('Données projet'!$A$140&gt;35,CT49+CS50-DB49,IF(A50&lt;'Données projet'!$A$140,$CQ$205^A50,IF(A50='Données projet'!$A$140,'Données projet'!$B$140,CT49+CS50-DB49)))</f>
        <v>280.2076923076923</v>
      </c>
      <c r="CU50" s="18">
        <f>CT50*VLOOKUP('Données projet'!$B$13,Paramètres!$A$1:$I$89,3,0)*VLOOKUP('Données projet'!$B$13,Paramètres!$A$1:$I$89,5,0)</f>
        <v>131.13719999999998</v>
      </c>
      <c r="CV50" s="14">
        <f t="shared" si="41"/>
        <v>34.258999514705152</v>
      </c>
      <c r="CW50" s="22">
        <f t="shared" si="13"/>
        <v>288.06504748811147</v>
      </c>
      <c r="CX50" s="62">
        <f t="shared" si="14"/>
        <v>581.39838082144479</v>
      </c>
      <c r="CY50" s="62">
        <f ca="1">AVERAGE(OFFSET($CX$3,0,0,'Données projet'!$E$13+1,1))-AVERAGE(OFFSET($H$3,0,0,'Données projet'!$E$13+1,1))</f>
        <v>246.73711856758143</v>
      </c>
      <c r="CZ50" s="62">
        <f t="shared" si="42"/>
        <v>145.54897745089966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6.0256410256410273</v>
      </c>
      <c r="DO50" s="13">
        <f>IF('Données projet'!$A$166&gt;35,DO49+DN50-DW49,IF(A50&lt;'Données projet'!$A$166,$DL$205^A50,IF(A50='Données projet'!$A$166,'Données projet'!$B$166,DO49+DN50-DW49)))</f>
        <v>185.12820512820508</v>
      </c>
      <c r="DP50" s="18">
        <f>DO50*VLOOKUP('Données projet'!$B$14,Paramètres!$A$1:$I$89,3,0)*VLOOKUP('Données projet'!$B$14,Paramètres!$A$1:$I$89,5,0)</f>
        <v>193.49599999999998</v>
      </c>
      <c r="DQ50" s="14">
        <f t="shared" si="43"/>
        <v>48.312046726948296</v>
      </c>
      <c r="DR50" s="22">
        <f t="shared" si="16"/>
        <v>421.14901471610159</v>
      </c>
      <c r="DS50" s="62">
        <f t="shared" si="17"/>
        <v>714.4823480494349</v>
      </c>
      <c r="DT50" s="62">
        <f ca="1">AVERAGE(OFFSET($DS$3,0,0,'Données projet'!$E$14+1,1))-AVERAGE(OFFSET($H$3,0,0,'Données projet'!$E$14+1,1))</f>
        <v>493.70175665335978</v>
      </c>
      <c r="DU50" s="62">
        <f t="shared" si="44"/>
        <v>325.12357781685949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4.2</v>
      </c>
      <c r="EJ50" s="13">
        <f>IF('Données projet'!$A$192&gt;35,EJ49+EI50-ER49,IF(A50&lt;'Données projet'!$A$192,$EG$205^A50,IF(A50='Données projet'!$A$192,'Données projet'!$B$192,EJ49+EI50-ER49)))</f>
        <v>128.39999999999998</v>
      </c>
      <c r="EK50" s="18">
        <f>EJ50*VLOOKUP('Données projet'!$B$15,Paramètres!$A$1:$I$89,3,0)*VLOOKUP('Données projet'!$B$15,Paramètres!$A$1:$I$89,5,0)</f>
        <v>112.17023999999999</v>
      </c>
      <c r="EL50" s="14">
        <f t="shared" si="45"/>
        <v>29.841727178418456</v>
      </c>
      <c r="EM50" s="22">
        <f t="shared" si="19"/>
        <v>247.3375095024121</v>
      </c>
      <c r="EN50" s="62">
        <f t="shared" si="20"/>
        <v>540.67084283574536</v>
      </c>
      <c r="EO50" s="62">
        <f ca="1">AVERAGE(OFFSET($EN$3,0,0,'Données projet'!$E$15+1,1))-AVERAGE(OFFSET($H$3,0,0,'Données projet'!$E$15+1,1))</f>
        <v>202.86354781280403</v>
      </c>
      <c r="EP50" s="62">
        <f t="shared" si="46"/>
        <v>217.25323885665131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5.2564102564102537</v>
      </c>
      <c r="FE50" s="13">
        <f>IF('Données projet'!$A$218&gt;35,FE49+FD50-FM49,IF(A50&lt;'Données projet'!$A$218,$FB$205^A50,IF(A50='Données projet'!$A$218,'Données projet'!$B$218,FE49+FD50-FM49)))</f>
        <v>142.56410256410254</v>
      </c>
      <c r="FF50" s="18">
        <f>FE50*VLOOKUP('Données projet'!$B$16,Paramètres!$A$1:$I$89,3,0)*VLOOKUP('Données projet'!$B$16,Paramètres!$A$1:$I$89,5,0)</f>
        <v>135.66399999999999</v>
      </c>
      <c r="FG50" s="14">
        <f t="shared" si="47"/>
        <v>35.301877311719494</v>
      </c>
      <c r="FH50" s="22">
        <f t="shared" si="22"/>
        <v>297.76556965124479</v>
      </c>
      <c r="FI50" s="62">
        <f t="shared" si="23"/>
        <v>591.0989029845781</v>
      </c>
      <c r="FJ50" s="62">
        <f ca="1">AVERAGE(OFFSET($FI$3,0,0,'Données projet'!$E$16+1,1))-AVERAGE(OFFSET($H$3,0,0,'Données projet'!$E$16+1,1))</f>
        <v>353.61481736740694</v>
      </c>
      <c r="FK50" s="62">
        <f t="shared" si="48"/>
        <v>244.7141066773861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3.8</v>
      </c>
      <c r="FZ50" s="13">
        <f>IF('Données projet'!$A$244&gt;35,FZ49+FY50-GH49,IF(A50&lt;'Données projet'!$A$244,$FW$205^A50,IF(A50='Données projet'!$A$244,'Données projet'!$B$244,FZ49+FY50-GH49)))</f>
        <v>83.59999999999998</v>
      </c>
      <c r="GA50" s="18">
        <f>FZ50*VLOOKUP('Données projet'!$B$17,Paramètres!$A$1:$I$89,3,0)*VLOOKUP('Données projet'!$B$17,Paramètres!$A$1:$I$89,5,0)</f>
        <v>89.987039999999979</v>
      </c>
      <c r="GB50" s="14">
        <f t="shared" si="49"/>
        <v>24.56209932778879</v>
      </c>
      <c r="GC50" s="22">
        <f t="shared" si="25"/>
        <v>199.50641766256544</v>
      </c>
      <c r="GD50" s="62">
        <f t="shared" si="26"/>
        <v>492.83975099589873</v>
      </c>
      <c r="GE50" s="62">
        <f ca="1">AVERAGE(OFFSET($GD$3,0,0,'Données projet'!$E$17+1,1))-AVERAGE(OFFSET($H$3,0,0,'Données projet'!$E$17+1,1))</f>
        <v>280.20599015000306</v>
      </c>
      <c r="GF50" s="62">
        <f t="shared" si="50"/>
        <v>166.97658184507787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5.8974358974358951</v>
      </c>
      <c r="GU50" s="13">
        <f>IF('Données projet'!$A$270&gt;35,GU49+GT50-HC49,IF(A50&lt;'Données projet'!$A$270,$GR$205^A50,IF(A50='Données projet'!$A$270,'Données projet'!$B$270,GU49+GT50-HC49)))</f>
        <v>170.76923076923075</v>
      </c>
      <c r="GV50" s="18">
        <f>GU50*VLOOKUP('Données projet'!$B$18,Paramètres!$A$1:$I$89,3,0)*VLOOKUP('Données projet'!$B$18,Paramètres!$A$1:$I$89,5,0)</f>
        <v>114.55199999999998</v>
      </c>
      <c r="GW50" s="14">
        <f t="shared" si="51"/>
        <v>30.400927204443946</v>
      </c>
      <c r="GX50" s="22">
        <f t="shared" si="28"/>
        <v>252.45968154773985</v>
      </c>
      <c r="GY50" s="62">
        <f t="shared" si="29"/>
        <v>545.79301488107319</v>
      </c>
      <c r="GZ50" s="62">
        <f ca="1">AVERAGE(OFFSET($GY$3,0,0,'Données projet'!$E$18+1,1))-AVERAGE(OFFSET($H$3,0,0,'Données projet'!$E$18+1,1))</f>
        <v>291.18686311753402</v>
      </c>
      <c r="HA50" s="62">
        <f t="shared" si="52"/>
        <v>215.44422413249839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9">
        <f t="shared" si="1"/>
        <v>256.66666666666669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11.611538461538466</v>
      </c>
      <c r="N51" s="14">
        <f>IF('Données projet'!$A$36&gt;35,N50+M51-V50,IF(A51&lt;'Données projet'!$A$36,$K$205^A51,IF(A51='Données projet'!$A$36,'Données projet'!$B$36,N50+M51-V50)))</f>
        <v>285.12307692307689</v>
      </c>
      <c r="O51" s="14">
        <f>N51*VLOOKUP('Données projet'!$B$9,Paramètres!$A$1:$I$89,3,0)*VLOOKUP('Données projet'!$B$9,Paramètres!$A$1:$I$89,5,0)</f>
        <v>170.50360000000001</v>
      </c>
      <c r="P51" s="14">
        <f t="shared" si="33"/>
        <v>43.202793808192034</v>
      </c>
      <c r="Q51" s="22">
        <f t="shared" si="53"/>
        <v>372.2053025492678</v>
      </c>
      <c r="R51" s="62">
        <f t="shared" si="0"/>
        <v>665.53863588260106</v>
      </c>
      <c r="S51" s="62">
        <f ca="1">AVERAGE(OFFSET($R$3,0,0,'Données projet'!$E$9+1,1))-AVERAGE(OFFSET($H$3,0,0,'Données projet'!$E$9+1,1))</f>
        <v>260.02504691866199</v>
      </c>
      <c r="T51" s="62">
        <f t="shared" si="34"/>
        <v>270.11268336406368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7.0072091107855545</v>
      </c>
      <c r="AA51" s="23">
        <f>EXP(-LN(2)/25)*AA50+(1-EXP(-LN(2)/25))/(LN(2)/25)*Calculateur!V51*Calculateur!X51*VLOOKUP('Données projet'!$B$9,Paramètres!$A$1:$I$89,3,0)*0.475*44/12</f>
        <v>9.9782762922460311</v>
      </c>
      <c r="AB51" s="23">
        <f>EXP(-LN(2)/2)*AB50+(1-EXP(-LN(2)/2))/(LN(2)/2)*V51*Y51*VLOOKUP('Données projet'!$B$9,Paramètres!$A$1:$I$89,3,0)*0.475*44/12</f>
        <v>1.2382736222507507E-2</v>
      </c>
      <c r="AC51" s="24">
        <f t="shared" si="3"/>
        <v>16.997868139254091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2">
        <f t="shared" si="5"/>
        <v>696.74495497233352</v>
      </c>
      <c r="AN51" s="62">
        <f ca="1">AVERAGE(OFFSET($AM$3,0,0,'Données projet'!$E$10+1,1))-AVERAGE(OFFSET($H$3,0,0,'Données projet'!$E$10+1,1))</f>
        <v>475.47920969424894</v>
      </c>
      <c r="AO51" s="62">
        <f t="shared" si="36"/>
        <v>271.73544012419364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165.21648000000002</v>
      </c>
      <c r="BF51" s="14">
        <f t="shared" si="37"/>
        <v>42.016901084500397</v>
      </c>
      <c r="BG51" s="22">
        <f t="shared" si="7"/>
        <v>360.93147205550491</v>
      </c>
      <c r="BH51" s="62">
        <f t="shared" si="8"/>
        <v>654.26480538883823</v>
      </c>
      <c r="BI51" s="62">
        <f ca="1">AVERAGE(OFFSET($BH$3,0,0,'Données projet'!$E$11+1,1))-AVERAGE(OFFSET($H$3,0,0,'Données projet'!$E$11+1,1))</f>
        <v>428.8489304403459</v>
      </c>
      <c r="BJ51" s="62">
        <f t="shared" si="38"/>
        <v>247.01165577562966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4.5999999999999996</v>
      </c>
      <c r="BY51" s="13">
        <f>IF('Données projet'!$A$114&gt;35,BY50+BX51-CG50,IF(A51&lt;'Données projet'!$A$114,$BV$205^A51,IF(A51='Données projet'!$A$114,'Données projet'!$B$114,BY50+BX51-CG50)))</f>
        <v>129.79999999999995</v>
      </c>
      <c r="BZ51" s="14">
        <f>BY51*VLOOKUP('Données projet'!$B$12,Paramètres!$A$1:$I$89,3,0)*VLOOKUP('Données projet'!$B$12,Paramètres!$A$1:$I$89,5,0)</f>
        <v>105.29375999999998</v>
      </c>
      <c r="CA51" s="14">
        <f t="shared" si="39"/>
        <v>28.219351728981561</v>
      </c>
      <c r="CB51" s="22">
        <f t="shared" si="10"/>
        <v>232.53533626130948</v>
      </c>
      <c r="CC51" s="62">
        <f t="shared" si="11"/>
        <v>525.86866959464282</v>
      </c>
      <c r="CD51" s="62">
        <f ca="1">AVERAGE(OFFSET($CC$3,0,0,'Données projet'!$E$12+1,1))-AVERAGE(OFFSET($H$3,0,0,'Données projet'!$E$12+1,1))</f>
        <v>236.22643401787644</v>
      </c>
      <c r="CE51" s="62">
        <f t="shared" si="40"/>
        <v>188.80444043778022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10.407692307692306</v>
      </c>
      <c r="CT51" s="13">
        <f>IF('Données projet'!$A$140&gt;35,CT50+CS51-DB50,IF(A51&lt;'Données projet'!$A$140,$CQ$205^A51,IF(A51='Données projet'!$A$140,'Données projet'!$B$140,CT50+CS51-DB50)))</f>
        <v>290.61538461538458</v>
      </c>
      <c r="CU51" s="18">
        <f>CT51*VLOOKUP('Données projet'!$B$13,Paramètres!$A$1:$I$89,3,0)*VLOOKUP('Données projet'!$B$13,Paramètres!$A$1:$I$89,5,0)</f>
        <v>136.00799999999998</v>
      </c>
      <c r="CV51" s="14">
        <f t="shared" si="41"/>
        <v>35.380960341100334</v>
      </c>
      <c r="CW51" s="22">
        <f t="shared" si="13"/>
        <v>298.50243926074967</v>
      </c>
      <c r="CX51" s="62">
        <f t="shared" si="14"/>
        <v>591.83577259408298</v>
      </c>
      <c r="CY51" s="62">
        <f ca="1">AVERAGE(OFFSET($CX$3,0,0,'Données projet'!$E$13+1,1))-AVERAGE(OFFSET($H$3,0,0,'Données projet'!$E$13+1,1))</f>
        <v>246.73711856758143</v>
      </c>
      <c r="CZ51" s="62">
        <f t="shared" si="42"/>
        <v>145.54897745089966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6.0256410256410273</v>
      </c>
      <c r="DO51" s="13">
        <f>IF('Données projet'!$A$166&gt;35,DO50+DN51-DW50,IF(A51&lt;'Données projet'!$A$166,$DL$205^A51,IF(A51='Données projet'!$A$166,'Données projet'!$B$166,DO50+DN51-DW50)))</f>
        <v>191.1538461538461</v>
      </c>
      <c r="DP51" s="18">
        <f>DO51*VLOOKUP('Données projet'!$B$14,Paramètres!$A$1:$I$89,3,0)*VLOOKUP('Données projet'!$B$14,Paramètres!$A$1:$I$89,5,0)</f>
        <v>199.79399999999995</v>
      </c>
      <c r="DQ51" s="14">
        <f t="shared" si="43"/>
        <v>49.698892445432982</v>
      </c>
      <c r="DR51" s="22">
        <f t="shared" si="16"/>
        <v>434.53345434246239</v>
      </c>
      <c r="DS51" s="62">
        <f t="shared" si="17"/>
        <v>727.86678767579565</v>
      </c>
      <c r="DT51" s="62">
        <f ca="1">AVERAGE(OFFSET($DS$3,0,0,'Données projet'!$E$14+1,1))-AVERAGE(OFFSET($H$3,0,0,'Données projet'!$E$14+1,1))</f>
        <v>493.70175665335978</v>
      </c>
      <c r="DU51" s="62">
        <f t="shared" si="44"/>
        <v>325.12357781685949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4.2</v>
      </c>
      <c r="EJ51" s="13">
        <f>IF('Données projet'!$A$192&gt;35,EJ50+EI51-ER50,IF(A51&lt;'Données projet'!$A$192,$EG$205^A51,IF(A51='Données projet'!$A$192,'Données projet'!$B$192,EJ50+EI51-ER50)))</f>
        <v>132.59999999999997</v>
      </c>
      <c r="EK51" s="18">
        <f>EJ51*VLOOKUP('Données projet'!$B$15,Paramètres!$A$1:$I$89,3,0)*VLOOKUP('Données projet'!$B$15,Paramètres!$A$1:$I$89,5,0)</f>
        <v>115.83935999999999</v>
      </c>
      <c r="EL51" s="14">
        <f t="shared" si="45"/>
        <v>30.70261441799703</v>
      </c>
      <c r="EM51" s="22">
        <f t="shared" si="19"/>
        <v>255.22727211134475</v>
      </c>
      <c r="EN51" s="62">
        <f t="shared" si="20"/>
        <v>548.560605444678</v>
      </c>
      <c r="EO51" s="62">
        <f ca="1">AVERAGE(OFFSET($EN$3,0,0,'Données projet'!$E$15+1,1))-AVERAGE(OFFSET($H$3,0,0,'Données projet'!$E$15+1,1))</f>
        <v>202.86354781280403</v>
      </c>
      <c r="EP51" s="62">
        <f t="shared" si="46"/>
        <v>217.25323885665131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5.2564102564102537</v>
      </c>
      <c r="FE51" s="13">
        <f>IF('Données projet'!$A$218&gt;35,FE50+FD51-FM50,IF(A51&lt;'Données projet'!$A$218,$FB$205^A51,IF(A51='Données projet'!$A$218,'Données projet'!$B$218,FE50+FD51-FM50)))</f>
        <v>147.82051282051279</v>
      </c>
      <c r="FF51" s="18">
        <f>FE51*VLOOKUP('Données projet'!$B$16,Paramètres!$A$1:$I$89,3,0)*VLOOKUP('Données projet'!$B$16,Paramètres!$A$1:$I$89,5,0)</f>
        <v>140.66599999999997</v>
      </c>
      <c r="FG51" s="14">
        <f t="shared" si="47"/>
        <v>36.449534575573686</v>
      </c>
      <c r="FH51" s="22">
        <f t="shared" si="22"/>
        <v>308.47622271912411</v>
      </c>
      <c r="FI51" s="62">
        <f t="shared" si="23"/>
        <v>601.80955605245742</v>
      </c>
      <c r="FJ51" s="62">
        <f ca="1">AVERAGE(OFFSET($FI$3,0,0,'Données projet'!$E$16+1,1))-AVERAGE(OFFSET($H$3,0,0,'Données projet'!$E$16+1,1))</f>
        <v>353.61481736740694</v>
      </c>
      <c r="FK51" s="62">
        <f t="shared" si="48"/>
        <v>244.7141066773861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3.8</v>
      </c>
      <c r="FZ51" s="13">
        <f>IF('Données projet'!$A$244&gt;35,FZ50+FY51-GH50,IF(A51&lt;'Données projet'!$A$244,$FW$205^A51,IF(A51='Données projet'!$A$244,'Données projet'!$B$244,FZ50+FY51-GH50)))</f>
        <v>87.399999999999977</v>
      </c>
      <c r="GA51" s="18">
        <f>FZ51*VLOOKUP('Données projet'!$B$17,Paramètres!$A$1:$I$89,3,0)*VLOOKUP('Données projet'!$B$17,Paramètres!$A$1:$I$89,5,0)</f>
        <v>94.07735999999997</v>
      </c>
      <c r="GB51" s="14">
        <f t="shared" si="49"/>
        <v>25.546035915881891</v>
      </c>
      <c r="GC51" s="22">
        <f t="shared" si="25"/>
        <v>208.34408122016089</v>
      </c>
      <c r="GD51" s="62">
        <f t="shared" si="26"/>
        <v>501.6774145534942</v>
      </c>
      <c r="GE51" s="62">
        <f ca="1">AVERAGE(OFFSET($GD$3,0,0,'Données projet'!$E$17+1,1))-AVERAGE(OFFSET($H$3,0,0,'Données projet'!$E$17+1,1))</f>
        <v>280.20599015000306</v>
      </c>
      <c r="GF51" s="62">
        <f t="shared" si="50"/>
        <v>166.97658184507787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5.8974358974358951</v>
      </c>
      <c r="GU51" s="13">
        <f>IF('Données projet'!$A$270&gt;35,GU50+GT51-HC50,IF(A51&lt;'Données projet'!$A$270,$GR$205^A51,IF(A51='Données projet'!$A$270,'Données projet'!$B$270,GU50+GT51-HC50)))</f>
        <v>176.66666666666663</v>
      </c>
      <c r="GV51" s="18">
        <f>GU51*VLOOKUP('Données projet'!$B$18,Paramètres!$A$1:$I$89,3,0)*VLOOKUP('Données projet'!$B$18,Paramètres!$A$1:$I$89,5,0)</f>
        <v>118.50799999999998</v>
      </c>
      <c r="GW51" s="14">
        <f t="shared" si="51"/>
        <v>31.326761814194999</v>
      </c>
      <c r="GX51" s="22">
        <f t="shared" si="28"/>
        <v>260.96221015972293</v>
      </c>
      <c r="GY51" s="62">
        <f t="shared" si="29"/>
        <v>554.29554349305624</v>
      </c>
      <c r="GZ51" s="62">
        <f ca="1">AVERAGE(OFFSET($GY$3,0,0,'Données projet'!$E$18+1,1))-AVERAGE(OFFSET($H$3,0,0,'Données projet'!$E$18+1,1))</f>
        <v>291.18686311753402</v>
      </c>
      <c r="HA51" s="62">
        <f t="shared" si="52"/>
        <v>215.44422413249839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9">
        <f t="shared" si="1"/>
        <v>256.66666666666669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11.611538461538466</v>
      </c>
      <c r="N52" s="14">
        <f>IF('Données projet'!$A$36&gt;35,N51+M52-V51,IF(A52&lt;'Données projet'!$A$36,$K$205^A52,IF(A52='Données projet'!$A$36,'Données projet'!$B$36,N51+M52-V51)))</f>
        <v>296.73461538461538</v>
      </c>
      <c r="O52" s="14">
        <f>N52*VLOOKUP('Données projet'!$B$9,Paramètres!$A$1:$I$89,3,0)*VLOOKUP('Données projet'!$B$9,Paramètres!$A$1:$I$89,5,0)</f>
        <v>177.44730000000001</v>
      </c>
      <c r="P52" s="14">
        <f t="shared" si="33"/>
        <v>44.753786201681493</v>
      </c>
      <c r="Q52" s="22">
        <f t="shared" si="53"/>
        <v>387.00022513459527</v>
      </c>
      <c r="R52" s="62">
        <f t="shared" si="0"/>
        <v>680.33355846792858</v>
      </c>
      <c r="S52" s="62">
        <f ca="1">AVERAGE(OFFSET($R$3,0,0,'Données projet'!$E$9+1,1))-AVERAGE(OFFSET($H$3,0,0,'Données projet'!$E$9+1,1))</f>
        <v>260.02504691866199</v>
      </c>
      <c r="T52" s="62">
        <f t="shared" si="34"/>
        <v>270.11268336406368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6.8698020140985872</v>
      </c>
      <c r="AA52" s="23">
        <f>EXP(-LN(2)/25)*AA51+(1-EXP(-LN(2)/25))/(LN(2)/25)*Calculateur!V52*Calculateur!X52*VLOOKUP('Données projet'!$B$9,Paramètres!$A$1:$I$89,3,0)*0.475*44/12</f>
        <v>9.7054198022998186</v>
      </c>
      <c r="AB52" s="23">
        <f>EXP(-LN(2)/2)*AB51+(1-EXP(-LN(2)/2))/(LN(2)/2)*V52*Y52*VLOOKUP('Données projet'!$B$9,Paramètres!$A$1:$I$89,3,0)*0.475*44/12</f>
        <v>8.755916752579352E-3</v>
      </c>
      <c r="AC52" s="24">
        <f t="shared" si="3"/>
        <v>16.583977733150984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2">
        <f t="shared" si="5"/>
        <v>714.4296254574997</v>
      </c>
      <c r="AN52" s="62">
        <f ca="1">AVERAGE(OFFSET($AM$3,0,0,'Données projet'!$E$10+1,1))-AVERAGE(OFFSET($H$3,0,0,'Données projet'!$E$10+1,1))</f>
        <v>475.47920969424894</v>
      </c>
      <c r="AO52" s="62">
        <f t="shared" si="36"/>
        <v>271.73544012419364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172.63584</v>
      </c>
      <c r="BF52" s="14">
        <f t="shared" si="37"/>
        <v>43.679834395222109</v>
      </c>
      <c r="BG52" s="22">
        <f t="shared" si="7"/>
        <v>376.74979957167847</v>
      </c>
      <c r="BH52" s="62">
        <f t="shared" si="8"/>
        <v>670.08313290501178</v>
      </c>
      <c r="BI52" s="62">
        <f ca="1">AVERAGE(OFFSET($BH$3,0,0,'Données projet'!$E$11+1,1))-AVERAGE(OFFSET($H$3,0,0,'Données projet'!$E$11+1,1))</f>
        <v>428.8489304403459</v>
      </c>
      <c r="BJ52" s="62">
        <f t="shared" si="38"/>
        <v>247.01165577562966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4.5999999999999996</v>
      </c>
      <c r="BY52" s="13">
        <f>IF('Données projet'!$A$114&gt;35,BY51+BX52-CG51,IF(A52&lt;'Données projet'!$A$114,$BV$205^A52,IF(A52='Données projet'!$A$114,'Données projet'!$B$114,BY51+BX52-CG51)))</f>
        <v>134.39999999999995</v>
      </c>
      <c r="BZ52" s="14">
        <f>BY52*VLOOKUP('Données projet'!$B$12,Paramètres!$A$1:$I$89,3,0)*VLOOKUP('Données projet'!$B$12,Paramètres!$A$1:$I$89,5,0)</f>
        <v>109.02527999999997</v>
      </c>
      <c r="CA52" s="14">
        <f t="shared" si="39"/>
        <v>29.101214110737224</v>
      </c>
      <c r="CB52" s="22">
        <f t="shared" si="10"/>
        <v>240.57031057620057</v>
      </c>
      <c r="CC52" s="62">
        <f t="shared" si="11"/>
        <v>533.90364390953391</v>
      </c>
      <c r="CD52" s="62">
        <f ca="1">AVERAGE(OFFSET($CC$3,0,0,'Données projet'!$E$12+1,1))-AVERAGE(OFFSET($H$3,0,0,'Données projet'!$E$12+1,1))</f>
        <v>236.22643401787644</v>
      </c>
      <c r="CE52" s="62">
        <f t="shared" si="40"/>
        <v>188.80444043778022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10.407692307692306</v>
      </c>
      <c r="CT52" s="13">
        <f>IF('Données projet'!$A$140&gt;35,CT51+CS52-DB51,IF(A52&lt;'Données projet'!$A$140,$CQ$205^A52,IF(A52='Données projet'!$A$140,'Données projet'!$B$140,CT51+CS52-DB51)))</f>
        <v>301.02307692307687</v>
      </c>
      <c r="CU52" s="18">
        <f>CT52*VLOOKUP('Données projet'!$B$13,Paramètres!$A$1:$I$89,3,0)*VLOOKUP('Données projet'!$B$13,Paramètres!$A$1:$I$89,5,0)</f>
        <v>140.87879999999998</v>
      </c>
      <c r="CV52" s="14">
        <f t="shared" si="41"/>
        <v>36.498252857280519</v>
      </c>
      <c r="CW52" s="22">
        <f t="shared" si="13"/>
        <v>308.93170039309683</v>
      </c>
      <c r="CX52" s="62">
        <f t="shared" si="14"/>
        <v>602.26503372643015</v>
      </c>
      <c r="CY52" s="62">
        <f ca="1">AVERAGE(OFFSET($CX$3,0,0,'Données projet'!$E$13+1,1))-AVERAGE(OFFSET($H$3,0,0,'Données projet'!$E$13+1,1))</f>
        <v>246.73711856758143</v>
      </c>
      <c r="CZ52" s="62">
        <f t="shared" si="42"/>
        <v>145.54897745089966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6.0256410256410273</v>
      </c>
      <c r="DO52" s="13">
        <f>IF('Données projet'!$A$166&gt;35,DO51+DN52-DW51,IF(A52&lt;'Données projet'!$A$166,$DL$205^A52,IF(A52='Données projet'!$A$166,'Données projet'!$B$166,DO51+DN52-DW51)))</f>
        <v>197.17948717948713</v>
      </c>
      <c r="DP52" s="18">
        <f>DO52*VLOOKUP('Données projet'!$B$14,Paramètres!$A$1:$I$89,3,0)*VLOOKUP('Données projet'!$B$14,Paramètres!$A$1:$I$89,5,0)</f>
        <v>206.09199999999996</v>
      </c>
      <c r="DQ52" s="14">
        <f t="shared" si="43"/>
        <v>51.080657963757403</v>
      </c>
      <c r="DR52" s="22">
        <f t="shared" si="16"/>
        <v>447.90904595354408</v>
      </c>
      <c r="DS52" s="62">
        <f t="shared" si="17"/>
        <v>741.24237928687739</v>
      </c>
      <c r="DT52" s="62">
        <f ca="1">AVERAGE(OFFSET($DS$3,0,0,'Données projet'!$E$14+1,1))-AVERAGE(OFFSET($H$3,0,0,'Données projet'!$E$14+1,1))</f>
        <v>493.70175665335978</v>
      </c>
      <c r="DU52" s="62">
        <f t="shared" si="44"/>
        <v>325.12357781685949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4.2</v>
      </c>
      <c r="EJ52" s="13">
        <f>IF('Données projet'!$A$192&gt;35,EJ51+EI52-ER51,IF(A52&lt;'Données projet'!$A$192,$EG$205^A52,IF(A52='Données projet'!$A$192,'Données projet'!$B$192,EJ51+EI52-ER51)))</f>
        <v>136.79999999999995</v>
      </c>
      <c r="EK52" s="18">
        <f>EJ52*VLOOKUP('Données projet'!$B$15,Paramètres!$A$1:$I$89,3,0)*VLOOKUP('Données projet'!$B$15,Paramètres!$A$1:$I$89,5,0)</f>
        <v>119.50847999999996</v>
      </c>
      <c r="EL52" s="14">
        <f t="shared" si="45"/>
        <v>31.560332955588962</v>
      </c>
      <c r="EM52" s="22">
        <f t="shared" si="19"/>
        <v>263.11151589765069</v>
      </c>
      <c r="EN52" s="62">
        <f t="shared" si="20"/>
        <v>556.444849230984</v>
      </c>
      <c r="EO52" s="62">
        <f ca="1">AVERAGE(OFFSET($EN$3,0,0,'Données projet'!$E$15+1,1))-AVERAGE(OFFSET($H$3,0,0,'Données projet'!$E$15+1,1))</f>
        <v>202.86354781280403</v>
      </c>
      <c r="EP52" s="62">
        <f t="shared" si="46"/>
        <v>217.25323885665131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5.2564102564102537</v>
      </c>
      <c r="FE52" s="13">
        <f>IF('Données projet'!$A$218&gt;35,FE51+FD52-FM51,IF(A52&lt;'Données projet'!$A$218,$FB$205^A52,IF(A52='Données projet'!$A$218,'Données projet'!$B$218,FE51+FD52-FM51)))</f>
        <v>153.07692307692304</v>
      </c>
      <c r="FF52" s="18">
        <f>FE52*VLOOKUP('Données projet'!$B$16,Paramètres!$A$1:$I$89,3,0)*VLOOKUP('Données projet'!$B$16,Paramètres!$A$1:$I$89,5,0)</f>
        <v>145.66799999999995</v>
      </c>
      <c r="FG52" s="14">
        <f t="shared" si="47"/>
        <v>37.592450315522605</v>
      </c>
      <c r="FH52" s="22">
        <f t="shared" si="22"/>
        <v>319.17861763286845</v>
      </c>
      <c r="FI52" s="62">
        <f t="shared" si="23"/>
        <v>612.51195096620177</v>
      </c>
      <c r="FJ52" s="62">
        <f ca="1">AVERAGE(OFFSET($FI$3,0,0,'Données projet'!$E$16+1,1))-AVERAGE(OFFSET($H$3,0,0,'Données projet'!$E$16+1,1))</f>
        <v>353.61481736740694</v>
      </c>
      <c r="FK52" s="62">
        <f t="shared" si="48"/>
        <v>244.7141066773861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3.8</v>
      </c>
      <c r="FZ52" s="13">
        <f>IF('Données projet'!$A$244&gt;35,FZ51+FY52-GH51,IF(A52&lt;'Données projet'!$A$244,$FW$205^A52,IF(A52='Données projet'!$A$244,'Données projet'!$B$244,FZ51+FY52-GH51)))</f>
        <v>91.199999999999974</v>
      </c>
      <c r="GA52" s="18">
        <f>FZ52*VLOOKUP('Données projet'!$B$17,Paramètres!$A$1:$I$89,3,0)*VLOOKUP('Données projet'!$B$17,Paramètres!$A$1:$I$89,5,0)</f>
        <v>98.167679999999962</v>
      </c>
      <c r="GB52" s="14">
        <f t="shared" si="49"/>
        <v>26.525003855402876</v>
      </c>
      <c r="GC52" s="22">
        <f t="shared" si="25"/>
        <v>217.17309104815993</v>
      </c>
      <c r="GD52" s="62">
        <f t="shared" si="26"/>
        <v>510.50642438149328</v>
      </c>
      <c r="GE52" s="62">
        <f ca="1">AVERAGE(OFFSET($GD$3,0,0,'Données projet'!$E$17+1,1))-AVERAGE(OFFSET($H$3,0,0,'Données projet'!$E$17+1,1))</f>
        <v>280.20599015000306</v>
      </c>
      <c r="GF52" s="62">
        <f t="shared" si="50"/>
        <v>166.97658184507787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5.8974358974358951</v>
      </c>
      <c r="GU52" s="13">
        <f>IF('Données projet'!$A$270&gt;35,GU51+GT52-HC51,IF(A52&lt;'Données projet'!$A$270,$GR$205^A52,IF(A52='Données projet'!$A$270,'Données projet'!$B$270,GU51+GT52-HC51)))</f>
        <v>182.56410256410251</v>
      </c>
      <c r="GV52" s="18">
        <f>GU52*VLOOKUP('Données projet'!$B$18,Paramètres!$A$1:$I$89,3,0)*VLOOKUP('Données projet'!$B$18,Paramètres!$A$1:$I$89,5,0)</f>
        <v>122.46399999999997</v>
      </c>
      <c r="GW52" s="14">
        <f t="shared" si="51"/>
        <v>32.249005247502218</v>
      </c>
      <c r="GX52" s="22">
        <f t="shared" si="28"/>
        <v>269.45848413939967</v>
      </c>
      <c r="GY52" s="62">
        <f t="shared" si="29"/>
        <v>562.79181747273299</v>
      </c>
      <c r="GZ52" s="62">
        <f ca="1">AVERAGE(OFFSET($GY$3,0,0,'Données projet'!$E$18+1,1))-AVERAGE(OFFSET($H$3,0,0,'Données projet'!$E$18+1,1))</f>
        <v>291.18686311753402</v>
      </c>
      <c r="HA52" s="62">
        <f t="shared" si="52"/>
        <v>215.44422413249839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9">
        <f t="shared" si="1"/>
        <v>256.66666666666669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11.611538461538466</v>
      </c>
      <c r="N53" s="14">
        <f>IF('Données projet'!$A$36&gt;35,N52+M53-V52,IF(A53&lt;'Données projet'!$A$36,$K$205^A53,IF(A53='Données projet'!$A$36,'Données projet'!$B$36,N52+M53-V52)))</f>
        <v>308.34615384615387</v>
      </c>
      <c r="O53" s="14">
        <f>N53*VLOOKUP('Données projet'!$B$9,Paramètres!$A$1:$I$89,3,0)*VLOOKUP('Données projet'!$B$9,Paramètres!$A$1:$I$89,5,0)</f>
        <v>184.39100000000005</v>
      </c>
      <c r="P53" s="14">
        <f t="shared" si="33"/>
        <v>46.297728214269426</v>
      </c>
      <c r="Q53" s="22">
        <f t="shared" si="53"/>
        <v>401.78286830651933</v>
      </c>
      <c r="R53" s="62">
        <f t="shared" si="0"/>
        <v>695.11620163985265</v>
      </c>
      <c r="S53" s="62">
        <f ca="1">AVERAGE(OFFSET($R$3,0,0,'Données projet'!$E$9+1,1))-AVERAGE(OFFSET($H$3,0,0,'Données projet'!$E$9+1,1))</f>
        <v>260.02504691866199</v>
      </c>
      <c r="T53" s="62">
        <f t="shared" si="34"/>
        <v>270.11268336406368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6.7350893867675978</v>
      </c>
      <c r="AA53" s="23">
        <f>EXP(-LN(2)/25)*AA52+(1-EXP(-LN(2)/25))/(LN(2)/25)*Calculateur!V53*Calculateur!X53*VLOOKUP('Données projet'!$B$9,Paramètres!$A$1:$I$89,3,0)*0.475*44/12</f>
        <v>9.4400245874200852</v>
      </c>
      <c r="AB53" s="23">
        <f>EXP(-LN(2)/2)*AB52+(1-EXP(-LN(2)/2))/(LN(2)/2)*V53*Y53*VLOOKUP('Données projet'!$B$9,Paramètres!$A$1:$I$89,3,0)*0.475*44/12</f>
        <v>6.1913681112537537E-3</v>
      </c>
      <c r="AC53" s="24">
        <f t="shared" si="3"/>
        <v>16.181305342298934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2">
        <f t="shared" si="5"/>
        <v>732.09830739641802</v>
      </c>
      <c r="AN53" s="62">
        <f ca="1">AVERAGE(OFFSET($AM$3,0,0,'Données projet'!$E$10+1,1))-AVERAGE(OFFSET($H$3,0,0,'Données projet'!$E$10+1,1))</f>
        <v>475.47920969424894</v>
      </c>
      <c r="AO53" s="62">
        <f t="shared" si="36"/>
        <v>271.73544012419364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180.05519999999999</v>
      </c>
      <c r="BF53" s="14">
        <f t="shared" si="37"/>
        <v>45.334466930398364</v>
      </c>
      <c r="BG53" s="22">
        <f t="shared" si="7"/>
        <v>392.55366990377706</v>
      </c>
      <c r="BH53" s="62">
        <f t="shared" si="8"/>
        <v>685.88700323711032</v>
      </c>
      <c r="BI53" s="62">
        <f ca="1">AVERAGE(OFFSET($BH$3,0,0,'Données projet'!$E$11+1,1))-AVERAGE(OFFSET($H$3,0,0,'Données projet'!$E$11+1,1))</f>
        <v>428.8489304403459</v>
      </c>
      <c r="BJ53" s="62">
        <f t="shared" si="38"/>
        <v>247.01165577562966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139</v>
      </c>
      <c r="BW53" s="13">
        <f>VLOOKUP(A53,'Données projet'!$A$113:$I$133,9,0)</f>
        <v>4.5999999999999996</v>
      </c>
      <c r="BX53" s="13">
        <f t="array" ref="BX53">INDEX(BW:BW,MIN(IF(ISNUMBER(BW53:BW249),ROW(BW53:BW249),"")))</f>
        <v>4.5999999999999996</v>
      </c>
      <c r="BY53" s="13">
        <f>IF('Données projet'!$A$114&gt;35,BY52+BX53-CG52,IF(A53&lt;'Données projet'!$A$114,$BV$205^A53,IF(A53='Données projet'!$A$114,'Données projet'!$B$114,BY52+BX53-CG52)))</f>
        <v>138.99999999999994</v>
      </c>
      <c r="BZ53" s="14">
        <f>BY53*VLOOKUP('Données projet'!$B$12,Paramètres!$A$1:$I$89,3,0)*VLOOKUP('Données projet'!$B$12,Paramètres!$A$1:$I$89,5,0)</f>
        <v>112.75679999999996</v>
      </c>
      <c r="CA53" s="14">
        <f t="shared" si="39"/>
        <v>29.979569481474449</v>
      </c>
      <c r="CB53" s="22">
        <f t="shared" si="10"/>
        <v>248.59917684690126</v>
      </c>
      <c r="CC53" s="62">
        <f t="shared" si="11"/>
        <v>541.93251018023454</v>
      </c>
      <c r="CD53" s="62">
        <f ca="1">AVERAGE(OFFSET($CC$3,0,0,'Données projet'!$E$12+1,1))-AVERAGE(OFFSET($H$3,0,0,'Données projet'!$E$12+1,1))</f>
        <v>236.22643401787644</v>
      </c>
      <c r="CE53" s="62">
        <f t="shared" si="40"/>
        <v>188.80444043778022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10.407692307692306</v>
      </c>
      <c r="CT53" s="13">
        <f>IF('Données projet'!$A$140&gt;35,CT52+CS53-DB52,IF(A53&lt;'Données projet'!$A$140,$CQ$205^A53,IF(A53='Données projet'!$A$140,'Données projet'!$B$140,CT52+CS53-DB52)))</f>
        <v>311.43076923076916</v>
      </c>
      <c r="CU53" s="18">
        <f>CT53*VLOOKUP('Données projet'!$B$13,Paramètres!$A$1:$I$89,3,0)*VLOOKUP('Données projet'!$B$13,Paramètres!$A$1:$I$89,5,0)</f>
        <v>145.74959999999999</v>
      </c>
      <c r="CV53" s="14">
        <f t="shared" si="41"/>
        <v>37.611056965444213</v>
      </c>
      <c r="CW53" s="22">
        <f t="shared" si="13"/>
        <v>319.3531442148153</v>
      </c>
      <c r="CX53" s="62">
        <f t="shared" si="14"/>
        <v>612.68647754814856</v>
      </c>
      <c r="CY53" s="62">
        <f ca="1">AVERAGE(OFFSET($CX$3,0,0,'Données projet'!$E$13+1,1))-AVERAGE(OFFSET($H$3,0,0,'Données projet'!$E$13+1,1))</f>
        <v>246.73711856758143</v>
      </c>
      <c r="CZ53" s="62">
        <f t="shared" si="42"/>
        <v>145.54897745089966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203.2051282051282</v>
      </c>
      <c r="DM53" s="13">
        <f>VLOOKUP(A53,'Données projet'!$A$165:$I$185,9,0)</f>
        <v>6.0256410256410273</v>
      </c>
      <c r="DN53" s="13">
        <f t="array" ref="DN53">INDEX(DM:DM,MIN(IF(ISNUMBER(DM53:DM249),ROW(DM53:DM249),"")))</f>
        <v>6.0256410256410273</v>
      </c>
      <c r="DO53" s="13">
        <f>IF('Données projet'!$A$166&gt;35,DO52+DN53-DW52,IF(A53&lt;'Données projet'!$A$166,$DL$205^A53,IF(A53='Données projet'!$A$166,'Données projet'!$B$166,DO52+DN53-DW52)))</f>
        <v>203.20512820512815</v>
      </c>
      <c r="DP53" s="18">
        <f>DO53*VLOOKUP('Données projet'!$B$14,Paramètres!$A$1:$I$89,3,0)*VLOOKUP('Données projet'!$B$14,Paramètres!$A$1:$I$89,5,0)</f>
        <v>212.38999999999993</v>
      </c>
      <c r="DQ53" s="14">
        <f t="shared" si="43"/>
        <v>52.457516346075991</v>
      </c>
      <c r="DR53" s="22">
        <f t="shared" si="16"/>
        <v>461.27609096941552</v>
      </c>
      <c r="DS53" s="62">
        <f t="shared" si="17"/>
        <v>754.60942430274883</v>
      </c>
      <c r="DT53" s="62">
        <f ca="1">AVERAGE(OFFSET($DS$3,0,0,'Données projet'!$E$14+1,1))-AVERAGE(OFFSET($H$3,0,0,'Données projet'!$E$14+1,1))</f>
        <v>493.70175665335978</v>
      </c>
      <c r="DU53" s="62">
        <f t="shared" si="44"/>
        <v>325.12357781685949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24.358974358974358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141</v>
      </c>
      <c r="EH53" s="13">
        <f>VLOOKUP(A53,'Données projet'!$A$191:$I$211,9,0)</f>
        <v>4.2</v>
      </c>
      <c r="EI53" s="13">
        <f t="array" ref="EI53">INDEX(EH:EH,MIN(IF(ISNUMBER(EH53:EH249),ROW(EH53:EH249),"")))</f>
        <v>4.2</v>
      </c>
      <c r="EJ53" s="13">
        <f>IF('Données projet'!$A$192&gt;35,EJ52+EI53-ER52,IF(A53&lt;'Données projet'!$A$192,$EG$205^A53,IF(A53='Données projet'!$A$192,'Données projet'!$B$192,EJ52+EI53-ER52)))</f>
        <v>140.99999999999994</v>
      </c>
      <c r="EK53" s="18">
        <f>EJ53*VLOOKUP('Données projet'!$B$15,Paramètres!$A$1:$I$89,3,0)*VLOOKUP('Données projet'!$B$15,Paramètres!$A$1:$I$89,5,0)</f>
        <v>123.17759999999997</v>
      </c>
      <c r="EL53" s="14">
        <f t="shared" si="45"/>
        <v>32.414991240570416</v>
      </c>
      <c r="EM53" s="22">
        <f t="shared" si="19"/>
        <v>270.99042974399339</v>
      </c>
      <c r="EN53" s="62">
        <f t="shared" si="20"/>
        <v>564.3237630773267</v>
      </c>
      <c r="EO53" s="62">
        <f ca="1">AVERAGE(OFFSET($EN$3,0,0,'Données projet'!$E$15+1,1))-AVERAGE(OFFSET($H$3,0,0,'Données projet'!$E$15+1,1))</f>
        <v>202.86354781280403</v>
      </c>
      <c r="EP53" s="62">
        <f t="shared" si="46"/>
        <v>217.25323885665131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25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158.33333333333331</v>
      </c>
      <c r="FC53" s="13">
        <f>VLOOKUP(A53,'Données projet'!$A$217:$I$237,9,0)</f>
        <v>5.2564102564102537</v>
      </c>
      <c r="FD53" s="13">
        <f t="array" ref="FD53">INDEX(FC:FC,MIN(IF(ISNUMBER(FC53:FC249),ROW(FC53:FC249),"")))</f>
        <v>5.2564102564102537</v>
      </c>
      <c r="FE53" s="13">
        <f>IF('Données projet'!$A$218&gt;35,FE52+FD53-FM52,IF(A53&lt;'Données projet'!$A$218,$FB$205^A53,IF(A53='Données projet'!$A$218,'Données projet'!$B$218,FE52+FD53-FM52)))</f>
        <v>158.33333333333329</v>
      </c>
      <c r="FF53" s="18">
        <f>FE53*VLOOKUP('Données projet'!$B$16,Paramètres!$A$1:$I$89,3,0)*VLOOKUP('Données projet'!$B$16,Paramètres!$A$1:$I$89,5,0)</f>
        <v>150.66999999999996</v>
      </c>
      <c r="FG53" s="14">
        <f t="shared" si="47"/>
        <v>38.730806009209921</v>
      </c>
      <c r="FH53" s="22">
        <f t="shared" si="22"/>
        <v>329.87307046604047</v>
      </c>
      <c r="FI53" s="62">
        <f t="shared" si="23"/>
        <v>623.20640379937379</v>
      </c>
      <c r="FJ53" s="62">
        <f ca="1">AVERAGE(OFFSET($FI$3,0,0,'Données projet'!$E$16+1,1))-AVERAGE(OFFSET($H$3,0,0,'Données projet'!$E$16+1,1))</f>
        <v>353.61481736740694</v>
      </c>
      <c r="FK53" s="62">
        <f t="shared" si="48"/>
        <v>244.7141066773861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95</v>
      </c>
      <c r="FX53" s="13">
        <f>VLOOKUP(A53,'Données projet'!$A$243:$I$263,9,0)</f>
        <v>3.8</v>
      </c>
      <c r="FY53" s="13">
        <f t="array" ref="FY53">INDEX(FX:FX,MIN(IF(ISNUMBER(FX53:FX249),ROW(FX53:FX249),"")))</f>
        <v>3.8</v>
      </c>
      <c r="FZ53" s="13">
        <f>IF('Données projet'!$A$244&gt;35,FZ52+FY53-GH52,IF(A53&lt;'Données projet'!$A$244,$FW$205^A53,IF(A53='Données projet'!$A$244,'Données projet'!$B$244,FZ52+FY53-GH52)))</f>
        <v>94.999999999999972</v>
      </c>
      <c r="GA53" s="18">
        <f>FZ53*VLOOKUP('Données projet'!$B$17,Paramètres!$A$1:$I$89,3,0)*VLOOKUP('Données projet'!$B$17,Paramètres!$A$1:$I$89,5,0)</f>
        <v>102.25799999999995</v>
      </c>
      <c r="GB53" s="14">
        <f t="shared" si="49"/>
        <v>27.499233847895834</v>
      </c>
      <c r="GC53" s="22">
        <f t="shared" si="25"/>
        <v>225.9938489517518</v>
      </c>
      <c r="GD53" s="62">
        <f t="shared" si="26"/>
        <v>519.32718228508509</v>
      </c>
      <c r="GE53" s="62">
        <f ca="1">AVERAGE(OFFSET($GD$3,0,0,'Données projet'!$E$17+1,1))-AVERAGE(OFFSET($H$3,0,0,'Données projet'!$E$17+1,1))</f>
        <v>280.20599015000306</v>
      </c>
      <c r="GF53" s="62">
        <f t="shared" si="50"/>
        <v>166.97658184507787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188.46153846153845</v>
      </c>
      <c r="GS53" s="13">
        <f>VLOOKUP(A53,'Données projet'!$A$269:$I$289,9,0)</f>
        <v>5.8974358974358951</v>
      </c>
      <c r="GT53" s="13">
        <f t="array" ref="GT53">INDEX(GS:GS,MIN(IF(ISNUMBER(GS53:GS249),ROW(GS53:GS249),"")))</f>
        <v>5.8974358974358951</v>
      </c>
      <c r="GU53" s="13">
        <f>IF('Données projet'!$A$270&gt;35,GU52+GT53-HC52,IF(A53&lt;'Données projet'!$A$270,$GR$205^A53,IF(A53='Données projet'!$A$270,'Données projet'!$B$270,GU52+GT53-HC52)))</f>
        <v>188.4615384615384</v>
      </c>
      <c r="GV53" s="18">
        <f>GU53*VLOOKUP('Données projet'!$B$18,Paramètres!$A$1:$I$89,3,0)*VLOOKUP('Données projet'!$B$18,Paramètres!$A$1:$I$89,5,0)</f>
        <v>126.41999999999994</v>
      </c>
      <c r="GW53" s="14">
        <f t="shared" si="51"/>
        <v>33.167786817172448</v>
      </c>
      <c r="GX53" s="22">
        <f t="shared" si="28"/>
        <v>277.94872870657525</v>
      </c>
      <c r="GY53" s="62">
        <f t="shared" si="29"/>
        <v>571.28206203990862</v>
      </c>
      <c r="GZ53" s="62">
        <f ca="1">AVERAGE(OFFSET($GY$3,0,0,'Données projet'!$E$18+1,1))-AVERAGE(OFFSET($H$3,0,0,'Données projet'!$E$18+1,1))</f>
        <v>291.18686311753402</v>
      </c>
      <c r="HA53" s="62">
        <f t="shared" si="52"/>
        <v>215.44422413249839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9">
        <f t="shared" si="1"/>
        <v>256.66666666666669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11.611538461538466</v>
      </c>
      <c r="N54" s="14">
        <f>IF('Données projet'!$A$36&gt;35,N53+M54-V53,IF(A54&lt;'Données projet'!$A$36,$K$205^A54,IF(A54='Données projet'!$A$36,'Données projet'!$B$36,N53+M54-V53)))</f>
        <v>319.95769230769235</v>
      </c>
      <c r="O54" s="14">
        <f>N54*VLOOKUP('Données projet'!$B$9,Paramètres!$A$1:$I$89,3,0)*VLOOKUP('Données projet'!$B$9,Paramètres!$A$1:$I$89,5,0)</f>
        <v>191.33470000000005</v>
      </c>
      <c r="P54" s="14">
        <f t="shared" si="33"/>
        <v>47.834915743348681</v>
      </c>
      <c r="Q54" s="22">
        <f t="shared" si="53"/>
        <v>416.55374741966574</v>
      </c>
      <c r="R54" s="62">
        <f t="shared" si="0"/>
        <v>709.88708075299905</v>
      </c>
      <c r="S54" s="62">
        <f ca="1">AVERAGE(OFFSET($R$3,0,0,'Données projet'!$E$9+1,1))-AVERAGE(OFFSET($H$3,0,0,'Données projet'!$E$9+1,1))</f>
        <v>260.02504691866199</v>
      </c>
      <c r="T54" s="62">
        <f t="shared" si="34"/>
        <v>270.11268336406368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6.6030183918919798</v>
      </c>
      <c r="AA54" s="23">
        <f>EXP(-LN(2)/25)*AA53+(1-EXP(-LN(2)/25))/(LN(2)/25)*Calculateur!V54*Calculateur!X54*VLOOKUP('Données projet'!$B$9,Paramètres!$A$1:$I$89,3,0)*0.475*44/12</f>
        <v>9.1818866186477646</v>
      </c>
      <c r="AB54" s="23">
        <f>EXP(-LN(2)/2)*AB53+(1-EXP(-LN(2)/2))/(LN(2)/2)*V54*Y54*VLOOKUP('Données projet'!$B$9,Paramètres!$A$1:$I$89,3,0)*0.475*44/12</f>
        <v>4.377958376289676E-3</v>
      </c>
      <c r="AC54" s="24">
        <f t="shared" si="3"/>
        <v>15.789282968916035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2">
        <f t="shared" si="5"/>
        <v>658.72976619125518</v>
      </c>
      <c r="AN54" s="62">
        <f ca="1">AVERAGE(OFFSET($AM$3,0,0,'Données projet'!$E$10+1,1))-AVERAGE(OFFSET($H$3,0,0,'Données projet'!$E$10+1,1))</f>
        <v>475.47920969424894</v>
      </c>
      <c r="AO54" s="62">
        <f t="shared" si="36"/>
        <v>271.73544012419364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149.29199999999997</v>
      </c>
      <c r="BF54" s="14">
        <f t="shared" si="37"/>
        <v>38.417645803815411</v>
      </c>
      <c r="BG54" s="22">
        <f t="shared" si="7"/>
        <v>326.9276331083118</v>
      </c>
      <c r="BH54" s="62">
        <f t="shared" si="8"/>
        <v>620.26096644164511</v>
      </c>
      <c r="BI54" s="62">
        <f ca="1">AVERAGE(OFFSET($BH$3,0,0,'Données projet'!$E$11+1,1))-AVERAGE(OFFSET($H$3,0,0,'Données projet'!$E$11+1,1))</f>
        <v>428.8489304403459</v>
      </c>
      <c r="BJ54" s="62">
        <f t="shared" si="38"/>
        <v>247.01165577562966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4.4000000000000004</v>
      </c>
      <c r="BY54" s="13">
        <f>IF('Données projet'!$A$114&gt;35,BY53+BX54-CG53,IF(A54&lt;'Données projet'!$A$114,$BV$205^A54,IF(A54='Données projet'!$A$114,'Données projet'!$B$114,BY53+BX54-CG53)))</f>
        <v>143.39999999999995</v>
      </c>
      <c r="BZ54" s="14">
        <f>BY54*VLOOKUP('Données projet'!$B$12,Paramètres!$A$1:$I$89,3,0)*VLOOKUP('Données projet'!$B$12,Paramètres!$A$1:$I$89,5,0)</f>
        <v>116.32607999999996</v>
      </c>
      <c r="CA54" s="14">
        <f t="shared" si="39"/>
        <v>30.816573268521257</v>
      </c>
      <c r="CB54" s="22">
        <f t="shared" si="10"/>
        <v>256.27345444267445</v>
      </c>
      <c r="CC54" s="62">
        <f t="shared" si="11"/>
        <v>549.60678777600776</v>
      </c>
      <c r="CD54" s="62">
        <f ca="1">AVERAGE(OFFSET($CC$3,0,0,'Données projet'!$E$12+1,1))-AVERAGE(OFFSET($H$3,0,0,'Données projet'!$E$12+1,1))</f>
        <v>236.22643401787644</v>
      </c>
      <c r="CE54" s="62">
        <f t="shared" si="40"/>
        <v>188.80444043778022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>
        <f>VLOOKUP(A54,'Données projet'!$A$139:$I$159,2,0)</f>
        <v>321.8384615384615</v>
      </c>
      <c r="CR54" s="13">
        <f>VLOOKUP(A54,'Données projet'!$A$139:$I$159,9,0)</f>
        <v>10.407692307692306</v>
      </c>
      <c r="CS54" s="13">
        <f t="array" ref="CS54">INDEX(CR:CR,MIN(IF(ISNUMBER(CR54:CR250),ROW(CR54:CR250),"")))</f>
        <v>10.407692307692306</v>
      </c>
      <c r="CT54" s="13">
        <f>IF('Données projet'!$A$140&gt;35,CT53+CS54-DB53,IF(A54&lt;'Données projet'!$A$140,$CQ$205^A54,IF(A54='Données projet'!$A$140,'Données projet'!$B$140,CT53+CS54-DB53)))</f>
        <v>321.83846153846144</v>
      </c>
      <c r="CU54" s="18">
        <f>CT54*VLOOKUP('Données projet'!$B$13,Paramètres!$A$1:$I$89,3,0)*VLOOKUP('Données projet'!$B$13,Paramètres!$A$1:$I$89,5,0)</f>
        <v>150.62039999999996</v>
      </c>
      <c r="CV54" s="14">
        <f t="shared" si="41"/>
        <v>38.719539861211025</v>
      </c>
      <c r="CW54" s="22">
        <f t="shared" si="13"/>
        <v>329.76706192494242</v>
      </c>
      <c r="CX54" s="62">
        <f t="shared" si="14"/>
        <v>623.10039525827574</v>
      </c>
      <c r="CY54" s="62">
        <f ca="1">AVERAGE(OFFSET($CX$3,0,0,'Données projet'!$E$13+1,1))-AVERAGE(OFFSET($H$3,0,0,'Données projet'!$E$13+1,1))</f>
        <v>246.73711856758143</v>
      </c>
      <c r="CZ54" s="62">
        <f t="shared" si="42"/>
        <v>145.54897745089966</v>
      </c>
      <c r="DA54" s="16">
        <f>IF(ISNA(VLOOKUP(A54,'Données projet'!$A$139:$I$159,3,0)),0,VLOOKUP(A54,'Données projet'!$A$139:$I$159,3,0))</f>
        <v>1</v>
      </c>
      <c r="DB54" s="16">
        <f>IF(ISNA(VLOOKUP(A54,'Données projet'!$A$139:$I$159,4,0)),0,VLOOKUP(A54,'Données projet'!$A$139:$I$159,4,0))</f>
        <v>100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5.6410256410256405</v>
      </c>
      <c r="DO54" s="13">
        <f>IF('Données projet'!$A$166&gt;35,DO53+DN54-DW53,IF(A54&lt;'Données projet'!$A$166,$DL$205^A54,IF(A54='Données projet'!$A$166,'Données projet'!$B$166,DO53+DN54-DW53)))</f>
        <v>184.48717948717942</v>
      </c>
      <c r="DP54" s="18">
        <f>DO54*VLOOKUP('Données projet'!$B$14,Paramètres!$A$1:$I$89,3,0)*VLOOKUP('Données projet'!$B$14,Paramètres!$A$1:$I$89,5,0)</f>
        <v>192.82599999999994</v>
      </c>
      <c r="DQ54" s="14">
        <f t="shared" si="43"/>
        <v>48.164203450161025</v>
      </c>
      <c r="DR54" s="22">
        <f t="shared" si="16"/>
        <v>419.72460434236359</v>
      </c>
      <c r="DS54" s="62">
        <f t="shared" si="17"/>
        <v>713.05793767569685</v>
      </c>
      <c r="DT54" s="62">
        <f ca="1">AVERAGE(OFFSET($DS$3,0,0,'Données projet'!$E$14+1,1))-AVERAGE(OFFSET($H$3,0,0,'Données projet'!$E$14+1,1))</f>
        <v>493.70175665335978</v>
      </c>
      <c r="DU54" s="62">
        <f t="shared" si="44"/>
        <v>325.12357781685949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3.4</v>
      </c>
      <c r="EJ54" s="13">
        <f>IF('Données projet'!$A$192&gt;35,EJ53+EI54-ER53,IF(A54&lt;'Données projet'!$A$192,$EG$205^A54,IF(A54='Données projet'!$A$192,'Données projet'!$B$192,EJ53+EI54-ER53)))</f>
        <v>119.39999999999995</v>
      </c>
      <c r="EK54" s="18">
        <f>EJ54*VLOOKUP('Données projet'!$B$15,Paramètres!$A$1:$I$89,3,0)*VLOOKUP('Données projet'!$B$15,Paramètres!$A$1:$I$89,5,0)</f>
        <v>104.30783999999997</v>
      </c>
      <c r="EL54" s="14">
        <f t="shared" si="45"/>
        <v>27.985748297693238</v>
      </c>
      <c r="EM54" s="22">
        <f t="shared" si="19"/>
        <v>230.41133295181569</v>
      </c>
      <c r="EN54" s="62">
        <f t="shared" si="20"/>
        <v>523.74466628514904</v>
      </c>
      <c r="EO54" s="62">
        <f ca="1">AVERAGE(OFFSET($EN$3,0,0,'Données projet'!$E$15+1,1))-AVERAGE(OFFSET($H$3,0,0,'Données projet'!$E$15+1,1))</f>
        <v>202.86354781280403</v>
      </c>
      <c r="EP54" s="62">
        <f t="shared" si="46"/>
        <v>217.25323885665131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4.8717948717948731</v>
      </c>
      <c r="FE54" s="13">
        <f>IF('Données projet'!$A$218&gt;35,FE53+FD54-FM53,IF(A54&lt;'Données projet'!$A$218,$FB$205^A54,IF(A54='Données projet'!$A$218,'Données projet'!$B$218,FE53+FD54-FM53)))</f>
        <v>163.20512820512815</v>
      </c>
      <c r="FF54" s="18">
        <f>FE54*VLOOKUP('Données projet'!$B$16,Paramètres!$A$1:$I$89,3,0)*VLOOKUP('Données projet'!$B$16,Paramètres!$A$1:$I$89,5,0)</f>
        <v>155.30599999999995</v>
      </c>
      <c r="FG54" s="14">
        <f t="shared" si="47"/>
        <v>39.781942810239308</v>
      </c>
      <c r="FH54" s="22">
        <f t="shared" si="22"/>
        <v>339.7781670611667</v>
      </c>
      <c r="FI54" s="62">
        <f t="shared" si="23"/>
        <v>633.11150039450001</v>
      </c>
      <c r="FJ54" s="62">
        <f ca="1">AVERAGE(OFFSET($FI$3,0,0,'Données projet'!$E$16+1,1))-AVERAGE(OFFSET($H$3,0,0,'Données projet'!$E$16+1,1))</f>
        <v>353.61481736740694</v>
      </c>
      <c r="FK54" s="62">
        <f t="shared" si="48"/>
        <v>244.7141066773861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4</v>
      </c>
      <c r="FZ54" s="13">
        <f>IF('Données projet'!$A$244&gt;35,FZ53+FY54-GH53,IF(A54&lt;'Données projet'!$A$244,$FW$205^A54,IF(A54='Données projet'!$A$244,'Données projet'!$B$244,FZ53+FY54-GH53)))</f>
        <v>98.999999999999972</v>
      </c>
      <c r="GA54" s="18">
        <f>FZ54*VLOOKUP('Données projet'!$B$17,Paramètres!$A$1:$I$89,3,0)*VLOOKUP('Données projet'!$B$17,Paramètres!$A$1:$I$89,5,0)</f>
        <v>106.56359999999997</v>
      </c>
      <c r="GB54" s="14">
        <f t="shared" si="49"/>
        <v>28.519852461359374</v>
      </c>
      <c r="GC54" s="22">
        <f t="shared" si="25"/>
        <v>235.27034637020085</v>
      </c>
      <c r="GD54" s="62">
        <f t="shared" si="26"/>
        <v>528.60367970353423</v>
      </c>
      <c r="GE54" s="62">
        <f ca="1">AVERAGE(OFFSET($GD$3,0,0,'Données projet'!$E$17+1,1))-AVERAGE(OFFSET($H$3,0,0,'Données projet'!$E$17+1,1))</f>
        <v>280.20599015000306</v>
      </c>
      <c r="GF54" s="62">
        <f t="shared" si="50"/>
        <v>166.97658184507787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5.6410256410256405</v>
      </c>
      <c r="GU54" s="13">
        <f>IF('Données projet'!$A$270&gt;35,GU53+GT54-HC53,IF(A54&lt;'Données projet'!$A$270,$GR$205^A54,IF(A54='Données projet'!$A$270,'Données projet'!$B$270,GU53+GT54-HC53)))</f>
        <v>194.10256410256403</v>
      </c>
      <c r="GV54" s="18">
        <f>GU54*VLOOKUP('Données projet'!$B$18,Paramètres!$A$1:$I$89,3,0)*VLOOKUP('Données projet'!$B$18,Paramètres!$A$1:$I$89,5,0)</f>
        <v>130.20399999999995</v>
      </c>
      <c r="GW54" s="14">
        <f t="shared" si="51"/>
        <v>34.043493440159544</v>
      </c>
      <c r="GX54" s="22">
        <f t="shared" si="28"/>
        <v>286.06438440827776</v>
      </c>
      <c r="GY54" s="62">
        <f t="shared" si="29"/>
        <v>579.39771774161113</v>
      </c>
      <c r="GZ54" s="62">
        <f ca="1">AVERAGE(OFFSET($GY$3,0,0,'Données projet'!$E$18+1,1))-AVERAGE(OFFSET($H$3,0,0,'Données projet'!$E$18+1,1))</f>
        <v>291.18686311753402</v>
      </c>
      <c r="HA54" s="62">
        <f t="shared" si="52"/>
        <v>215.44422413249839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9">
        <f t="shared" si="1"/>
        <v>256.66666666666669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331.56923076923078</v>
      </c>
      <c r="L55" s="13">
        <f>VLOOKUP(A55,'Données projet'!$A$35:$I$55,9,0)</f>
        <v>11.611538461538466</v>
      </c>
      <c r="M55" s="13">
        <f t="array" ref="M55">INDEX(L:L,MIN(IF(ISNUMBER(L55:L251),ROW(L55:L251),"")))</f>
        <v>11.611538461538466</v>
      </c>
      <c r="N55" s="14">
        <f>IF('Données projet'!$A$36&gt;35,N54+M55-V54,IF(A55&lt;'Données projet'!$A$36,$K$205^A55,IF(A55='Données projet'!$A$36,'Données projet'!$B$36,N54+M55-V54)))</f>
        <v>331.56923076923084</v>
      </c>
      <c r="O55" s="14">
        <f>N55*VLOOKUP('Données projet'!$B$9,Paramètres!$A$1:$I$89,3,0)*VLOOKUP('Données projet'!$B$9,Paramètres!$A$1:$I$89,5,0)</f>
        <v>198.27840000000003</v>
      </c>
      <c r="P55" s="14">
        <f t="shared" si="33"/>
        <v>49.36562199236586</v>
      </c>
      <c r="Q55" s="22">
        <f t="shared" si="53"/>
        <v>431.31333830337053</v>
      </c>
      <c r="R55" s="62">
        <f t="shared" si="0"/>
        <v>724.64667163670379</v>
      </c>
      <c r="S55" s="62">
        <f ca="1">AVERAGE(OFFSET($R$3,0,0,'Données projet'!$E$9+1,1))-AVERAGE(OFFSET($H$3,0,0,'Données projet'!$E$9+1,1))</f>
        <v>260.02504691866199</v>
      </c>
      <c r="T55" s="62">
        <f t="shared" si="34"/>
        <v>270.11268336406368</v>
      </c>
      <c r="U55" s="16">
        <f>IF(ISNA(VLOOKUP(A55,'Données projet'!$A$35:$I$55,3,0)),0,VLOOKUP(A55,'Données projet'!$A$35:$I$55,3,0))</f>
        <v>6</v>
      </c>
      <c r="V55" s="16">
        <f>IF(ISNA(VLOOKUP(A55,'Données projet'!$A$35:$I$55,4,0)),0,VLOOKUP(A55,'Données projet'!$A$35:$I$55,4,0))</f>
        <v>61.784615384615378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6.4735372286705202</v>
      </c>
      <c r="AA55" s="23">
        <f>EXP(-LN(2)/25)*AA54+(1-EXP(-LN(2)/25))/(LN(2)/25)*Calculateur!V55*Calculateur!X55*VLOOKUP('Données projet'!$B$9,Paramètres!$A$1:$I$89,3,0)*0.475*44/12</f>
        <v>8.9308074462064102</v>
      </c>
      <c r="AB55" s="23">
        <f>EXP(-LN(2)/2)*AB54+(1-EXP(-LN(2)/2))/(LN(2)/2)*V55*Y55*VLOOKUP('Données projet'!$B$9,Paramètres!$A$1:$I$89,3,0)*0.475*44/12</f>
        <v>3.0956840556268768E-3</v>
      </c>
      <c r="AC55" s="24">
        <f t="shared" si="3"/>
        <v>15.407440358932558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2">
        <f t="shared" si="5"/>
        <v>676.01954977643072</v>
      </c>
      <c r="AN55" s="62">
        <f ca="1">AVERAGE(OFFSET($AM$3,0,0,'Données projet'!$E$10+1,1))-AVERAGE(OFFSET($H$3,0,0,'Données projet'!$E$10+1,1))</f>
        <v>475.47920969424894</v>
      </c>
      <c r="AO55" s="62">
        <f t="shared" si="36"/>
        <v>271.73544012419364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156.53039999999999</v>
      </c>
      <c r="BF55" s="14">
        <f t="shared" si="37"/>
        <v>40.058941713182037</v>
      </c>
      <c r="BG55" s="22">
        <f t="shared" si="7"/>
        <v>342.393103483792</v>
      </c>
      <c r="BH55" s="62">
        <f t="shared" si="8"/>
        <v>635.72643681712532</v>
      </c>
      <c r="BI55" s="62">
        <f ca="1">AVERAGE(OFFSET($BH$3,0,0,'Données projet'!$E$11+1,1))-AVERAGE(OFFSET($H$3,0,0,'Données projet'!$E$11+1,1))</f>
        <v>428.8489304403459</v>
      </c>
      <c r="BJ55" s="62">
        <f t="shared" si="38"/>
        <v>247.01165577562966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4.4000000000000004</v>
      </c>
      <c r="BY55" s="13">
        <f>IF('Données projet'!$A$114&gt;35,BY54+BX55-CG54,IF(A55&lt;'Données projet'!$A$114,$BV$205^A55,IF(A55='Données projet'!$A$114,'Données projet'!$B$114,BY54+BX55-CG54)))</f>
        <v>147.79999999999995</v>
      </c>
      <c r="BZ55" s="14">
        <f>BY55*VLOOKUP('Données projet'!$B$12,Paramètres!$A$1:$I$89,3,0)*VLOOKUP('Données projet'!$B$12,Paramètres!$A$1:$I$89,5,0)</f>
        <v>119.89535999999997</v>
      </c>
      <c r="CA55" s="14">
        <f t="shared" si="39"/>
        <v>31.650592493512779</v>
      </c>
      <c r="CB55" s="22">
        <f t="shared" si="10"/>
        <v>263.94253392620135</v>
      </c>
      <c r="CC55" s="62">
        <f t="shared" si="11"/>
        <v>557.27586725953461</v>
      </c>
      <c r="CD55" s="62">
        <f ca="1">AVERAGE(OFFSET($CC$3,0,0,'Données projet'!$E$12+1,1))-AVERAGE(OFFSET($H$3,0,0,'Données projet'!$E$12+1,1))</f>
        <v>236.22643401787644</v>
      </c>
      <c r="CE55" s="62">
        <f t="shared" si="40"/>
        <v>188.80444043778022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10.737820512820514</v>
      </c>
      <c r="CT55" s="13">
        <f>IF('Données projet'!$A$140&gt;35,CT54+CS55-DB54,IF(A55&lt;'Données projet'!$A$140,$CQ$205^A55,IF(A55='Données projet'!$A$140,'Données projet'!$B$140,CT54+CS55-DB54)))</f>
        <v>232.57628205128196</v>
      </c>
      <c r="CU55" s="18">
        <f>CT55*VLOOKUP('Données projet'!$B$13,Paramètres!$A$1:$I$89,3,0)*VLOOKUP('Données projet'!$B$13,Paramètres!$A$1:$I$89,5,0)</f>
        <v>108.84569999999995</v>
      </c>
      <c r="CV55" s="14">
        <f t="shared" si="41"/>
        <v>29.058855741814973</v>
      </c>
      <c r="CW55" s="22">
        <f t="shared" si="13"/>
        <v>240.1837679169943</v>
      </c>
      <c r="CX55" s="62">
        <f t="shared" si="14"/>
        <v>533.51710125032764</v>
      </c>
      <c r="CY55" s="62">
        <f ca="1">AVERAGE(OFFSET($CX$3,0,0,'Données projet'!$E$13+1,1))-AVERAGE(OFFSET($H$3,0,0,'Données projet'!$E$13+1,1))</f>
        <v>246.73711856758143</v>
      </c>
      <c r="CZ55" s="62">
        <f t="shared" si="42"/>
        <v>145.54897745089966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5.6410256410256405</v>
      </c>
      <c r="DO55" s="13">
        <f>IF('Données projet'!$A$166&gt;35,DO54+DN55-DW54,IF(A55&lt;'Données projet'!$A$166,$DL$205^A55,IF(A55='Données projet'!$A$166,'Données projet'!$B$166,DO54+DN55-DW54)))</f>
        <v>190.12820512820505</v>
      </c>
      <c r="DP55" s="18">
        <f>DO55*VLOOKUP('Données projet'!$B$14,Paramètres!$A$1:$I$89,3,0)*VLOOKUP('Données projet'!$B$14,Paramètres!$A$1:$I$89,5,0)</f>
        <v>198.72199999999992</v>
      </c>
      <c r="DQ55" s="14">
        <f t="shared" si="43"/>
        <v>49.463197303970119</v>
      </c>
      <c r="DR55" s="22">
        <f t="shared" si="16"/>
        <v>432.25588530441445</v>
      </c>
      <c r="DS55" s="62">
        <f t="shared" si="17"/>
        <v>725.58921863774776</v>
      </c>
      <c r="DT55" s="62">
        <f ca="1">AVERAGE(OFFSET($DS$3,0,0,'Données projet'!$E$14+1,1))-AVERAGE(OFFSET($H$3,0,0,'Données projet'!$E$14+1,1))</f>
        <v>493.70175665335978</v>
      </c>
      <c r="DU55" s="62">
        <f t="shared" si="44"/>
        <v>325.12357781685949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3.4</v>
      </c>
      <c r="EJ55" s="13">
        <f>IF('Données projet'!$A$192&gt;35,EJ54+EI55-ER54,IF(A55&lt;'Données projet'!$A$192,$EG$205^A55,IF(A55='Données projet'!$A$192,'Données projet'!$B$192,EJ54+EI55-ER54)))</f>
        <v>122.79999999999995</v>
      </c>
      <c r="EK55" s="18">
        <f>EJ55*VLOOKUP('Données projet'!$B$15,Paramètres!$A$1:$I$89,3,0)*VLOOKUP('Données projet'!$B$15,Paramètres!$A$1:$I$89,5,0)</f>
        <v>107.27807999999999</v>
      </c>
      <c r="EL55" s="14">
        <f t="shared" si="45"/>
        <v>28.688746800886673</v>
      </c>
      <c r="EM55" s="22">
        <f t="shared" si="19"/>
        <v>236.80889001154424</v>
      </c>
      <c r="EN55" s="62">
        <f t="shared" si="20"/>
        <v>530.14222334487749</v>
      </c>
      <c r="EO55" s="62">
        <f ca="1">AVERAGE(OFFSET($EN$3,0,0,'Données projet'!$E$15+1,1))-AVERAGE(OFFSET($H$3,0,0,'Données projet'!$E$15+1,1))</f>
        <v>202.86354781280403</v>
      </c>
      <c r="EP55" s="62">
        <f t="shared" si="46"/>
        <v>217.25323885665131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4.8717948717948731</v>
      </c>
      <c r="FE55" s="13">
        <f>IF('Données projet'!$A$218&gt;35,FE54+FD55-FM54,IF(A55&lt;'Données projet'!$A$218,$FB$205^A55,IF(A55='Données projet'!$A$218,'Données projet'!$B$218,FE54+FD55-FM54)))</f>
        <v>168.07692307692301</v>
      </c>
      <c r="FF55" s="18">
        <f>FE55*VLOOKUP('Données projet'!$B$16,Paramètres!$A$1:$I$89,3,0)*VLOOKUP('Données projet'!$B$16,Paramètres!$A$1:$I$89,5,0)</f>
        <v>159.94199999999995</v>
      </c>
      <c r="FG55" s="14">
        <f t="shared" si="47"/>
        <v>40.829433068762448</v>
      </c>
      <c r="FH55" s="22">
        <f t="shared" si="22"/>
        <v>349.67691259476118</v>
      </c>
      <c r="FI55" s="62">
        <f t="shared" si="23"/>
        <v>643.01024592809449</v>
      </c>
      <c r="FJ55" s="62">
        <f ca="1">AVERAGE(OFFSET($FI$3,0,0,'Données projet'!$E$16+1,1))-AVERAGE(OFFSET($H$3,0,0,'Données projet'!$E$16+1,1))</f>
        <v>353.61481736740694</v>
      </c>
      <c r="FK55" s="62">
        <f t="shared" si="48"/>
        <v>244.7141066773861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4</v>
      </c>
      <c r="FZ55" s="13">
        <f>IF('Données projet'!$A$244&gt;35,FZ54+FY55-GH54,IF(A55&lt;'Données projet'!$A$244,$FW$205^A55,IF(A55='Données projet'!$A$244,'Données projet'!$B$244,FZ54+FY55-GH54)))</f>
        <v>102.99999999999997</v>
      </c>
      <c r="GA55" s="18">
        <f>FZ55*VLOOKUP('Données projet'!$B$17,Paramètres!$A$1:$I$89,3,0)*VLOOKUP('Données projet'!$B$17,Paramètres!$A$1:$I$89,5,0)</f>
        <v>110.86919999999998</v>
      </c>
      <c r="GB55" s="14">
        <f t="shared" si="49"/>
        <v>29.535680967701595</v>
      </c>
      <c r="GC55" s="22">
        <f t="shared" si="25"/>
        <v>244.53850101874687</v>
      </c>
      <c r="GD55" s="62">
        <f t="shared" si="26"/>
        <v>537.87183435208021</v>
      </c>
      <c r="GE55" s="62">
        <f ca="1">AVERAGE(OFFSET($GD$3,0,0,'Données projet'!$E$17+1,1))-AVERAGE(OFFSET($H$3,0,0,'Données projet'!$E$17+1,1))</f>
        <v>280.20599015000306</v>
      </c>
      <c r="GF55" s="62">
        <f t="shared" si="50"/>
        <v>166.97658184507787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5.6410256410256405</v>
      </c>
      <c r="GU55" s="13">
        <f>IF('Données projet'!$A$270&gt;35,GU54+GT55-HC54,IF(A55&lt;'Données projet'!$A$270,$GR$205^A55,IF(A55='Données projet'!$A$270,'Données projet'!$B$270,GU54+GT55-HC54)))</f>
        <v>199.74358974358967</v>
      </c>
      <c r="GV55" s="18">
        <f>GU55*VLOOKUP('Données projet'!$B$18,Paramètres!$A$1:$I$89,3,0)*VLOOKUP('Données projet'!$B$18,Paramètres!$A$1:$I$89,5,0)</f>
        <v>133.98799999999997</v>
      </c>
      <c r="GW55" s="14">
        <f t="shared" si="51"/>
        <v>34.916242264181065</v>
      </c>
      <c r="GX55" s="22">
        <f t="shared" si="28"/>
        <v>294.17488861011532</v>
      </c>
      <c r="GY55" s="62">
        <f t="shared" si="29"/>
        <v>587.50822194344869</v>
      </c>
      <c r="GZ55" s="62">
        <f ca="1">AVERAGE(OFFSET($GY$3,0,0,'Données projet'!$E$18+1,1))-AVERAGE(OFFSET($H$3,0,0,'Données projet'!$E$18+1,1))</f>
        <v>291.18686311753402</v>
      </c>
      <c r="HA55" s="62">
        <f t="shared" si="52"/>
        <v>215.44422413249839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9">
        <f t="shared" si="1"/>
        <v>256.66666666666669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10.464423076923076</v>
      </c>
      <c r="N56" s="14">
        <f>IF('Données projet'!$A$36&gt;35,N55+M56-V55,IF(A56&lt;'Données projet'!$A$36,$K$205^A56,IF(A56='Données projet'!$A$36,'Données projet'!$B$36,N55+M56-V55)))</f>
        <v>280.24903846153853</v>
      </c>
      <c r="O56" s="14">
        <f>N56*VLOOKUP('Données projet'!$B$9,Paramètres!$A$1:$I$89,3,0)*VLOOKUP('Données projet'!$B$9,Paramètres!$A$1:$I$89,5,0)</f>
        <v>167.58892500000007</v>
      </c>
      <c r="P56" s="14">
        <f t="shared" si="33"/>
        <v>42.549574883574216</v>
      </c>
      <c r="Q56" s="22">
        <f t="shared" si="53"/>
        <v>365.99122063055853</v>
      </c>
      <c r="R56" s="62">
        <f t="shared" si="0"/>
        <v>659.32455396389184</v>
      </c>
      <c r="S56" s="62">
        <f ca="1">AVERAGE(OFFSET($R$3,0,0,'Données projet'!$E$9+1,1))-AVERAGE(OFFSET($H$3,0,0,'Données projet'!$E$9+1,1))</f>
        <v>260.02504691866199</v>
      </c>
      <c r="T56" s="62">
        <f t="shared" si="34"/>
        <v>270.11268336406368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6.3465951120841222</v>
      </c>
      <c r="AA56" s="23">
        <f>EXP(-LN(2)/25)*AA55+(1-EXP(-LN(2)/25))/(LN(2)/25)*Calculateur!V56*Calculateur!X56*VLOOKUP('Données projet'!$B$9,Paramètres!$A$1:$I$89,3,0)*0.475*44/12</f>
        <v>8.6865940469391436</v>
      </c>
      <c r="AB56" s="23">
        <f>EXP(-LN(2)/2)*AB55+(1-EXP(-LN(2)/2))/(LN(2)/2)*V56*Y56*VLOOKUP('Données projet'!$B$9,Paramètres!$A$1:$I$89,3,0)*0.475*44/12</f>
        <v>2.188979188144838E-3</v>
      </c>
      <c r="AC56" s="24">
        <f t="shared" si="3"/>
        <v>15.03537813821141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2">
        <f t="shared" si="5"/>
        <v>693.29235603832899</v>
      </c>
      <c r="AN56" s="62">
        <f ca="1">AVERAGE(OFFSET($AM$3,0,0,'Données projet'!$E$10+1,1))-AVERAGE(OFFSET($H$3,0,0,'Données projet'!$E$10+1,1))</f>
        <v>475.47920969424894</v>
      </c>
      <c r="AO56" s="62">
        <f t="shared" si="36"/>
        <v>271.73544012419364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163.7688</v>
      </c>
      <c r="BF56" s="14">
        <f t="shared" si="37"/>
        <v>41.691423503509803</v>
      </c>
      <c r="BG56" s="22">
        <f t="shared" si="7"/>
        <v>357.84322260194625</v>
      </c>
      <c r="BH56" s="62">
        <f t="shared" si="8"/>
        <v>651.17655593527957</v>
      </c>
      <c r="BI56" s="62">
        <f ca="1">AVERAGE(OFFSET($BH$3,0,0,'Données projet'!$E$11+1,1))-AVERAGE(OFFSET($H$3,0,0,'Données projet'!$E$11+1,1))</f>
        <v>428.8489304403459</v>
      </c>
      <c r="BJ56" s="62">
        <f t="shared" si="38"/>
        <v>247.01165577562966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4.4000000000000004</v>
      </c>
      <c r="BY56" s="13">
        <f>IF('Données projet'!$A$114&gt;35,BY55+BX56-CG55,IF(A56&lt;'Données projet'!$A$114,$BV$205^A56,IF(A56='Données projet'!$A$114,'Données projet'!$B$114,BY55+BX56-CG55)))</f>
        <v>152.19999999999996</v>
      </c>
      <c r="BZ56" s="14">
        <f>BY56*VLOOKUP('Données projet'!$B$12,Paramètres!$A$1:$I$89,3,0)*VLOOKUP('Données projet'!$B$12,Paramètres!$A$1:$I$89,5,0)</f>
        <v>123.46463999999997</v>
      </c>
      <c r="CA56" s="14">
        <f t="shared" si="39"/>
        <v>32.481726206916214</v>
      </c>
      <c r="CB56" s="22">
        <f t="shared" si="10"/>
        <v>271.60658781037904</v>
      </c>
      <c r="CC56" s="62">
        <f t="shared" si="11"/>
        <v>564.93992114371235</v>
      </c>
      <c r="CD56" s="62">
        <f ca="1">AVERAGE(OFFSET($CC$3,0,0,'Données projet'!$E$12+1,1))-AVERAGE(OFFSET($H$3,0,0,'Données projet'!$E$12+1,1))</f>
        <v>236.22643401787644</v>
      </c>
      <c r="CE56" s="62">
        <f t="shared" si="40"/>
        <v>188.80444043778022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10.737820512820514</v>
      </c>
      <c r="CT56" s="13">
        <f>IF('Données projet'!$A$140&gt;35,CT55+CS56-DB55,IF(A56&lt;'Données projet'!$A$140,$CQ$205^A56,IF(A56='Données projet'!$A$140,'Données projet'!$B$140,CT55+CS56-DB55)))</f>
        <v>243.31410256410248</v>
      </c>
      <c r="CU56" s="18">
        <f>CT56*VLOOKUP('Données projet'!$B$13,Paramètres!$A$1:$I$89,3,0)*VLOOKUP('Données projet'!$B$13,Paramètres!$A$1:$I$89,5,0)</f>
        <v>113.87099999999997</v>
      </c>
      <c r="CV56" s="14">
        <f t="shared" si="41"/>
        <v>30.241178427164034</v>
      </c>
      <c r="CW56" s="22">
        <f t="shared" si="13"/>
        <v>250.99537742731059</v>
      </c>
      <c r="CX56" s="62">
        <f t="shared" si="14"/>
        <v>544.32871076064384</v>
      </c>
      <c r="CY56" s="62">
        <f ca="1">AVERAGE(OFFSET($CX$3,0,0,'Données projet'!$E$13+1,1))-AVERAGE(OFFSET($H$3,0,0,'Données projet'!$E$13+1,1))</f>
        <v>246.73711856758143</v>
      </c>
      <c r="CZ56" s="62">
        <f t="shared" si="42"/>
        <v>145.54897745089966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5.6410256410256405</v>
      </c>
      <c r="DO56" s="13">
        <f>IF('Données projet'!$A$166&gt;35,DO55+DN56-DW55,IF(A56&lt;'Données projet'!$A$166,$DL$205^A56,IF(A56='Données projet'!$A$166,'Données projet'!$B$166,DO55+DN56-DW55)))</f>
        <v>195.76923076923069</v>
      </c>
      <c r="DP56" s="18">
        <f>DO56*VLOOKUP('Données projet'!$B$14,Paramètres!$A$1:$I$89,3,0)*VLOOKUP('Données projet'!$B$14,Paramètres!$A$1:$I$89,5,0)</f>
        <v>204.61799999999994</v>
      </c>
      <c r="DQ56" s="14">
        <f t="shared" si="43"/>
        <v>50.757712073649664</v>
      </c>
      <c r="DR56" s="22">
        <f t="shared" si="16"/>
        <v>444.77936519493966</v>
      </c>
      <c r="DS56" s="62">
        <f t="shared" si="17"/>
        <v>738.11269852827297</v>
      </c>
      <c r="DT56" s="62">
        <f ca="1">AVERAGE(OFFSET($DS$3,0,0,'Données projet'!$E$14+1,1))-AVERAGE(OFFSET($H$3,0,0,'Données projet'!$E$14+1,1))</f>
        <v>493.70175665335978</v>
      </c>
      <c r="DU56" s="62">
        <f t="shared" si="44"/>
        <v>325.12357781685949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3.4</v>
      </c>
      <c r="EJ56" s="13">
        <f>IF('Données projet'!$A$192&gt;35,EJ55+EI56-ER55,IF(A56&lt;'Données projet'!$A$192,$EG$205^A56,IF(A56='Données projet'!$A$192,'Données projet'!$B$192,EJ55+EI56-ER55)))</f>
        <v>126.19999999999996</v>
      </c>
      <c r="EK56" s="18">
        <f>EJ56*VLOOKUP('Données projet'!$B$15,Paramètres!$A$1:$I$89,3,0)*VLOOKUP('Données projet'!$B$15,Paramètres!$A$1:$I$89,5,0)</f>
        <v>110.24831999999998</v>
      </c>
      <c r="EL56" s="14">
        <f t="shared" si="45"/>
        <v>29.389483021072536</v>
      </c>
      <c r="EM56" s="22">
        <f t="shared" si="19"/>
        <v>243.20250692836794</v>
      </c>
      <c r="EN56" s="62">
        <f t="shared" si="20"/>
        <v>536.5358402617012</v>
      </c>
      <c r="EO56" s="62">
        <f ca="1">AVERAGE(OFFSET($EN$3,0,0,'Données projet'!$E$15+1,1))-AVERAGE(OFFSET($H$3,0,0,'Données projet'!$E$15+1,1))</f>
        <v>202.86354781280403</v>
      </c>
      <c r="EP56" s="62">
        <f t="shared" si="46"/>
        <v>217.25323885665131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4.8717948717948731</v>
      </c>
      <c r="FE56" s="13">
        <f>IF('Données projet'!$A$218&gt;35,FE55+FD56-FM55,IF(A56&lt;'Données projet'!$A$218,$FB$205^A56,IF(A56='Données projet'!$A$218,'Données projet'!$B$218,FE55+FD56-FM55)))</f>
        <v>172.94871794871787</v>
      </c>
      <c r="FF56" s="18">
        <f>FE56*VLOOKUP('Données projet'!$B$16,Paramètres!$A$1:$I$89,3,0)*VLOOKUP('Données projet'!$B$16,Paramètres!$A$1:$I$89,5,0)</f>
        <v>164.57799999999992</v>
      </c>
      <c r="FG56" s="14">
        <f t="shared" si="47"/>
        <v>41.873394619387192</v>
      </c>
      <c r="FH56" s="22">
        <f t="shared" si="22"/>
        <v>359.56951229543256</v>
      </c>
      <c r="FI56" s="62">
        <f t="shared" si="23"/>
        <v>652.90284562876582</v>
      </c>
      <c r="FJ56" s="62">
        <f ca="1">AVERAGE(OFFSET($FI$3,0,0,'Données projet'!$E$16+1,1))-AVERAGE(OFFSET($H$3,0,0,'Données projet'!$E$16+1,1))</f>
        <v>353.61481736740694</v>
      </c>
      <c r="FK56" s="62">
        <f t="shared" si="48"/>
        <v>244.7141066773861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4</v>
      </c>
      <c r="FZ56" s="13">
        <f>IF('Données projet'!$A$244&gt;35,FZ55+FY56-GH55,IF(A56&lt;'Données projet'!$A$244,$FW$205^A56,IF(A56='Données projet'!$A$244,'Données projet'!$B$244,FZ55+FY56-GH55)))</f>
        <v>106.99999999999997</v>
      </c>
      <c r="GA56" s="18">
        <f>FZ56*VLOOKUP('Données projet'!$B$17,Paramètres!$A$1:$I$89,3,0)*VLOOKUP('Données projet'!$B$17,Paramètres!$A$1:$I$89,5,0)</f>
        <v>115.17479999999996</v>
      </c>
      <c r="GB56" s="14">
        <f t="shared" si="49"/>
        <v>30.546926681092497</v>
      </c>
      <c r="GC56" s="22">
        <f t="shared" si="25"/>
        <v>253.79867396956936</v>
      </c>
      <c r="GD56" s="62">
        <f t="shared" si="26"/>
        <v>547.13200730290271</v>
      </c>
      <c r="GE56" s="62">
        <f ca="1">AVERAGE(OFFSET($GD$3,0,0,'Données projet'!$E$17+1,1))-AVERAGE(OFFSET($H$3,0,0,'Données projet'!$E$17+1,1))</f>
        <v>280.20599015000306</v>
      </c>
      <c r="GF56" s="62">
        <f t="shared" si="50"/>
        <v>166.97658184507787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5.6410256410256405</v>
      </c>
      <c r="GU56" s="13">
        <f>IF('Données projet'!$A$270&gt;35,GU55+GT56-HC55,IF(A56&lt;'Données projet'!$A$270,$GR$205^A56,IF(A56='Données projet'!$A$270,'Données projet'!$B$270,GU55+GT56-HC55)))</f>
        <v>205.3846153846153</v>
      </c>
      <c r="GV56" s="18">
        <f>GU56*VLOOKUP('Données projet'!$B$18,Paramètres!$A$1:$I$89,3,0)*VLOOKUP('Données projet'!$B$18,Paramètres!$A$1:$I$89,5,0)</f>
        <v>137.77199999999993</v>
      </c>
      <c r="GW56" s="14">
        <f t="shared" si="51"/>
        <v>35.786126416547233</v>
      </c>
      <c r="GX56" s="22">
        <f t="shared" si="28"/>
        <v>302.28040350881963</v>
      </c>
      <c r="GY56" s="62">
        <f t="shared" si="29"/>
        <v>595.613736842153</v>
      </c>
      <c r="GZ56" s="62">
        <f ca="1">AVERAGE(OFFSET($GY$3,0,0,'Données projet'!$E$18+1,1))-AVERAGE(OFFSET($H$3,0,0,'Données projet'!$E$18+1,1))</f>
        <v>291.18686311753402</v>
      </c>
      <c r="HA56" s="62">
        <f t="shared" si="52"/>
        <v>215.44422413249839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9">
        <f t="shared" si="1"/>
        <v>256.66666666666669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10.464423076923076</v>
      </c>
      <c r="N57" s="14">
        <f>IF('Données projet'!$A$36&gt;35,N56+M57-V56,IF(A57&lt;'Données projet'!$A$36,$K$205^A57,IF(A57='Données projet'!$A$36,'Données projet'!$B$36,N56+M57-V56)))</f>
        <v>290.71346153846162</v>
      </c>
      <c r="O57" s="14">
        <f>N57*VLOOKUP('Données projet'!$B$9,Paramètres!$A$1:$I$89,3,0)*VLOOKUP('Données projet'!$B$9,Paramètres!$A$1:$I$89,5,0)</f>
        <v>173.84665000000007</v>
      </c>
      <c r="P57" s="14">
        <f t="shared" si="33"/>
        <v>43.9504201164318</v>
      </c>
      <c r="Q57" s="22">
        <f t="shared" si="53"/>
        <v>379.3298971194522</v>
      </c>
      <c r="R57" s="62">
        <f t="shared" si="0"/>
        <v>672.66323045278546</v>
      </c>
      <c r="S57" s="62">
        <f ca="1">AVERAGE(OFFSET($R$3,0,0,'Données projet'!$E$9+1,1))-AVERAGE(OFFSET($H$3,0,0,'Données projet'!$E$9+1,1))</f>
        <v>260.02504691866199</v>
      </c>
      <c r="T57" s="62">
        <f t="shared" si="34"/>
        <v>270.11268336406368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6.222142252976937</v>
      </c>
      <c r="AA57" s="23">
        <f>EXP(-LN(2)/25)*AA56+(1-EXP(-LN(2)/25))/(LN(2)/25)*Calculateur!V57*Calculateur!X57*VLOOKUP('Données projet'!$B$9,Paramètres!$A$1:$I$89,3,0)*0.475*44/12</f>
        <v>8.4490586759174651</v>
      </c>
      <c r="AB57" s="23">
        <f>EXP(-LN(2)/2)*AB56+(1-EXP(-LN(2)/2))/(LN(2)/2)*V57*Y57*VLOOKUP('Données projet'!$B$9,Paramètres!$A$1:$I$89,3,0)*0.475*44/12</f>
        <v>1.5478420278134384E-3</v>
      </c>
      <c r="AC57" s="24">
        <f t="shared" si="3"/>
        <v>14.672748770922215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2">
        <f t="shared" si="5"/>
        <v>710.54902110468288</v>
      </c>
      <c r="AN57" s="62">
        <f ca="1">AVERAGE(OFFSET($AM$3,0,0,'Données projet'!$E$10+1,1))-AVERAGE(OFFSET($H$3,0,0,'Données projet'!$E$10+1,1))</f>
        <v>475.47920969424894</v>
      </c>
      <c r="AO57" s="62">
        <f t="shared" si="36"/>
        <v>271.73544012419364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171.00719999999998</v>
      </c>
      <c r="BF57" s="14">
        <f t="shared" si="37"/>
        <v>43.315525267338089</v>
      </c>
      <c r="BG57" s="22">
        <f t="shared" si="7"/>
        <v>373.27874650728046</v>
      </c>
      <c r="BH57" s="62">
        <f t="shared" si="8"/>
        <v>666.61207984061377</v>
      </c>
      <c r="BI57" s="62">
        <f ca="1">AVERAGE(OFFSET($BH$3,0,0,'Données projet'!$E$11+1,1))-AVERAGE(OFFSET($H$3,0,0,'Données projet'!$E$11+1,1))</f>
        <v>428.8489304403459</v>
      </c>
      <c r="BJ57" s="62">
        <f t="shared" si="38"/>
        <v>247.01165577562966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4.4000000000000004</v>
      </c>
      <c r="BY57" s="13">
        <f>IF('Données projet'!$A$114&gt;35,BY56+BX57-CG56,IF(A57&lt;'Données projet'!$A$114,$BV$205^A57,IF(A57='Données projet'!$A$114,'Données projet'!$B$114,BY56+BX57-CG56)))</f>
        <v>156.59999999999997</v>
      </c>
      <c r="BZ57" s="14">
        <f>BY57*VLOOKUP('Données projet'!$B$12,Paramètres!$A$1:$I$89,3,0)*VLOOKUP('Données projet'!$B$12,Paramètres!$A$1:$I$89,5,0)</f>
        <v>127.03391999999998</v>
      </c>
      <c r="CA57" s="14">
        <f t="shared" si="39"/>
        <v>33.31006740655728</v>
      </c>
      <c r="CB57" s="22">
        <f t="shared" si="10"/>
        <v>279.26577806642058</v>
      </c>
      <c r="CC57" s="62">
        <f t="shared" si="11"/>
        <v>572.59911139975384</v>
      </c>
      <c r="CD57" s="62">
        <f ca="1">AVERAGE(OFFSET($CC$3,0,0,'Données projet'!$E$12+1,1))-AVERAGE(OFFSET($H$3,0,0,'Données projet'!$E$12+1,1))</f>
        <v>236.22643401787644</v>
      </c>
      <c r="CE57" s="62">
        <f t="shared" si="40"/>
        <v>188.80444043778022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10.737820512820514</v>
      </c>
      <c r="CT57" s="13">
        <f>IF('Données projet'!$A$140&gt;35,CT56+CS57-DB56,IF(A57&lt;'Données projet'!$A$140,$CQ$205^A57,IF(A57='Données projet'!$A$140,'Données projet'!$B$140,CT56+CS57-DB56)))</f>
        <v>254.051923076923</v>
      </c>
      <c r="CU57" s="18">
        <f>CT57*VLOOKUP('Données projet'!$B$13,Paramètres!$A$1:$I$89,3,0)*VLOOKUP('Données projet'!$B$13,Paramètres!$A$1:$I$89,5,0)</f>
        <v>118.89629999999995</v>
      </c>
      <c r="CV57" s="14">
        <f t="shared" si="41"/>
        <v>31.41744112453749</v>
      </c>
      <c r="CW57" s="22">
        <f t="shared" si="13"/>
        <v>261.79643245856937</v>
      </c>
      <c r="CX57" s="62">
        <f t="shared" si="14"/>
        <v>555.12976579190263</v>
      </c>
      <c r="CY57" s="62">
        <f ca="1">AVERAGE(OFFSET($CX$3,0,0,'Données projet'!$E$13+1,1))-AVERAGE(OFFSET($H$3,0,0,'Données projet'!$E$13+1,1))</f>
        <v>246.73711856758143</v>
      </c>
      <c r="CZ57" s="62">
        <f t="shared" si="42"/>
        <v>145.54897745089966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5.6410256410256405</v>
      </c>
      <c r="DO57" s="13">
        <f>IF('Données projet'!$A$166&gt;35,DO56+DN57-DW56,IF(A57&lt;'Données projet'!$A$166,$DL$205^A57,IF(A57='Données projet'!$A$166,'Données projet'!$B$166,DO56+DN57-DW56)))</f>
        <v>201.41025641025632</v>
      </c>
      <c r="DP57" s="18">
        <f>DO57*VLOOKUP('Données projet'!$B$14,Paramètres!$A$1:$I$89,3,0)*VLOOKUP('Données projet'!$B$14,Paramètres!$A$1:$I$89,5,0)</f>
        <v>210.51399999999992</v>
      </c>
      <c r="DQ57" s="14">
        <f t="shared" si="43"/>
        <v>52.047891644487855</v>
      </c>
      <c r="DR57" s="22">
        <f t="shared" si="16"/>
        <v>457.2952946141495</v>
      </c>
      <c r="DS57" s="62">
        <f t="shared" si="17"/>
        <v>750.62862794748276</v>
      </c>
      <c r="DT57" s="62">
        <f ca="1">AVERAGE(OFFSET($DS$3,0,0,'Données projet'!$E$14+1,1))-AVERAGE(OFFSET($H$3,0,0,'Données projet'!$E$14+1,1))</f>
        <v>493.70175665335978</v>
      </c>
      <c r="DU57" s="62">
        <f t="shared" si="44"/>
        <v>325.12357781685949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3.4</v>
      </c>
      <c r="EJ57" s="13">
        <f>IF('Données projet'!$A$192&gt;35,EJ56+EI57-ER56,IF(A57&lt;'Données projet'!$A$192,$EG$205^A57,IF(A57='Données projet'!$A$192,'Données projet'!$B$192,EJ56+EI57-ER56)))</f>
        <v>129.59999999999997</v>
      </c>
      <c r="EK57" s="18">
        <f>EJ57*VLOOKUP('Données projet'!$B$15,Paramètres!$A$1:$I$89,3,0)*VLOOKUP('Données projet'!$B$15,Paramètres!$A$1:$I$89,5,0)</f>
        <v>113.21856</v>
      </c>
      <c r="EL57" s="14">
        <f t="shared" si="45"/>
        <v>30.088024911766389</v>
      </c>
      <c r="EM57" s="22">
        <f t="shared" si="19"/>
        <v>249.59230205465974</v>
      </c>
      <c r="EN57" s="62">
        <f t="shared" si="20"/>
        <v>542.925635387993</v>
      </c>
      <c r="EO57" s="62">
        <f ca="1">AVERAGE(OFFSET($EN$3,0,0,'Données projet'!$E$15+1,1))-AVERAGE(OFFSET($H$3,0,0,'Données projet'!$E$15+1,1))</f>
        <v>202.86354781280403</v>
      </c>
      <c r="EP57" s="62">
        <f t="shared" si="46"/>
        <v>217.25323885665131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4.8717948717948731</v>
      </c>
      <c r="FE57" s="13">
        <f>IF('Données projet'!$A$218&gt;35,FE56+FD57-FM56,IF(A57&lt;'Données projet'!$A$218,$FB$205^A57,IF(A57='Données projet'!$A$218,'Données projet'!$B$218,FE56+FD57-FM56)))</f>
        <v>177.82051282051273</v>
      </c>
      <c r="FF57" s="18">
        <f>FE57*VLOOKUP('Données projet'!$B$16,Paramètres!$A$1:$I$89,3,0)*VLOOKUP('Données projet'!$B$16,Paramètres!$A$1:$I$89,5,0)</f>
        <v>169.21399999999991</v>
      </c>
      <c r="FG57" s="14">
        <f t="shared" si="47"/>
        <v>42.913938280485205</v>
      </c>
      <c r="FH57" s="22">
        <f t="shared" si="22"/>
        <v>369.45615917184494</v>
      </c>
      <c r="FI57" s="62">
        <f t="shared" si="23"/>
        <v>662.78949250517826</v>
      </c>
      <c r="FJ57" s="62">
        <f ca="1">AVERAGE(OFFSET($FI$3,0,0,'Données projet'!$E$16+1,1))-AVERAGE(OFFSET($H$3,0,0,'Données projet'!$E$16+1,1))</f>
        <v>353.61481736740694</v>
      </c>
      <c r="FK57" s="62">
        <f t="shared" si="48"/>
        <v>244.7141066773861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4</v>
      </c>
      <c r="FZ57" s="13">
        <f>IF('Données projet'!$A$244&gt;35,FZ56+FY57-GH56,IF(A57&lt;'Données projet'!$A$244,$FW$205^A57,IF(A57='Données projet'!$A$244,'Données projet'!$B$244,FZ56+FY57-GH56)))</f>
        <v>110.99999999999997</v>
      </c>
      <c r="GA57" s="18">
        <f>FZ57*VLOOKUP('Données projet'!$B$17,Paramètres!$A$1:$I$89,3,0)*VLOOKUP('Données projet'!$B$17,Paramètres!$A$1:$I$89,5,0)</f>
        <v>119.48039999999996</v>
      </c>
      <c r="GB57" s="14">
        <f t="shared" si="49"/>
        <v>31.553780537454912</v>
      </c>
      <c r="GC57" s="22">
        <f t="shared" si="25"/>
        <v>263.05119776940052</v>
      </c>
      <c r="GD57" s="62">
        <f t="shared" si="26"/>
        <v>556.38453110273383</v>
      </c>
      <c r="GE57" s="62">
        <f ca="1">AVERAGE(OFFSET($GD$3,0,0,'Données projet'!$E$17+1,1))-AVERAGE(OFFSET($H$3,0,0,'Données projet'!$E$17+1,1))</f>
        <v>280.20599015000306</v>
      </c>
      <c r="GF57" s="62">
        <f t="shared" si="50"/>
        <v>166.97658184507787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5.6410256410256405</v>
      </c>
      <c r="GU57" s="13">
        <f>IF('Données projet'!$A$270&gt;35,GU56+GT57-HC56,IF(A57&lt;'Données projet'!$A$270,$GR$205^A57,IF(A57='Données projet'!$A$270,'Données projet'!$B$270,GU56+GT57-HC56)))</f>
        <v>211.02564102564094</v>
      </c>
      <c r="GV57" s="18">
        <f>GU57*VLOOKUP('Données projet'!$B$18,Paramètres!$A$1:$I$89,3,0)*VLOOKUP('Données projet'!$B$18,Paramètres!$A$1:$I$89,5,0)</f>
        <v>141.55599999999995</v>
      </c>
      <c r="GW57" s="14">
        <f t="shared" si="51"/>
        <v>36.653233617821797</v>
      </c>
      <c r="GX57" s="22">
        <f t="shared" si="28"/>
        <v>310.38108188437286</v>
      </c>
      <c r="GY57" s="62">
        <f t="shared" si="29"/>
        <v>603.71441521770612</v>
      </c>
      <c r="GZ57" s="62">
        <f ca="1">AVERAGE(OFFSET($GY$3,0,0,'Données projet'!$E$18+1,1))-AVERAGE(OFFSET($H$3,0,0,'Données projet'!$E$18+1,1))</f>
        <v>291.18686311753402</v>
      </c>
      <c r="HA57" s="62">
        <f t="shared" si="52"/>
        <v>215.44422413249839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9">
        <f t="shared" si="1"/>
        <v>256.66666666666669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10.464423076923076</v>
      </c>
      <c r="N58" s="14">
        <f>IF('Données projet'!$A$36&gt;35,N57+M58-V57,IF(A58&lt;'Données projet'!$A$36,$K$205^A58,IF(A58='Données projet'!$A$36,'Données projet'!$B$36,N57+M58-V57)))</f>
        <v>301.1778846153847</v>
      </c>
      <c r="O58" s="14">
        <f>N58*VLOOKUP('Données projet'!$B$9,Paramètres!$A$1:$I$89,3,0)*VLOOKUP('Données projet'!$B$9,Paramètres!$A$1:$I$89,5,0)</f>
        <v>180.10437500000006</v>
      </c>
      <c r="P58" s="14">
        <f t="shared" si="33"/>
        <v>45.345406897560061</v>
      </c>
      <c r="Q58" s="22">
        <f t="shared" si="53"/>
        <v>392.65837013825052</v>
      </c>
      <c r="R58" s="62">
        <f t="shared" si="0"/>
        <v>685.99170347158383</v>
      </c>
      <c r="S58" s="62">
        <f ca="1">AVERAGE(OFFSET($R$3,0,0,'Données projet'!$E$9+1,1))-AVERAGE(OFFSET($H$3,0,0,'Données projet'!$E$9+1,1))</f>
        <v>260.02504691866199</v>
      </c>
      <c r="T58" s="62">
        <f t="shared" si="34"/>
        <v>270.11268336406368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6.1001298385280958</v>
      </c>
      <c r="AA58" s="23">
        <f>EXP(-LN(2)/25)*AA57+(1-EXP(-LN(2)/25))/(LN(2)/25)*Calculateur!V58*Calculateur!X58*VLOOKUP('Données projet'!$B$9,Paramètres!$A$1:$I$89,3,0)*0.475*44/12</f>
        <v>8.218018722107816</v>
      </c>
      <c r="AB58" s="23">
        <f>EXP(-LN(2)/2)*AB57+(1-EXP(-LN(2)/2))/(LN(2)/2)*V58*Y58*VLOOKUP('Données projet'!$B$9,Paramètres!$A$1:$I$89,3,0)*0.475*44/12</f>
        <v>1.094489594072419E-3</v>
      </c>
      <c r="AC58" s="24">
        <f t="shared" si="3"/>
        <v>14.319243050229984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2">
        <f t="shared" si="5"/>
        <v>727.79030631599562</v>
      </c>
      <c r="AN58" s="62">
        <f ca="1">AVERAGE(OFFSET($AM$3,0,0,'Données projet'!$E$10+1,1))-AVERAGE(OFFSET($H$3,0,0,'Données projet'!$E$10+1,1))</f>
        <v>475.47920969424894</v>
      </c>
      <c r="AO58" s="62">
        <f t="shared" si="36"/>
        <v>271.73544012419364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178.2456</v>
      </c>
      <c r="BF58" s="14">
        <f t="shared" si="37"/>
        <v>44.931642269910427</v>
      </c>
      <c r="BG58" s="22">
        <f t="shared" si="7"/>
        <v>388.70036362009404</v>
      </c>
      <c r="BH58" s="62">
        <f t="shared" si="8"/>
        <v>682.03369695342735</v>
      </c>
      <c r="BI58" s="62">
        <f ca="1">AVERAGE(OFFSET($BH$3,0,0,'Données projet'!$E$11+1,1))-AVERAGE(OFFSET($H$3,0,0,'Données projet'!$E$11+1,1))</f>
        <v>428.8489304403459</v>
      </c>
      <c r="BJ58" s="62">
        <f t="shared" si="38"/>
        <v>247.01165577562966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161</v>
      </c>
      <c r="BW58" s="13">
        <f>VLOOKUP(A58,'Données projet'!$A$113:$I$133,9,0)</f>
        <v>4.4000000000000004</v>
      </c>
      <c r="BX58" s="13">
        <f t="array" ref="BX58">INDEX(BW:BW,MIN(IF(ISNUMBER(BW58:BW254),ROW(BW58:BW254),"")))</f>
        <v>4.4000000000000004</v>
      </c>
      <c r="BY58" s="13">
        <f>IF('Données projet'!$A$114&gt;35,BY57+BX58-CG57,IF(A58&lt;'Données projet'!$A$114,$BV$205^A58,IF(A58='Données projet'!$A$114,'Données projet'!$B$114,BY57+BX58-CG57)))</f>
        <v>160.99999999999997</v>
      </c>
      <c r="BZ58" s="14">
        <f>BY58*VLOOKUP('Données projet'!$B$12,Paramètres!$A$1:$I$89,3,0)*VLOOKUP('Données projet'!$B$12,Paramètres!$A$1:$I$89,5,0)</f>
        <v>130.60319999999999</v>
      </c>
      <c r="CA58" s="14">
        <f t="shared" si="39"/>
        <v>34.135703567016428</v>
      </c>
      <c r="CB58" s="22">
        <f t="shared" si="10"/>
        <v>286.9202570458869</v>
      </c>
      <c r="CC58" s="62">
        <f t="shared" si="11"/>
        <v>580.25359037922021</v>
      </c>
      <c r="CD58" s="62">
        <f ca="1">AVERAGE(OFFSET($CC$3,0,0,'Données projet'!$E$12+1,1))-AVERAGE(OFFSET($H$3,0,0,'Données projet'!$E$12+1,1))</f>
        <v>236.22643401787644</v>
      </c>
      <c r="CE58" s="62">
        <f t="shared" si="40"/>
        <v>188.80444043778022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22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10.737820512820514</v>
      </c>
      <c r="CT58" s="13">
        <f>IF('Données projet'!$A$140&gt;35,CT57+CS58-DB57,IF(A58&lt;'Données projet'!$A$140,$CQ$205^A58,IF(A58='Données projet'!$A$140,'Données projet'!$B$140,CT57+CS58-DB57)))</f>
        <v>264.78974358974352</v>
      </c>
      <c r="CU58" s="18">
        <f>CT58*VLOOKUP('Données projet'!$B$13,Paramètres!$A$1:$I$89,3,0)*VLOOKUP('Données projet'!$B$13,Paramètres!$A$1:$I$89,5,0)</f>
        <v>123.92159999999997</v>
      </c>
      <c r="CV58" s="14">
        <f t="shared" si="41"/>
        <v>32.587929251863358</v>
      </c>
      <c r="CW58" s="22">
        <f t="shared" si="13"/>
        <v>272.58743011366198</v>
      </c>
      <c r="CX58" s="62">
        <f t="shared" si="14"/>
        <v>565.92076344699535</v>
      </c>
      <c r="CY58" s="62">
        <f ca="1">AVERAGE(OFFSET($CX$3,0,0,'Données projet'!$E$13+1,1))-AVERAGE(OFFSET($H$3,0,0,'Données projet'!$E$13+1,1))</f>
        <v>246.73711856758143</v>
      </c>
      <c r="CZ58" s="62">
        <f t="shared" si="42"/>
        <v>145.54897745089966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207.05128205128204</v>
      </c>
      <c r="DM58" s="13">
        <f>VLOOKUP(A58,'Données projet'!$A$165:$I$185,9,0)</f>
        <v>5.6410256410256405</v>
      </c>
      <c r="DN58" s="13">
        <f t="array" ref="DN58">INDEX(DM:DM,MIN(IF(ISNUMBER(DM58:DM254),ROW(DM58:DM254),"")))</f>
        <v>5.6410256410256405</v>
      </c>
      <c r="DO58" s="13">
        <f>IF('Données projet'!$A$166&gt;35,DO57+DN58-DW57,IF(A58&lt;'Données projet'!$A$166,$DL$205^A58,IF(A58='Données projet'!$A$166,'Données projet'!$B$166,DO57+DN58-DW57)))</f>
        <v>207.05128205128196</v>
      </c>
      <c r="DP58" s="18">
        <f>DO58*VLOOKUP('Données projet'!$B$14,Paramètres!$A$1:$I$89,3,0)*VLOOKUP('Données projet'!$B$14,Paramètres!$A$1:$I$89,5,0)</f>
        <v>216.40999999999991</v>
      </c>
      <c r="DQ58" s="14">
        <f t="shared" si="43"/>
        <v>53.333871383439472</v>
      </c>
      <c r="DR58" s="22">
        <f t="shared" si="16"/>
        <v>469.80390932615688</v>
      </c>
      <c r="DS58" s="62">
        <f t="shared" si="17"/>
        <v>763.1372426594902</v>
      </c>
      <c r="DT58" s="62">
        <f ca="1">AVERAGE(OFFSET($DS$3,0,0,'Données projet'!$E$14+1,1))-AVERAGE(OFFSET($H$3,0,0,'Données projet'!$E$14+1,1))</f>
        <v>493.70175665335978</v>
      </c>
      <c r="DU58" s="62">
        <f t="shared" si="44"/>
        <v>325.12357781685949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133</v>
      </c>
      <c r="EH58" s="13">
        <f>VLOOKUP(A58,'Données projet'!$A$191:$I$211,9,0)</f>
        <v>3.4</v>
      </c>
      <c r="EI58" s="13">
        <f t="array" ref="EI58">INDEX(EH:EH,MIN(IF(ISNUMBER(EH58:EH254),ROW(EH58:EH254),"")))</f>
        <v>3.4</v>
      </c>
      <c r="EJ58" s="13">
        <f>IF('Données projet'!$A$192&gt;35,EJ57+EI58-ER57,IF(A58&lt;'Données projet'!$A$192,$EG$205^A58,IF(A58='Données projet'!$A$192,'Données projet'!$B$192,EJ57+EI58-ER57)))</f>
        <v>132.99999999999997</v>
      </c>
      <c r="EK58" s="18">
        <f>EJ58*VLOOKUP('Données projet'!$B$15,Paramètres!$A$1:$I$89,3,0)*VLOOKUP('Données projet'!$B$15,Paramètres!$A$1:$I$89,5,0)</f>
        <v>116.18879999999999</v>
      </c>
      <c r="EL58" s="14">
        <f t="shared" si="45"/>
        <v>30.784436657961702</v>
      </c>
      <c r="EM58" s="22">
        <f t="shared" si="19"/>
        <v>255.97838717928323</v>
      </c>
      <c r="EN58" s="62">
        <f t="shared" si="20"/>
        <v>549.3117205126166</v>
      </c>
      <c r="EO58" s="62">
        <f ca="1">AVERAGE(OFFSET($EN$3,0,0,'Données projet'!$E$15+1,1))-AVERAGE(OFFSET($H$3,0,0,'Données projet'!$E$15+1,1))</f>
        <v>202.86354781280403</v>
      </c>
      <c r="EP58" s="62">
        <f t="shared" si="46"/>
        <v>217.25323885665131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182.69230769230768</v>
      </c>
      <c r="FC58" s="13">
        <f>VLOOKUP(A58,'Données projet'!$A$217:$I$237,9,0)</f>
        <v>4.8717948717948731</v>
      </c>
      <c r="FD58" s="13">
        <f t="array" ref="FD58">INDEX(FC:FC,MIN(IF(ISNUMBER(FC58:FC254),ROW(FC58:FC254),"")))</f>
        <v>4.8717948717948731</v>
      </c>
      <c r="FE58" s="13">
        <f>IF('Données projet'!$A$218&gt;35,FE57+FD58-FM57,IF(A58&lt;'Données projet'!$A$218,$FB$205^A58,IF(A58='Données projet'!$A$218,'Données projet'!$B$218,FE57+FD58-FM57)))</f>
        <v>182.69230769230759</v>
      </c>
      <c r="FF58" s="18">
        <f>FE58*VLOOKUP('Données projet'!$B$16,Paramètres!$A$1:$I$89,3,0)*VLOOKUP('Données projet'!$B$16,Paramètres!$A$1:$I$89,5,0)</f>
        <v>173.84999999999991</v>
      </c>
      <c r="FG58" s="14">
        <f t="shared" si="47"/>
        <v>43.951168452592761</v>
      </c>
      <c r="FH58" s="22">
        <f t="shared" si="22"/>
        <v>379.33703505493219</v>
      </c>
      <c r="FI58" s="62">
        <f t="shared" si="23"/>
        <v>672.6703683882655</v>
      </c>
      <c r="FJ58" s="62">
        <f ca="1">AVERAGE(OFFSET($FI$3,0,0,'Données projet'!$E$16+1,1))-AVERAGE(OFFSET($H$3,0,0,'Données projet'!$E$16+1,1))</f>
        <v>353.61481736740694</v>
      </c>
      <c r="FK58" s="62">
        <f t="shared" si="48"/>
        <v>244.7141066773861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28.205128205128204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115</v>
      </c>
      <c r="FX58" s="13">
        <f>VLOOKUP(A58,'Données projet'!$A$243:$I$263,9,0)</f>
        <v>4</v>
      </c>
      <c r="FY58" s="13">
        <f t="array" ref="FY58">INDEX(FX:FX,MIN(IF(ISNUMBER(FX58:FX254),ROW(FX58:FX254),"")))</f>
        <v>4</v>
      </c>
      <c r="FZ58" s="13">
        <f>IF('Données projet'!$A$244&gt;35,FZ57+FY58-GH57,IF(A58&lt;'Données projet'!$A$244,$FW$205^A58,IF(A58='Données projet'!$A$244,'Données projet'!$B$244,FZ57+FY58-GH57)))</f>
        <v>114.99999999999997</v>
      </c>
      <c r="GA58" s="18">
        <f>FZ58*VLOOKUP('Données projet'!$B$17,Paramètres!$A$1:$I$89,3,0)*VLOOKUP('Données projet'!$B$17,Paramètres!$A$1:$I$89,5,0)</f>
        <v>123.78599999999997</v>
      </c>
      <c r="GB58" s="14">
        <f t="shared" si="49"/>
        <v>32.556418931566412</v>
      </c>
      <c r="GC58" s="22">
        <f t="shared" si="25"/>
        <v>272.29637963914479</v>
      </c>
      <c r="GD58" s="62">
        <f t="shared" si="26"/>
        <v>565.62971297247805</v>
      </c>
      <c r="GE58" s="62">
        <f ca="1">AVERAGE(OFFSET($GD$3,0,0,'Données projet'!$E$17+1,1))-AVERAGE(OFFSET($H$3,0,0,'Données projet'!$E$17+1,1))</f>
        <v>280.20599015000306</v>
      </c>
      <c r="GF58" s="62">
        <f t="shared" si="50"/>
        <v>166.97658184507787</v>
      </c>
      <c r="GG58" s="16">
        <f>IF(ISNA(VLOOKUP(A58,'Données projet'!$A$243:$I$263,3,0)),0,VLOOKUP(A58,'Données projet'!$A$243:$I$263,3,0))</f>
        <v>3</v>
      </c>
      <c r="GH58" s="16">
        <f>IF(ISNA(VLOOKUP(A58,'Données projet'!$A$243:$I$263,4,0)),0,VLOOKUP(A58,'Données projet'!$A$243:$I$263,4,0))</f>
        <v>19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216.66666666666666</v>
      </c>
      <c r="GS58" s="13">
        <f>VLOOKUP(A58,'Données projet'!$A$269:$I$289,9,0)</f>
        <v>5.6410256410256405</v>
      </c>
      <c r="GT58" s="13">
        <f t="array" ref="GT58">INDEX(GS:GS,MIN(IF(ISNUMBER(GS58:GS254),ROW(GS58:GS254),"")))</f>
        <v>5.6410256410256405</v>
      </c>
      <c r="GU58" s="13">
        <f>IF('Données projet'!$A$270&gt;35,GU57+GT58-HC57,IF(A58&lt;'Données projet'!$A$270,$GR$205^A58,IF(A58='Données projet'!$A$270,'Données projet'!$B$270,GU57+GT58-HC57)))</f>
        <v>216.66666666666657</v>
      </c>
      <c r="GV58" s="18">
        <f>GU58*VLOOKUP('Données projet'!$B$18,Paramètres!$A$1:$I$89,3,0)*VLOOKUP('Données projet'!$B$18,Paramètres!$A$1:$I$89,5,0)</f>
        <v>145.33999999999995</v>
      </c>
      <c r="GW58" s="14">
        <f t="shared" si="51"/>
        <v>37.517646631752974</v>
      </c>
      <c r="GX58" s="22">
        <f t="shared" si="28"/>
        <v>318.47706788363627</v>
      </c>
      <c r="GY58" s="62">
        <f t="shared" si="29"/>
        <v>611.81040121696958</v>
      </c>
      <c r="GZ58" s="62">
        <f ca="1">AVERAGE(OFFSET($GY$3,0,0,'Données projet'!$E$18+1,1))-AVERAGE(OFFSET($H$3,0,0,'Données projet'!$E$18+1,1))</f>
        <v>291.18686311753402</v>
      </c>
      <c r="HA58" s="62">
        <f t="shared" si="52"/>
        <v>215.44422413249839</v>
      </c>
      <c r="HB58" s="16">
        <f>IF(ISNA(VLOOKUP(A58,'Données projet'!$A$269:$I$289,3,0)),0,VLOOKUP(A58,'Données projet'!$A$269:$I$289,3,0))</f>
        <v>4</v>
      </c>
      <c r="HC58" s="16">
        <f>IF(ISNA(VLOOKUP(A58,'Données projet'!$A$269:$I$289,4,0)),0,VLOOKUP(A58,'Données projet'!$A$269:$I$289,4,0))</f>
        <v>30.128205128205128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9">
        <f t="shared" si="1"/>
        <v>256.66666666666669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10.464423076923076</v>
      </c>
      <c r="N59" s="14">
        <f>IF('Données projet'!$A$36&gt;35,N58+M59-V58,IF(A59&lt;'Données projet'!$A$36,$K$205^A59,IF(A59='Données projet'!$A$36,'Données projet'!$B$36,N58+M59-V58)))</f>
        <v>311.64230769230778</v>
      </c>
      <c r="O59" s="14">
        <f>N59*VLOOKUP('Données projet'!$B$9,Paramètres!$A$1:$I$89,3,0)*VLOOKUP('Données projet'!$B$9,Paramètres!$A$1:$I$89,5,0)</f>
        <v>186.36210000000005</v>
      </c>
      <c r="P59" s="14">
        <f t="shared" si="33"/>
        <v>46.734762106127967</v>
      </c>
      <c r="Q59" s="22">
        <f t="shared" si="53"/>
        <v>405.97703483483957</v>
      </c>
      <c r="R59" s="62">
        <f t="shared" si="0"/>
        <v>699.31036816817289</v>
      </c>
      <c r="S59" s="62">
        <f ca="1">AVERAGE(OFFSET($R$3,0,0,'Données projet'!$E$9+1,1))-AVERAGE(OFFSET($H$3,0,0,'Données projet'!$E$9+1,1))</f>
        <v>260.02504691866199</v>
      </c>
      <c r="T59" s="62">
        <f t="shared" si="34"/>
        <v>270.11268336406368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5.9805100131063718</v>
      </c>
      <c r="AA59" s="23">
        <f>EXP(-LN(2)/25)*AA58+(1-EXP(-LN(2)/25))/(LN(2)/25)*Calculateur!V59*Calculateur!X59*VLOOKUP('Données projet'!$B$9,Paramètres!$A$1:$I$89,3,0)*0.475*44/12</f>
        <v>7.9932965679849559</v>
      </c>
      <c r="AB59" s="23">
        <f>EXP(-LN(2)/2)*AB58+(1-EXP(-LN(2)/2))/(LN(2)/2)*V59*Y59*VLOOKUP('Données projet'!$B$9,Paramètres!$A$1:$I$89,3,0)*0.475*44/12</f>
        <v>7.7392101390671921E-4</v>
      </c>
      <c r="AC59" s="24">
        <f t="shared" si="3"/>
        <v>13.974580502105235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2">
        <f t="shared" si="5"/>
        <v>744.15591627769948</v>
      </c>
      <c r="AN59" s="62">
        <f ca="1">AVERAGE(OFFSET($AM$3,0,0,'Données projet'!$E$10+1,1))-AVERAGE(OFFSET($H$3,0,0,'Données projet'!$E$10+1,1))</f>
        <v>475.47920969424894</v>
      </c>
      <c r="AO59" s="62">
        <f t="shared" si="36"/>
        <v>271.73544012419364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185.12207999999998</v>
      </c>
      <c r="BF59" s="14">
        <f t="shared" si="37"/>
        <v>46.459887003478677</v>
      </c>
      <c r="BG59" s="22">
        <f t="shared" si="7"/>
        <v>403.33859253105862</v>
      </c>
      <c r="BH59" s="62">
        <f t="shared" si="8"/>
        <v>696.67192586439194</v>
      </c>
      <c r="BI59" s="62">
        <f ca="1">AVERAGE(OFFSET($BH$3,0,0,'Données projet'!$E$11+1,1))-AVERAGE(OFFSET($H$3,0,0,'Données projet'!$E$11+1,1))</f>
        <v>428.8489304403459</v>
      </c>
      <c r="BJ59" s="62">
        <f t="shared" si="38"/>
        <v>247.01165577562966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4.2</v>
      </c>
      <c r="BY59" s="13">
        <f>IF('Données projet'!$A$114&gt;35,BY58+BX59-CG58,IF(A59&lt;'Données projet'!$A$114,$BV$205^A59,IF(A59='Données projet'!$A$114,'Données projet'!$B$114,BY58+BX59-CG58)))</f>
        <v>143.19999999999996</v>
      </c>
      <c r="BZ59" s="14">
        <f>BY59*VLOOKUP('Données projet'!$B$12,Paramètres!$A$1:$I$89,3,0)*VLOOKUP('Données projet'!$B$12,Paramètres!$A$1:$I$89,5,0)</f>
        <v>116.16383999999998</v>
      </c>
      <c r="CA59" s="14">
        <f t="shared" si="39"/>
        <v>30.778593163150692</v>
      </c>
      <c r="CB59" s="22">
        <f t="shared" si="10"/>
        <v>255.92473775915406</v>
      </c>
      <c r="CC59" s="62">
        <f t="shared" si="11"/>
        <v>549.2580710924874</v>
      </c>
      <c r="CD59" s="62">
        <f ca="1">AVERAGE(OFFSET($CC$3,0,0,'Données projet'!$E$12+1,1))-AVERAGE(OFFSET($H$3,0,0,'Données projet'!$E$12+1,1))</f>
        <v>236.22643401787644</v>
      </c>
      <c r="CE59" s="62">
        <f t="shared" si="40"/>
        <v>188.80444043778022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10.737820512820514</v>
      </c>
      <c r="CT59" s="13">
        <f>IF('Données projet'!$A$140&gt;35,CT58+CS59-DB58,IF(A59&lt;'Données projet'!$A$140,$CQ$205^A59,IF(A59='Données projet'!$A$140,'Données projet'!$B$140,CT58+CS59-DB58)))</f>
        <v>275.52756410256404</v>
      </c>
      <c r="CU59" s="18">
        <f>CT59*VLOOKUP('Données projet'!$B$13,Paramètres!$A$1:$I$89,3,0)*VLOOKUP('Données projet'!$B$13,Paramètres!$A$1:$I$89,5,0)</f>
        <v>128.94689999999997</v>
      </c>
      <c r="CV59" s="14">
        <f t="shared" si="41"/>
        <v>33.752903768318241</v>
      </c>
      <c r="CW59" s="22">
        <f t="shared" si="13"/>
        <v>283.36882489648752</v>
      </c>
      <c r="CX59" s="62">
        <f t="shared" si="14"/>
        <v>576.70215822982084</v>
      </c>
      <c r="CY59" s="62">
        <f ca="1">AVERAGE(OFFSET($CX$3,0,0,'Données projet'!$E$13+1,1))-AVERAGE(OFFSET($H$3,0,0,'Données projet'!$E$13+1,1))</f>
        <v>246.73711856758143</v>
      </c>
      <c r="CZ59" s="62">
        <f t="shared" si="42"/>
        <v>145.54897745089966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5.2564102564102537</v>
      </c>
      <c r="DO59" s="13">
        <f>IF('Données projet'!$A$166&gt;35,DO58+DN59-DW58,IF(A59&lt;'Données projet'!$A$166,$DL$205^A59,IF(A59='Données projet'!$A$166,'Données projet'!$B$166,DO58+DN59-DW58)))</f>
        <v>212.30769230769221</v>
      </c>
      <c r="DP59" s="18">
        <f>DO59*VLOOKUP('Données projet'!$B$14,Paramètres!$A$1:$I$89,3,0)*VLOOKUP('Données projet'!$B$14,Paramètres!$A$1:$I$89,5,0)</f>
        <v>221.90399999999991</v>
      </c>
      <c r="DQ59" s="14">
        <f t="shared" si="43"/>
        <v>54.528502940168273</v>
      </c>
      <c r="DR59" s="22">
        <f t="shared" si="16"/>
        <v>481.45327595412624</v>
      </c>
      <c r="DS59" s="62">
        <f t="shared" si="17"/>
        <v>774.78660928745956</v>
      </c>
      <c r="DT59" s="62">
        <f ca="1">AVERAGE(OFFSET($DS$3,0,0,'Données projet'!$E$14+1,1))-AVERAGE(OFFSET($H$3,0,0,'Données projet'!$E$14+1,1))</f>
        <v>493.70175665335978</v>
      </c>
      <c r="DU59" s="62">
        <f t="shared" si="44"/>
        <v>325.12357781685949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3.2</v>
      </c>
      <c r="EJ59" s="13">
        <f>IF('Données projet'!$A$192&gt;35,EJ58+EI59-ER58,IF(A59&lt;'Données projet'!$A$192,$EG$205^A59,IF(A59='Données projet'!$A$192,'Données projet'!$B$192,EJ58+EI59-ER58)))</f>
        <v>136.19999999999996</v>
      </c>
      <c r="EK59" s="18">
        <f>EJ59*VLOOKUP('Données projet'!$B$15,Paramètres!$A$1:$I$89,3,0)*VLOOKUP('Données projet'!$B$15,Paramètres!$A$1:$I$89,5,0)</f>
        <v>118.98432</v>
      </c>
      <c r="EL59" s="14">
        <f t="shared" si="45"/>
        <v>31.437991550787316</v>
      </c>
      <c r="EM59" s="22">
        <f t="shared" si="19"/>
        <v>261.98552595095452</v>
      </c>
      <c r="EN59" s="62">
        <f t="shared" si="20"/>
        <v>555.31885928428778</v>
      </c>
      <c r="EO59" s="62">
        <f ca="1">AVERAGE(OFFSET($EN$3,0,0,'Données projet'!$E$15+1,1))-AVERAGE(OFFSET($H$3,0,0,'Données projet'!$E$15+1,1))</f>
        <v>202.86354781280403</v>
      </c>
      <c r="EP59" s="62">
        <f t="shared" si="46"/>
        <v>217.25323885665131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4.7435897435897463</v>
      </c>
      <c r="FE59" s="13">
        <f>IF('Données projet'!$A$218&gt;35,FE58+FD59-FM58,IF(A59&lt;'Données projet'!$A$218,$FB$205^A59,IF(A59='Données projet'!$A$218,'Données projet'!$B$218,FE58+FD59-FM58)))</f>
        <v>159.23076923076914</v>
      </c>
      <c r="FF59" s="18">
        <f>FE59*VLOOKUP('Données projet'!$B$16,Paramètres!$A$1:$I$89,3,0)*VLOOKUP('Données projet'!$B$16,Paramètres!$A$1:$I$89,5,0)</f>
        <v>151.52399999999992</v>
      </c>
      <c r="FG59" s="14">
        <f t="shared" si="47"/>
        <v>38.924716067948651</v>
      </c>
      <c r="FH59" s="22">
        <f t="shared" si="22"/>
        <v>331.69818048501043</v>
      </c>
      <c r="FI59" s="62">
        <f t="shared" si="23"/>
        <v>625.03151381834368</v>
      </c>
      <c r="FJ59" s="62">
        <f ca="1">AVERAGE(OFFSET($FI$3,0,0,'Données projet'!$E$16+1,1))-AVERAGE(OFFSET($H$3,0,0,'Données projet'!$E$16+1,1))</f>
        <v>353.61481736740694</v>
      </c>
      <c r="FK59" s="62">
        <f t="shared" si="48"/>
        <v>244.7141066773861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3.8</v>
      </c>
      <c r="FZ59" s="13">
        <f>IF('Données projet'!$A$244&gt;35,FZ58+FY59-GH58,IF(A59&lt;'Données projet'!$A$244,$FW$205^A59,IF(A59='Données projet'!$A$244,'Données projet'!$B$244,FZ58+FY59-GH58)))</f>
        <v>99.799999999999969</v>
      </c>
      <c r="GA59" s="18">
        <f>FZ59*VLOOKUP('Données projet'!$B$17,Paramètres!$A$1:$I$89,3,0)*VLOOKUP('Données projet'!$B$17,Paramètres!$A$1:$I$89,5,0)</f>
        <v>107.42471999999995</v>
      </c>
      <c r="GB59" s="14">
        <f t="shared" si="49"/>
        <v>28.723394484955126</v>
      </c>
      <c r="GC59" s="22">
        <f t="shared" si="25"/>
        <v>237.12463272796342</v>
      </c>
      <c r="GD59" s="62">
        <f t="shared" si="26"/>
        <v>530.4579660612967</v>
      </c>
      <c r="GE59" s="62">
        <f ca="1">AVERAGE(OFFSET($GD$3,0,0,'Données projet'!$E$17+1,1))-AVERAGE(OFFSET($H$3,0,0,'Données projet'!$E$17+1,1))</f>
        <v>280.20599015000306</v>
      </c>
      <c r="GF59" s="62">
        <f t="shared" si="50"/>
        <v>166.97658184507787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5.2564102564102599</v>
      </c>
      <c r="GU59" s="13">
        <f>IF('Données projet'!$A$270&gt;35,GU58+GT59-HC58,IF(A59&lt;'Données projet'!$A$270,$GR$205^A59,IF(A59='Données projet'!$A$270,'Données projet'!$B$270,GU58+GT59-HC58)))</f>
        <v>191.79487179487168</v>
      </c>
      <c r="GV59" s="18">
        <f>GU59*VLOOKUP('Données projet'!$B$18,Paramètres!$A$1:$I$89,3,0)*VLOOKUP('Données projet'!$B$18,Paramètres!$A$1:$I$89,5,0)</f>
        <v>128.65599999999995</v>
      </c>
      <c r="GW59" s="14">
        <f t="shared" si="51"/>
        <v>33.685612807452138</v>
      </c>
      <c r="GX59" s="22">
        <f t="shared" si="28"/>
        <v>282.7449756396457</v>
      </c>
      <c r="GY59" s="62">
        <f t="shared" si="29"/>
        <v>576.07830897297902</v>
      </c>
      <c r="GZ59" s="62">
        <f ca="1">AVERAGE(OFFSET($GY$3,0,0,'Données projet'!$E$18+1,1))-AVERAGE(OFFSET($H$3,0,0,'Données projet'!$E$18+1,1))</f>
        <v>291.18686311753402</v>
      </c>
      <c r="HA59" s="62">
        <f t="shared" si="52"/>
        <v>215.44422413249839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9">
        <f t="shared" si="1"/>
        <v>256.66666666666669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10.464423076923076</v>
      </c>
      <c r="N60" s="14">
        <f>IF('Données projet'!$A$36&gt;35,N59+M60-V59,IF(A60&lt;'Données projet'!$A$36,$K$205^A60,IF(A60='Données projet'!$A$36,'Données projet'!$B$36,N59+M60-V59)))</f>
        <v>322.10673076923086</v>
      </c>
      <c r="O60" s="14">
        <f>N60*VLOOKUP('Données projet'!$B$9,Paramètres!$A$1:$I$89,3,0)*VLOOKUP('Données projet'!$B$9,Paramètres!$A$1:$I$89,5,0)</f>
        <v>192.61982500000008</v>
      </c>
      <c r="P60" s="14">
        <f t="shared" si="33"/>
        <v>48.118696520369063</v>
      </c>
      <c r="Q60" s="22">
        <f t="shared" si="53"/>
        <v>419.28625831464296</v>
      </c>
      <c r="R60" s="62">
        <f t="shared" si="0"/>
        <v>712.61959164797622</v>
      </c>
      <c r="S60" s="62">
        <f ca="1">AVERAGE(OFFSET($R$3,0,0,'Données projet'!$E$9+1,1))-AVERAGE(OFFSET($H$3,0,0,'Données projet'!$E$9+1,1))</f>
        <v>260.02504691866199</v>
      </c>
      <c r="T60" s="62">
        <f t="shared" si="34"/>
        <v>270.11268336406368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5.8632358595002785</v>
      </c>
      <c r="AA60" s="23">
        <f>EXP(-LN(2)/25)*AA59+(1-EXP(-LN(2)/25))/(LN(2)/25)*Calculateur!V60*Calculateur!X60*VLOOKUP('Données projet'!$B$9,Paramètres!$A$1:$I$89,3,0)*0.475*44/12</f>
        <v>7.7747194529842094</v>
      </c>
      <c r="AB60" s="23">
        <f>EXP(-LN(2)/2)*AB59+(1-EXP(-LN(2)/2))/(LN(2)/2)*V60*Y60*VLOOKUP('Données projet'!$B$9,Paramètres!$A$1:$I$89,3,0)*0.475*44/12</f>
        <v>5.472447970362095E-4</v>
      </c>
      <c r="AC60" s="24">
        <f t="shared" si="3"/>
        <v>13.638502557281525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2">
        <f t="shared" si="5"/>
        <v>760.50882309863516</v>
      </c>
      <c r="AN60" s="62">
        <f ca="1">AVERAGE(OFFSET($AM$3,0,0,'Données projet'!$E$10+1,1))-AVERAGE(OFFSET($H$3,0,0,'Données projet'!$E$10+1,1))</f>
        <v>475.47920969424894</v>
      </c>
      <c r="AO60" s="62">
        <f t="shared" si="36"/>
        <v>271.73544012419364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191.99855999999997</v>
      </c>
      <c r="BF60" s="14">
        <f t="shared" si="37"/>
        <v>47.981536645873334</v>
      </c>
      <c r="BG60" s="22">
        <f t="shared" si="7"/>
        <v>417.96533499156266</v>
      </c>
      <c r="BH60" s="62">
        <f t="shared" si="8"/>
        <v>711.29866832489597</v>
      </c>
      <c r="BI60" s="62">
        <f ca="1">AVERAGE(OFFSET($BH$3,0,0,'Données projet'!$E$11+1,1))-AVERAGE(OFFSET($H$3,0,0,'Données projet'!$E$11+1,1))</f>
        <v>428.8489304403459</v>
      </c>
      <c r="BJ60" s="62">
        <f t="shared" si="38"/>
        <v>247.01165577562966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4.2</v>
      </c>
      <c r="BY60" s="13">
        <f>IF('Données projet'!$A$114&gt;35,BY59+BX60-CG59,IF(A60&lt;'Données projet'!$A$114,$BV$205^A60,IF(A60='Données projet'!$A$114,'Données projet'!$B$114,BY59+BX60-CG59)))</f>
        <v>147.39999999999995</v>
      </c>
      <c r="BZ60" s="14">
        <f>BY60*VLOOKUP('Données projet'!$B$12,Paramètres!$A$1:$I$89,3,0)*VLOOKUP('Données projet'!$B$12,Paramètres!$A$1:$I$89,5,0)</f>
        <v>119.57087999999997</v>
      </c>
      <c r="CA60" s="14">
        <f t="shared" si="39"/>
        <v>31.574893243250646</v>
      </c>
      <c r="CB60" s="22">
        <f t="shared" si="10"/>
        <v>263.24555506532818</v>
      </c>
      <c r="CC60" s="62">
        <f t="shared" si="11"/>
        <v>556.57888839866155</v>
      </c>
      <c r="CD60" s="62">
        <f ca="1">AVERAGE(OFFSET($CC$3,0,0,'Données projet'!$E$12+1,1))-AVERAGE(OFFSET($H$3,0,0,'Données projet'!$E$12+1,1))</f>
        <v>236.22643401787644</v>
      </c>
      <c r="CE60" s="62">
        <f t="shared" si="40"/>
        <v>188.80444043778022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10.737820512820514</v>
      </c>
      <c r="CT60" s="13">
        <f>IF('Données projet'!$A$140&gt;35,CT59+CS60-DB59,IF(A60&lt;'Données projet'!$A$140,$CQ$205^A60,IF(A60='Données projet'!$A$140,'Données projet'!$B$140,CT59+CS60-DB59)))</f>
        <v>286.26538461538456</v>
      </c>
      <c r="CU60" s="18">
        <f>CT60*VLOOKUP('Données projet'!$B$13,Paramètres!$A$1:$I$89,3,0)*VLOOKUP('Données projet'!$B$13,Paramètres!$A$1:$I$89,5,0)</f>
        <v>133.97219999999996</v>
      </c>
      <c r="CV60" s="14">
        <f t="shared" si="41"/>
        <v>34.912604141260388</v>
      </c>
      <c r="CW60" s="22">
        <f t="shared" si="13"/>
        <v>294.14103387936183</v>
      </c>
      <c r="CX60" s="62">
        <f t="shared" si="14"/>
        <v>587.47436721269514</v>
      </c>
      <c r="CY60" s="62">
        <f ca="1">AVERAGE(OFFSET($CX$3,0,0,'Données projet'!$E$13+1,1))-AVERAGE(OFFSET($H$3,0,0,'Données projet'!$E$13+1,1))</f>
        <v>246.73711856758143</v>
      </c>
      <c r="CZ60" s="62">
        <f t="shared" si="42"/>
        <v>145.54897745089966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5.2564102564102537</v>
      </c>
      <c r="DO60" s="13">
        <f>IF('Données projet'!$A$166&gt;35,DO59+DN60-DW59,IF(A60&lt;'Données projet'!$A$166,$DL$205^A60,IF(A60='Données projet'!$A$166,'Données projet'!$B$166,DO59+DN60-DW59)))</f>
        <v>217.56410256410246</v>
      </c>
      <c r="DP60" s="18">
        <f>DO60*VLOOKUP('Données projet'!$B$14,Paramètres!$A$1:$I$89,3,0)*VLOOKUP('Données projet'!$B$14,Paramètres!$A$1:$I$89,5,0)</f>
        <v>227.39799999999991</v>
      </c>
      <c r="DQ60" s="14">
        <f t="shared" si="43"/>
        <v>55.719696292134515</v>
      </c>
      <c r="DR60" s="22">
        <f t="shared" si="16"/>
        <v>493.09665437546749</v>
      </c>
      <c r="DS60" s="62">
        <f t="shared" si="17"/>
        <v>786.42998770880081</v>
      </c>
      <c r="DT60" s="62">
        <f ca="1">AVERAGE(OFFSET($DS$3,0,0,'Données projet'!$E$14+1,1))-AVERAGE(OFFSET($H$3,0,0,'Données projet'!$E$14+1,1))</f>
        <v>493.70175665335978</v>
      </c>
      <c r="DU60" s="62">
        <f t="shared" si="44"/>
        <v>325.12357781685949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3.2</v>
      </c>
      <c r="EJ60" s="13">
        <f>IF('Données projet'!$A$192&gt;35,EJ59+EI60-ER59,IF(A60&lt;'Données projet'!$A$192,$EG$205^A60,IF(A60='Données projet'!$A$192,'Données projet'!$B$192,EJ59+EI60-ER59)))</f>
        <v>139.39999999999995</v>
      </c>
      <c r="EK60" s="18">
        <f>EJ60*VLOOKUP('Données projet'!$B$15,Paramètres!$A$1:$I$89,3,0)*VLOOKUP('Données projet'!$B$15,Paramètres!$A$1:$I$89,5,0)</f>
        <v>121.77983999999996</v>
      </c>
      <c r="EL60" s="14">
        <f t="shared" si="45"/>
        <v>32.089761368755156</v>
      </c>
      <c r="EM60" s="22">
        <f t="shared" si="19"/>
        <v>267.98955571724849</v>
      </c>
      <c r="EN60" s="62">
        <f t="shared" si="20"/>
        <v>561.32288905058181</v>
      </c>
      <c r="EO60" s="62">
        <f ca="1">AVERAGE(OFFSET($EN$3,0,0,'Données projet'!$E$15+1,1))-AVERAGE(OFFSET($H$3,0,0,'Données projet'!$E$15+1,1))</f>
        <v>202.86354781280403</v>
      </c>
      <c r="EP60" s="62">
        <f t="shared" si="46"/>
        <v>217.25323885665131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4.7435897435897463</v>
      </c>
      <c r="FE60" s="13">
        <f>IF('Données projet'!$A$218&gt;35,FE59+FD60-FM59,IF(A60&lt;'Données projet'!$A$218,$FB$205^A60,IF(A60='Données projet'!$A$218,'Données projet'!$B$218,FE59+FD60-FM59)))</f>
        <v>163.97435897435889</v>
      </c>
      <c r="FF60" s="18">
        <f>FE60*VLOOKUP('Données projet'!$B$16,Paramètres!$A$1:$I$89,3,0)*VLOOKUP('Données projet'!$B$16,Paramètres!$A$1:$I$89,5,0)</f>
        <v>156.03799999999993</v>
      </c>
      <c r="FG60" s="14">
        <f t="shared" si="47"/>
        <v>39.94757532752773</v>
      </c>
      <c r="FH60" s="22">
        <f t="shared" si="22"/>
        <v>341.34154369544399</v>
      </c>
      <c r="FI60" s="62">
        <f t="shared" si="23"/>
        <v>634.67487702877725</v>
      </c>
      <c r="FJ60" s="62">
        <f ca="1">AVERAGE(OFFSET($FI$3,0,0,'Données projet'!$E$16+1,1))-AVERAGE(OFFSET($H$3,0,0,'Données projet'!$E$16+1,1))</f>
        <v>353.61481736740694</v>
      </c>
      <c r="FK60" s="62">
        <f t="shared" si="48"/>
        <v>244.7141066773861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3.8</v>
      </c>
      <c r="FZ60" s="13">
        <f>IF('Données projet'!$A$244&gt;35,FZ59+FY60-GH59,IF(A60&lt;'Données projet'!$A$244,$FW$205^A60,IF(A60='Données projet'!$A$244,'Données projet'!$B$244,FZ59+FY60-GH59)))</f>
        <v>103.59999999999997</v>
      </c>
      <c r="GA60" s="18">
        <f>FZ60*VLOOKUP('Données projet'!$B$17,Paramètres!$A$1:$I$89,3,0)*VLOOKUP('Données projet'!$B$17,Paramètres!$A$1:$I$89,5,0)</f>
        <v>111.51503999999996</v>
      </c>
      <c r="GB60" s="14">
        <f t="shared" si="49"/>
        <v>29.687655136252104</v>
      </c>
      <c r="GC60" s="22">
        <f t="shared" si="25"/>
        <v>245.92802736230567</v>
      </c>
      <c r="GD60" s="62">
        <f t="shared" si="26"/>
        <v>539.26136069563904</v>
      </c>
      <c r="GE60" s="62">
        <f ca="1">AVERAGE(OFFSET($GD$3,0,0,'Données projet'!$E$17+1,1))-AVERAGE(OFFSET($H$3,0,0,'Données projet'!$E$17+1,1))</f>
        <v>280.20599015000306</v>
      </c>
      <c r="GF60" s="62">
        <f t="shared" si="50"/>
        <v>166.97658184507787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5.2564102564102599</v>
      </c>
      <c r="GU60" s="13">
        <f>IF('Données projet'!$A$270&gt;35,GU59+GT60-HC59,IF(A60&lt;'Données projet'!$A$270,$GR$205^A60,IF(A60='Données projet'!$A$270,'Données projet'!$B$270,GU59+GT60-HC59)))</f>
        <v>197.05128205128193</v>
      </c>
      <c r="GV60" s="18">
        <f>GU60*VLOOKUP('Données projet'!$B$18,Paramètres!$A$1:$I$89,3,0)*VLOOKUP('Données projet'!$B$18,Paramètres!$A$1:$I$89,5,0)</f>
        <v>132.18199999999993</v>
      </c>
      <c r="GW60" s="14">
        <f t="shared" si="51"/>
        <v>34.500065985258935</v>
      </c>
      <c r="GX60" s="22">
        <f t="shared" si="28"/>
        <v>290.30459825765917</v>
      </c>
      <c r="GY60" s="62">
        <f t="shared" si="29"/>
        <v>583.63793159099248</v>
      </c>
      <c r="GZ60" s="62">
        <f ca="1">AVERAGE(OFFSET($GY$3,0,0,'Données projet'!$E$18+1,1))-AVERAGE(OFFSET($H$3,0,0,'Données projet'!$E$18+1,1))</f>
        <v>291.18686311753402</v>
      </c>
      <c r="HA60" s="62">
        <f t="shared" si="52"/>
        <v>215.44422413249839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9">
        <f t="shared" si="1"/>
        <v>256.66666666666669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10.464423076923076</v>
      </c>
      <c r="N61" s="14">
        <f>IF('Données projet'!$A$36&gt;35,N60+M61-V60,IF(A61&lt;'Données projet'!$A$36,$K$205^A61,IF(A61='Données projet'!$A$36,'Données projet'!$B$36,N60+M61-V60)))</f>
        <v>332.57115384615395</v>
      </c>
      <c r="O61" s="14">
        <f>N61*VLOOKUP('Données projet'!$B$9,Paramètres!$A$1:$I$89,3,0)*VLOOKUP('Données projet'!$B$9,Paramètres!$A$1:$I$89,5,0)</f>
        <v>198.87755000000007</v>
      </c>
      <c r="P61" s="14">
        <f t="shared" si="33"/>
        <v>49.49740644579321</v>
      </c>
      <c r="Q61" s="22">
        <f t="shared" si="53"/>
        <v>432.5863824764233</v>
      </c>
      <c r="R61" s="62">
        <f t="shared" si="0"/>
        <v>725.91971580975655</v>
      </c>
      <c r="S61" s="62">
        <f ca="1">AVERAGE(OFFSET($R$3,0,0,'Données projet'!$E$9+1,1))-AVERAGE(OFFSET($H$3,0,0,'Données projet'!$E$9+1,1))</f>
        <v>260.02504691866199</v>
      </c>
      <c r="T61" s="62">
        <f t="shared" si="34"/>
        <v>270.11268336406368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5.7482613805162295</v>
      </c>
      <c r="AA61" s="23">
        <f>EXP(-LN(2)/25)*AA60+(1-EXP(-LN(2)/25))/(LN(2)/25)*Calculateur!V61*Calculateur!X61*VLOOKUP('Données projet'!$B$9,Paramètres!$A$1:$I$89,3,0)*0.475*44/12</f>
        <v>7.5621193406876293</v>
      </c>
      <c r="AB61" s="23">
        <f>EXP(-LN(2)/2)*AB60+(1-EXP(-LN(2)/2))/(LN(2)/2)*V61*Y61*VLOOKUP('Données projet'!$B$9,Paramètres!$A$1:$I$89,3,0)*0.475*44/12</f>
        <v>3.869605069533596E-4</v>
      </c>
      <c r="AC61" s="24">
        <f t="shared" si="3"/>
        <v>13.310767681710812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2">
        <f t="shared" si="5"/>
        <v>776.84953386648317</v>
      </c>
      <c r="AN61" s="62">
        <f ca="1">AVERAGE(OFFSET($AM$3,0,0,'Données projet'!$E$10+1,1))-AVERAGE(OFFSET($H$3,0,0,'Données projet'!$E$10+1,1))</f>
        <v>475.47920969424894</v>
      </c>
      <c r="AO61" s="62">
        <f t="shared" si="36"/>
        <v>271.73544012419364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198.87503999999998</v>
      </c>
      <c r="BF61" s="14">
        <f t="shared" si="37"/>
        <v>49.496854461868558</v>
      </c>
      <c r="BG61" s="22">
        <f t="shared" si="7"/>
        <v>432.58104952108766</v>
      </c>
      <c r="BH61" s="62">
        <f t="shared" si="8"/>
        <v>725.91438285442098</v>
      </c>
      <c r="BI61" s="62">
        <f ca="1">AVERAGE(OFFSET($BH$3,0,0,'Données projet'!$E$11+1,1))-AVERAGE(OFFSET($H$3,0,0,'Données projet'!$E$11+1,1))</f>
        <v>428.8489304403459</v>
      </c>
      <c r="BJ61" s="62">
        <f t="shared" si="38"/>
        <v>247.01165577562966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4.2</v>
      </c>
      <c r="BY61" s="13">
        <f>IF('Données projet'!$A$114&gt;35,BY60+BX61-CG60,IF(A61&lt;'Données projet'!$A$114,$BV$205^A61,IF(A61='Données projet'!$A$114,'Données projet'!$B$114,BY60+BX61-CG60)))</f>
        <v>151.59999999999994</v>
      </c>
      <c r="BZ61" s="14">
        <f>BY61*VLOOKUP('Données projet'!$B$12,Paramètres!$A$1:$I$89,3,0)*VLOOKUP('Données projet'!$B$12,Paramètres!$A$1:$I$89,5,0)</f>
        <v>122.97791999999995</v>
      </c>
      <c r="CA61" s="14">
        <f t="shared" si="39"/>
        <v>32.36855624133463</v>
      </c>
      <c r="CB61" s="22">
        <f t="shared" si="10"/>
        <v>270.56177945365772</v>
      </c>
      <c r="CC61" s="62">
        <f t="shared" si="11"/>
        <v>563.89511278699104</v>
      </c>
      <c r="CD61" s="62">
        <f ca="1">AVERAGE(OFFSET($CC$3,0,0,'Données projet'!$E$12+1,1))-AVERAGE(OFFSET($H$3,0,0,'Données projet'!$E$12+1,1))</f>
        <v>236.22643401787644</v>
      </c>
      <c r="CE61" s="62">
        <f t="shared" si="40"/>
        <v>188.80444043778022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10.737820512820514</v>
      </c>
      <c r="CT61" s="13">
        <f>IF('Données projet'!$A$140&gt;35,CT60+CS61-DB60,IF(A61&lt;'Données projet'!$A$140,$CQ$205^A61,IF(A61='Données projet'!$A$140,'Données projet'!$B$140,CT60+CS61-DB60)))</f>
        <v>297.00320512820508</v>
      </c>
      <c r="CU61" s="18">
        <f>CT61*VLOOKUP('Données projet'!$B$13,Paramètres!$A$1:$I$89,3,0)*VLOOKUP('Données projet'!$B$13,Paramètres!$A$1:$I$89,5,0)</f>
        <v>138.99749999999997</v>
      </c>
      <c r="CV61" s="14">
        <f t="shared" si="41"/>
        <v>36.067250855487892</v>
      </c>
      <c r="CW61" s="22">
        <f t="shared" si="13"/>
        <v>304.90444107330802</v>
      </c>
      <c r="CX61" s="62">
        <f t="shared" si="14"/>
        <v>598.23777440664139</v>
      </c>
      <c r="CY61" s="62">
        <f ca="1">AVERAGE(OFFSET($CX$3,0,0,'Données projet'!$E$13+1,1))-AVERAGE(OFFSET($H$3,0,0,'Données projet'!$E$13+1,1))</f>
        <v>246.73711856758143</v>
      </c>
      <c r="CZ61" s="62">
        <f t="shared" si="42"/>
        <v>145.54897745089966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5.2564102564102537</v>
      </c>
      <c r="DO61" s="13">
        <f>IF('Données projet'!$A$166&gt;35,DO60+DN61-DW60,IF(A61&lt;'Données projet'!$A$166,$DL$205^A61,IF(A61='Données projet'!$A$166,'Données projet'!$B$166,DO60+DN61-DW60)))</f>
        <v>222.8205128205127</v>
      </c>
      <c r="DP61" s="18">
        <f>DO61*VLOOKUP('Données projet'!$B$14,Paramètres!$A$1:$I$89,3,0)*VLOOKUP('Données projet'!$B$14,Paramètres!$A$1:$I$89,5,0)</f>
        <v>232.89199999999991</v>
      </c>
      <c r="DQ61" s="14">
        <f t="shared" si="43"/>
        <v>56.907544064397435</v>
      </c>
      <c r="DR61" s="22">
        <f t="shared" si="16"/>
        <v>504.73420591215864</v>
      </c>
      <c r="DS61" s="62">
        <f t="shared" si="17"/>
        <v>798.06753924549196</v>
      </c>
      <c r="DT61" s="62">
        <f ca="1">AVERAGE(OFFSET($DS$3,0,0,'Données projet'!$E$14+1,1))-AVERAGE(OFFSET($H$3,0,0,'Données projet'!$E$14+1,1))</f>
        <v>493.70175665335978</v>
      </c>
      <c r="DU61" s="62">
        <f t="shared" si="44"/>
        <v>325.12357781685949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3.2</v>
      </c>
      <c r="EJ61" s="13">
        <f>IF('Données projet'!$A$192&gt;35,EJ60+EI61-ER60,IF(A61&lt;'Données projet'!$A$192,$EG$205^A61,IF(A61='Données projet'!$A$192,'Données projet'!$B$192,EJ60+EI61-ER60)))</f>
        <v>142.59999999999994</v>
      </c>
      <c r="EK61" s="18">
        <f>EJ61*VLOOKUP('Données projet'!$B$15,Paramètres!$A$1:$I$89,3,0)*VLOOKUP('Données projet'!$B$15,Paramètres!$A$1:$I$89,5,0)</f>
        <v>124.57535999999995</v>
      </c>
      <c r="EL61" s="14">
        <f t="shared" si="45"/>
        <v>32.739791806000952</v>
      </c>
      <c r="EM61" s="22">
        <f t="shared" si="19"/>
        <v>273.99055606211817</v>
      </c>
      <c r="EN61" s="62">
        <f t="shared" si="20"/>
        <v>567.32388939545149</v>
      </c>
      <c r="EO61" s="62">
        <f ca="1">AVERAGE(OFFSET($EN$3,0,0,'Données projet'!$E$15+1,1))-AVERAGE(OFFSET($H$3,0,0,'Données projet'!$E$15+1,1))</f>
        <v>202.86354781280403</v>
      </c>
      <c r="EP61" s="62">
        <f t="shared" si="46"/>
        <v>217.25323885665131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4.7435897435897463</v>
      </c>
      <c r="FE61" s="13">
        <f>IF('Données projet'!$A$218&gt;35,FE60+FD61-FM60,IF(A61&lt;'Données projet'!$A$218,$FB$205^A61,IF(A61='Données projet'!$A$218,'Données projet'!$B$218,FE60+FD61-FM60)))</f>
        <v>168.71794871794864</v>
      </c>
      <c r="FF61" s="18">
        <f>FE61*VLOOKUP('Données projet'!$B$16,Paramètres!$A$1:$I$89,3,0)*VLOOKUP('Données projet'!$B$16,Paramètres!$A$1:$I$89,5,0)</f>
        <v>160.55199999999994</v>
      </c>
      <c r="FG61" s="14">
        <f t="shared" si="47"/>
        <v>40.966995580161921</v>
      </c>
      <c r="FH61" s="22">
        <f t="shared" si="22"/>
        <v>350.97891730211518</v>
      </c>
      <c r="FI61" s="62">
        <f t="shared" si="23"/>
        <v>644.31225063544844</v>
      </c>
      <c r="FJ61" s="62">
        <f ca="1">AVERAGE(OFFSET($FI$3,0,0,'Données projet'!$E$16+1,1))-AVERAGE(OFFSET($H$3,0,0,'Données projet'!$E$16+1,1))</f>
        <v>353.61481736740694</v>
      </c>
      <c r="FK61" s="62">
        <f t="shared" si="48"/>
        <v>244.7141066773861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3.8</v>
      </c>
      <c r="FZ61" s="13">
        <f>IF('Données projet'!$A$244&gt;35,FZ60+FY61-GH60,IF(A61&lt;'Données projet'!$A$244,$FW$205^A61,IF(A61='Données projet'!$A$244,'Données projet'!$B$244,FZ60+FY61-GH60)))</f>
        <v>107.39999999999996</v>
      </c>
      <c r="GA61" s="18">
        <f>FZ61*VLOOKUP('Données projet'!$B$17,Paramètres!$A$1:$I$89,3,0)*VLOOKUP('Données projet'!$B$17,Paramètres!$A$1:$I$89,5,0)</f>
        <v>115.60535999999995</v>
      </c>
      <c r="GB61" s="14">
        <f t="shared" si="49"/>
        <v>30.647806681379965</v>
      </c>
      <c r="GC61" s="22">
        <f t="shared" si="25"/>
        <v>254.72426530340337</v>
      </c>
      <c r="GD61" s="62">
        <f t="shared" si="26"/>
        <v>548.05759863673666</v>
      </c>
      <c r="GE61" s="62">
        <f ca="1">AVERAGE(OFFSET($GD$3,0,0,'Données projet'!$E$17+1,1))-AVERAGE(OFFSET($H$3,0,0,'Données projet'!$E$17+1,1))</f>
        <v>280.20599015000306</v>
      </c>
      <c r="GF61" s="62">
        <f t="shared" si="50"/>
        <v>166.97658184507787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5.2564102564102599</v>
      </c>
      <c r="GU61" s="13">
        <f>IF('Données projet'!$A$270&gt;35,GU60+GT61-HC60,IF(A61&lt;'Données projet'!$A$270,$GR$205^A61,IF(A61='Données projet'!$A$270,'Données projet'!$B$270,GU60+GT61-HC60)))</f>
        <v>202.30769230769218</v>
      </c>
      <c r="GV61" s="18">
        <f>GU61*VLOOKUP('Données projet'!$B$18,Paramètres!$A$1:$I$89,3,0)*VLOOKUP('Données projet'!$B$18,Paramètres!$A$1:$I$89,5,0)</f>
        <v>135.70799999999991</v>
      </c>
      <c r="GW61" s="14">
        <f t="shared" si="51"/>
        <v>35.311993883566068</v>
      </c>
      <c r="GX61" s="22">
        <f t="shared" si="28"/>
        <v>297.85982268054408</v>
      </c>
      <c r="GY61" s="62">
        <f t="shared" si="29"/>
        <v>591.19315601387734</v>
      </c>
      <c r="GZ61" s="62">
        <f ca="1">AVERAGE(OFFSET($GY$3,0,0,'Données projet'!$E$18+1,1))-AVERAGE(OFFSET($H$3,0,0,'Données projet'!$E$18+1,1))</f>
        <v>291.18686311753402</v>
      </c>
      <c r="HA61" s="62">
        <f t="shared" si="52"/>
        <v>215.44422413249839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9">
        <f t="shared" si="1"/>
        <v>256.66666666666669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10.464423076923076</v>
      </c>
      <c r="N62" s="14">
        <f>IF('Données projet'!$A$36&gt;35,N61+M62-V61,IF(A62&lt;'Données projet'!$A$36,$K$205^A62,IF(A62='Données projet'!$A$36,'Données projet'!$B$36,N61+M62-V61)))</f>
        <v>343.03557692307703</v>
      </c>
      <c r="O62" s="14">
        <f>N62*VLOOKUP('Données projet'!$B$9,Paramètres!$A$1:$I$89,3,0)*VLOOKUP('Données projet'!$B$9,Paramètres!$A$1:$I$89,5,0)</f>
        <v>205.13527500000006</v>
      </c>
      <c r="P62" s="14">
        <f t="shared" si="33"/>
        <v>50.871075132713329</v>
      </c>
      <c r="Q62" s="22">
        <f t="shared" si="53"/>
        <v>445.87772648114247</v>
      </c>
      <c r="R62" s="62">
        <f t="shared" si="0"/>
        <v>739.21105981447579</v>
      </c>
      <c r="S62" s="62">
        <f ca="1">AVERAGE(OFFSET($R$3,0,0,'Données projet'!$E$9+1,1))-AVERAGE(OFFSET($H$3,0,0,'Données projet'!$E$9+1,1))</f>
        <v>260.02504691866199</v>
      </c>
      <c r="T62" s="62">
        <f t="shared" si="34"/>
        <v>270.11268336406368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5.6355414809375501</v>
      </c>
      <c r="AA62" s="23">
        <f>EXP(-LN(2)/25)*AA61+(1-EXP(-LN(2)/25))/(LN(2)/25)*Calculateur!V62*Calculateur!X62*VLOOKUP('Données projet'!$B$9,Paramètres!$A$1:$I$89,3,0)*0.475*44/12</f>
        <v>7.3553327896419534</v>
      </c>
      <c r="AB62" s="23">
        <f>EXP(-LN(2)/2)*AB61+(1-EXP(-LN(2)/2))/(LN(2)/2)*V62*Y62*VLOOKUP('Données projet'!$B$9,Paramètres!$A$1:$I$89,3,0)*0.475*44/12</f>
        <v>2.7362239851810475E-4</v>
      </c>
      <c r="AC62" s="24">
        <f t="shared" si="3"/>
        <v>12.991147892978022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2">
        <f t="shared" si="5"/>
        <v>793.17851861308782</v>
      </c>
      <c r="AN62" s="62">
        <f ca="1">AVERAGE(OFFSET($AM$3,0,0,'Données projet'!$E$10+1,1))-AVERAGE(OFFSET($H$3,0,0,'Données projet'!$E$10+1,1))</f>
        <v>475.47920969424894</v>
      </c>
      <c r="AO62" s="62">
        <f t="shared" si="36"/>
        <v>271.73544012419364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205.75151999999994</v>
      </c>
      <c r="BF62" s="14">
        <f t="shared" si="37"/>
        <v>51.006084477955554</v>
      </c>
      <c r="BG62" s="22">
        <f t="shared" si="7"/>
        <v>447.18616113243911</v>
      </c>
      <c r="BH62" s="62">
        <f t="shared" si="8"/>
        <v>740.51949446577237</v>
      </c>
      <c r="BI62" s="62">
        <f ca="1">AVERAGE(OFFSET($BH$3,0,0,'Données projet'!$E$11+1,1))-AVERAGE(OFFSET($H$3,0,0,'Données projet'!$E$11+1,1))</f>
        <v>428.8489304403459</v>
      </c>
      <c r="BJ62" s="62">
        <f t="shared" si="38"/>
        <v>247.01165577562966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4.2</v>
      </c>
      <c r="BY62" s="13">
        <f>IF('Données projet'!$A$114&gt;35,BY61+BX62-CG61,IF(A62&lt;'Données projet'!$A$114,$BV$205^A62,IF(A62='Données projet'!$A$114,'Données projet'!$B$114,BY61+BX62-CG61)))</f>
        <v>155.79999999999993</v>
      </c>
      <c r="BZ62" s="14">
        <f>BY62*VLOOKUP('Données projet'!$B$12,Paramètres!$A$1:$I$89,3,0)*VLOOKUP('Données projet'!$B$12,Paramètres!$A$1:$I$89,5,0)</f>
        <v>126.38495999999995</v>
      </c>
      <c r="CA62" s="14">
        <f t="shared" si="39"/>
        <v>33.15966361020606</v>
      </c>
      <c r="CB62" s="22">
        <f t="shared" si="10"/>
        <v>277.87355278777545</v>
      </c>
      <c r="CC62" s="62">
        <f t="shared" si="11"/>
        <v>571.20688612110871</v>
      </c>
      <c r="CD62" s="62">
        <f ca="1">AVERAGE(OFFSET($CC$3,0,0,'Données projet'!$E$12+1,1))-AVERAGE(OFFSET($H$3,0,0,'Données projet'!$E$12+1,1))</f>
        <v>236.22643401787644</v>
      </c>
      <c r="CE62" s="62">
        <f t="shared" si="40"/>
        <v>188.80444043778022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10.737820512820514</v>
      </c>
      <c r="CT62" s="13">
        <f>IF('Données projet'!$A$140&gt;35,CT61+CS62-DB61,IF(A62&lt;'Données projet'!$A$140,$CQ$205^A62,IF(A62='Données projet'!$A$140,'Données projet'!$B$140,CT61+CS62-DB61)))</f>
        <v>307.7410256410256</v>
      </c>
      <c r="CU62" s="18">
        <f>CT62*VLOOKUP('Données projet'!$B$13,Paramètres!$A$1:$I$89,3,0)*VLOOKUP('Données projet'!$B$13,Paramètres!$A$1:$I$89,5,0)</f>
        <v>144.02279999999999</v>
      </c>
      <c r="CV62" s="14">
        <f t="shared" si="41"/>
        <v>37.217047549420407</v>
      </c>
      <c r="CW62" s="22">
        <f t="shared" si="13"/>
        <v>315.65940114857386</v>
      </c>
      <c r="CX62" s="62">
        <f t="shared" si="14"/>
        <v>608.99273448190718</v>
      </c>
      <c r="CY62" s="62">
        <f ca="1">AVERAGE(OFFSET($CX$3,0,0,'Données projet'!$E$13+1,1))-AVERAGE(OFFSET($H$3,0,0,'Données projet'!$E$13+1,1))</f>
        <v>246.73711856758143</v>
      </c>
      <c r="CZ62" s="62">
        <f t="shared" si="42"/>
        <v>145.54897745089966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5.2564102564102537</v>
      </c>
      <c r="DO62" s="13">
        <f>IF('Données projet'!$A$166&gt;35,DO61+DN62-DW61,IF(A62&lt;'Données projet'!$A$166,$DL$205^A62,IF(A62='Données projet'!$A$166,'Données projet'!$B$166,DO61+DN62-DW61)))</f>
        <v>228.07692307692295</v>
      </c>
      <c r="DP62" s="18">
        <f>DO62*VLOOKUP('Données projet'!$B$14,Paramètres!$A$1:$I$89,3,0)*VLOOKUP('Données projet'!$B$14,Paramètres!$A$1:$I$89,5,0)</f>
        <v>238.38599999999991</v>
      </c>
      <c r="DQ62" s="14">
        <f t="shared" si="43"/>
        <v>58.092134262616966</v>
      </c>
      <c r="DR62" s="22">
        <f t="shared" si="16"/>
        <v>516.3660838407244</v>
      </c>
      <c r="DS62" s="62">
        <f t="shared" si="17"/>
        <v>809.69941717405777</v>
      </c>
      <c r="DT62" s="62">
        <f ca="1">AVERAGE(OFFSET($DS$3,0,0,'Données projet'!$E$14+1,1))-AVERAGE(OFFSET($H$3,0,0,'Données projet'!$E$14+1,1))</f>
        <v>493.70175665335978</v>
      </c>
      <c r="DU62" s="62">
        <f t="shared" si="44"/>
        <v>325.12357781685949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3.2</v>
      </c>
      <c r="EJ62" s="13">
        <f>IF('Données projet'!$A$192&gt;35,EJ61+EI62-ER61,IF(A62&lt;'Données projet'!$A$192,$EG$205^A62,IF(A62='Données projet'!$A$192,'Données projet'!$B$192,EJ61+EI62-ER61)))</f>
        <v>145.79999999999993</v>
      </c>
      <c r="EK62" s="18">
        <f>EJ62*VLOOKUP('Données projet'!$B$15,Paramètres!$A$1:$I$89,3,0)*VLOOKUP('Données projet'!$B$15,Paramètres!$A$1:$I$89,5,0)</f>
        <v>127.37087999999996</v>
      </c>
      <c r="EL62" s="14">
        <f t="shared" si="45"/>
        <v>33.388126388800494</v>
      </c>
      <c r="EM62" s="22">
        <f t="shared" si="19"/>
        <v>279.98860279382745</v>
      </c>
      <c r="EN62" s="62">
        <f t="shared" si="20"/>
        <v>573.32193612716082</v>
      </c>
      <c r="EO62" s="62">
        <f ca="1">AVERAGE(OFFSET($EN$3,0,0,'Données projet'!$E$15+1,1))-AVERAGE(OFFSET($H$3,0,0,'Données projet'!$E$15+1,1))</f>
        <v>202.86354781280403</v>
      </c>
      <c r="EP62" s="62">
        <f t="shared" si="46"/>
        <v>217.25323885665131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4.7435897435897463</v>
      </c>
      <c r="FE62" s="13">
        <f>IF('Données projet'!$A$218&gt;35,FE61+FD62-FM61,IF(A62&lt;'Données projet'!$A$218,$FB$205^A62,IF(A62='Données projet'!$A$218,'Données projet'!$B$218,FE61+FD62-FM61)))</f>
        <v>173.4615384615384</v>
      </c>
      <c r="FF62" s="18">
        <f>FE62*VLOOKUP('Données projet'!$B$16,Paramètres!$A$1:$I$89,3,0)*VLOOKUP('Données projet'!$B$16,Paramètres!$A$1:$I$89,5,0)</f>
        <v>165.06599999999995</v>
      </c>
      <c r="FG62" s="14">
        <f t="shared" si="47"/>
        <v>41.983084622237634</v>
      </c>
      <c r="FH62" s="22">
        <f t="shared" si="22"/>
        <v>360.61048905039712</v>
      </c>
      <c r="FI62" s="62">
        <f t="shared" si="23"/>
        <v>653.94382238373043</v>
      </c>
      <c r="FJ62" s="62">
        <f ca="1">AVERAGE(OFFSET($FI$3,0,0,'Données projet'!$E$16+1,1))-AVERAGE(OFFSET($H$3,0,0,'Données projet'!$E$16+1,1))</f>
        <v>353.61481736740694</v>
      </c>
      <c r="FK62" s="62">
        <f t="shared" si="48"/>
        <v>244.7141066773861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3.8</v>
      </c>
      <c r="FZ62" s="13">
        <f>IF('Données projet'!$A$244&gt;35,FZ61+FY62-GH61,IF(A62&lt;'Données projet'!$A$244,$FW$205^A62,IF(A62='Données projet'!$A$244,'Données projet'!$B$244,FZ61+FY62-GH61)))</f>
        <v>111.19999999999996</v>
      </c>
      <c r="GA62" s="18">
        <f>FZ62*VLOOKUP('Données projet'!$B$17,Paramètres!$A$1:$I$89,3,0)*VLOOKUP('Données projet'!$B$17,Paramètres!$A$1:$I$89,5,0)</f>
        <v>119.69567999999995</v>
      </c>
      <c r="GB62" s="14">
        <f t="shared" si="49"/>
        <v>31.604011165765666</v>
      </c>
      <c r="GC62" s="22">
        <f t="shared" si="25"/>
        <v>263.51362878037509</v>
      </c>
      <c r="GD62" s="62">
        <f t="shared" si="26"/>
        <v>556.8469621137084</v>
      </c>
      <c r="GE62" s="62">
        <f ca="1">AVERAGE(OFFSET($GD$3,0,0,'Données projet'!$E$17+1,1))-AVERAGE(OFFSET($H$3,0,0,'Données projet'!$E$17+1,1))</f>
        <v>280.20599015000306</v>
      </c>
      <c r="GF62" s="62">
        <f t="shared" si="50"/>
        <v>166.97658184507787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5.2564102564102599</v>
      </c>
      <c r="GU62" s="13">
        <f>IF('Données projet'!$A$270&gt;35,GU61+GT62-HC61,IF(A62&lt;'Données projet'!$A$270,$GR$205^A62,IF(A62='Données projet'!$A$270,'Données projet'!$B$270,GU61+GT62-HC61)))</f>
        <v>207.56410256410243</v>
      </c>
      <c r="GV62" s="18">
        <f>GU62*VLOOKUP('Données projet'!$B$18,Paramètres!$A$1:$I$89,3,0)*VLOOKUP('Données projet'!$B$18,Paramètres!$A$1:$I$89,5,0)</f>
        <v>139.2339999999999</v>
      </c>
      <c r="GW62" s="14">
        <f t="shared" si="51"/>
        <v>36.12146965812709</v>
      </c>
      <c r="GX62" s="22">
        <f t="shared" si="28"/>
        <v>305.41077632123785</v>
      </c>
      <c r="GY62" s="62">
        <f t="shared" si="29"/>
        <v>598.74410965457116</v>
      </c>
      <c r="GZ62" s="62">
        <f ca="1">AVERAGE(OFFSET($GY$3,0,0,'Données projet'!$E$18+1,1))-AVERAGE(OFFSET($H$3,0,0,'Données projet'!$E$18+1,1))</f>
        <v>291.18686311753402</v>
      </c>
      <c r="HA62" s="62">
        <f t="shared" si="52"/>
        <v>215.44422413249839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9">
        <f t="shared" si="1"/>
        <v>256.66666666666669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353.5</v>
      </c>
      <c r="L63" s="13">
        <f>VLOOKUP(A63,'Données projet'!$A$35:$I$55,9,0)</f>
        <v>10.464423076923076</v>
      </c>
      <c r="M63" s="13">
        <f t="array" ref="M63">INDEX(L:L,MIN(IF(ISNUMBER(L63:L259),ROW(L63:L259),"")))</f>
        <v>10.464423076923076</v>
      </c>
      <c r="N63" s="14">
        <f>IF('Données projet'!$A$36&gt;35,N62+M63-V62,IF(A63&lt;'Données projet'!$A$36,$K$205^A63,IF(A63='Données projet'!$A$36,'Données projet'!$B$36,N62+M63-V62)))</f>
        <v>353.50000000000011</v>
      </c>
      <c r="O63" s="14">
        <f>N63*VLOOKUP('Données projet'!$B$9,Paramètres!$A$1:$I$89,3,0)*VLOOKUP('Données projet'!$B$9,Paramètres!$A$1:$I$89,5,0)</f>
        <v>211.39300000000009</v>
      </c>
      <c r="P63" s="14">
        <f t="shared" si="33"/>
        <v>52.239874015944089</v>
      </c>
      <c r="Q63" s="22">
        <f t="shared" si="53"/>
        <v>459.16058891110282</v>
      </c>
      <c r="R63" s="62">
        <f t="shared" si="0"/>
        <v>752.49392224443613</v>
      </c>
      <c r="S63" s="62">
        <f ca="1">AVERAGE(OFFSET($R$3,0,0,'Données projet'!$E$9+1,1))-AVERAGE(OFFSET($H$3,0,0,'Données projet'!$E$9+1,1))</f>
        <v>260.02504691866199</v>
      </c>
      <c r="T63" s="62">
        <f t="shared" si="34"/>
        <v>270.11268336406368</v>
      </c>
      <c r="U63" s="16">
        <f>IF(ISNA(VLOOKUP(A63,'Données projet'!$A$35:$I$55,3,0)),0,VLOOKUP(A63,'Données projet'!$A$35:$I$55,3,0))</f>
        <v>7</v>
      </c>
      <c r="V63" s="16">
        <f>IF(ISNA(VLOOKUP(A63,'Données projet'!$A$35:$I$55,4,0)),0,VLOOKUP(A63,'Données projet'!$A$35:$I$55,4,0))</f>
        <v>353.5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5.5250319498372589</v>
      </c>
      <c r="AA63" s="23">
        <f>EXP(-LN(2)/25)*AA62+(1-EXP(-LN(2)/25))/(LN(2)/25)*Calculateur!V63*Calculateur!X63*VLOOKUP('Données projet'!$B$9,Paramètres!$A$1:$I$89,3,0)*0.475*44/12</f>
        <v>7.1542008277090536</v>
      </c>
      <c r="AB63" s="23">
        <f>EXP(-LN(2)/2)*AB62+(1-EXP(-LN(2)/2))/(LN(2)/2)*V63*Y63*VLOOKUP('Données projet'!$B$9,Paramètres!$A$1:$I$89,3,0)*0.475*44/12</f>
        <v>1.934802534766798E-4</v>
      </c>
      <c r="AC63" s="24">
        <f t="shared" si="3"/>
        <v>12.67942625779979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2">
        <f t="shared" si="5"/>
        <v>809.49621416941091</v>
      </c>
      <c r="AN63" s="62">
        <f ca="1">AVERAGE(OFFSET($AM$3,0,0,'Données projet'!$E$10+1,1))-AVERAGE(OFFSET($H$3,0,0,'Données projet'!$E$10+1,1))</f>
        <v>475.47920969424894</v>
      </c>
      <c r="AO63" s="62">
        <f t="shared" si="36"/>
        <v>271.73544012419364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212.62799999999999</v>
      </c>
      <c r="BF63" s="14">
        <f t="shared" si="37"/>
        <v>52.509453483719035</v>
      </c>
      <c r="BG63" s="22">
        <f t="shared" si="7"/>
        <v>461.78106481747727</v>
      </c>
      <c r="BH63" s="62">
        <f t="shared" si="8"/>
        <v>755.11439815081053</v>
      </c>
      <c r="BI63" s="62">
        <f ca="1">AVERAGE(OFFSET($BH$3,0,0,'Données projet'!$E$11+1,1))-AVERAGE(OFFSET($H$3,0,0,'Données projet'!$E$11+1,1))</f>
        <v>428.8489304403459</v>
      </c>
      <c r="BJ63" s="62">
        <f t="shared" si="38"/>
        <v>247.01165577562966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160</v>
      </c>
      <c r="BW63" s="13">
        <f>VLOOKUP(A63,'Données projet'!$A$113:$I$133,9,0)</f>
        <v>4.2</v>
      </c>
      <c r="BX63" s="13">
        <f t="array" ref="BX63">INDEX(BW:BW,MIN(IF(ISNUMBER(BW63:BW259),ROW(BW63:BW259),"")))</f>
        <v>4.2</v>
      </c>
      <c r="BY63" s="13">
        <f>IF('Données projet'!$A$114&gt;35,BY62+BX63-CG62,IF(A63&lt;'Données projet'!$A$114,$BV$205^A63,IF(A63='Données projet'!$A$114,'Données projet'!$B$114,BY62+BX63-CG62)))</f>
        <v>159.99999999999991</v>
      </c>
      <c r="BZ63" s="14">
        <f>BY63*VLOOKUP('Données projet'!$B$12,Paramètres!$A$1:$I$89,3,0)*VLOOKUP('Données projet'!$B$12,Paramètres!$A$1:$I$89,5,0)</f>
        <v>129.79199999999994</v>
      </c>
      <c r="CA63" s="14">
        <f t="shared" si="39"/>
        <v>33.948292161114985</v>
      </c>
      <c r="CB63" s="22">
        <f t="shared" si="10"/>
        <v>285.18100884727511</v>
      </c>
      <c r="CC63" s="62">
        <f t="shared" si="11"/>
        <v>578.51434218060842</v>
      </c>
      <c r="CD63" s="62">
        <f ca="1">AVERAGE(OFFSET($CC$3,0,0,'Données projet'!$E$12+1,1))-AVERAGE(OFFSET($H$3,0,0,'Données projet'!$E$12+1,1))</f>
        <v>236.22643401787644</v>
      </c>
      <c r="CE63" s="62">
        <f t="shared" si="40"/>
        <v>188.80444043778022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10.737820512820514</v>
      </c>
      <c r="CT63" s="13">
        <f>IF('Données projet'!$A$140&gt;35,CT62+CS63-DB62,IF(A63&lt;'Données projet'!$A$140,$CQ$205^A63,IF(A63='Données projet'!$A$140,'Données projet'!$B$140,CT62+CS63-DB62)))</f>
        <v>318.47884615384612</v>
      </c>
      <c r="CU63" s="18">
        <f>CT63*VLOOKUP('Données projet'!$B$13,Paramètres!$A$1:$I$89,3,0)*VLOOKUP('Données projet'!$B$13,Paramètres!$A$1:$I$89,5,0)</f>
        <v>149.04810000000001</v>
      </c>
      <c r="CV63" s="14">
        <f t="shared" si="41"/>
        <v>38.362182844758038</v>
      </c>
      <c r="CW63" s="22">
        <f t="shared" si="13"/>
        <v>326.40624262128694</v>
      </c>
      <c r="CX63" s="62">
        <f t="shared" si="14"/>
        <v>619.73957595462025</v>
      </c>
      <c r="CY63" s="62">
        <f ca="1">AVERAGE(OFFSET($CX$3,0,0,'Données projet'!$E$13+1,1))-AVERAGE(OFFSET($H$3,0,0,'Données projet'!$E$13+1,1))</f>
        <v>246.73711856758143</v>
      </c>
      <c r="CZ63" s="62">
        <f t="shared" si="42"/>
        <v>145.54897745089966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233.33333333333331</v>
      </c>
      <c r="DM63" s="13">
        <f>VLOOKUP(A63,'Données projet'!$A$165:$I$185,9,0)</f>
        <v>5.2564102564102537</v>
      </c>
      <c r="DN63" s="13">
        <f t="array" ref="DN63">INDEX(DM:DM,MIN(IF(ISNUMBER(DM63:DM259),ROW(DM63:DM259),"")))</f>
        <v>5.2564102564102537</v>
      </c>
      <c r="DO63" s="13">
        <f>IF('Données projet'!$A$166&gt;35,DO62+DN63-DW62,IF(A63&lt;'Données projet'!$A$166,$DL$205^A63,IF(A63='Données projet'!$A$166,'Données projet'!$B$166,DO62+DN63-DW62)))</f>
        <v>233.3333333333332</v>
      </c>
      <c r="DP63" s="18">
        <f>DO63*VLOOKUP('Données projet'!$B$14,Paramètres!$A$1:$I$89,3,0)*VLOOKUP('Données projet'!$B$14,Paramètres!$A$1:$I$89,5,0)</f>
        <v>243.87999999999988</v>
      </c>
      <c r="DQ63" s="14">
        <f t="shared" si="43"/>
        <v>59.2735506045045</v>
      </c>
      <c r="DR63" s="22">
        <f t="shared" si="16"/>
        <v>527.99243396951181</v>
      </c>
      <c r="DS63" s="62">
        <f t="shared" si="17"/>
        <v>821.32576730284518</v>
      </c>
      <c r="DT63" s="62">
        <f ca="1">AVERAGE(OFFSET($DS$3,0,0,'Données projet'!$E$14+1,1))-AVERAGE(OFFSET($H$3,0,0,'Données projet'!$E$14+1,1))</f>
        <v>493.70175665335978</v>
      </c>
      <c r="DU63" s="62">
        <f t="shared" si="44"/>
        <v>325.12357781685949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24.358974358974358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149</v>
      </c>
      <c r="EH63" s="13">
        <f>VLOOKUP(A63,'Données projet'!$A$191:$I$211,9,0)</f>
        <v>3.2</v>
      </c>
      <c r="EI63" s="13">
        <f t="array" ref="EI63">INDEX(EH:EH,MIN(IF(ISNUMBER(EH63:EH259),ROW(EH63:EH259),"")))</f>
        <v>3.2</v>
      </c>
      <c r="EJ63" s="13">
        <f>IF('Données projet'!$A$192&gt;35,EJ62+EI63-ER62,IF(A63&lt;'Données projet'!$A$192,$EG$205^A63,IF(A63='Données projet'!$A$192,'Données projet'!$B$192,EJ62+EI63-ER62)))</f>
        <v>148.99999999999991</v>
      </c>
      <c r="EK63" s="18">
        <f>EJ63*VLOOKUP('Données projet'!$B$15,Paramètres!$A$1:$I$89,3,0)*VLOOKUP('Données projet'!$B$15,Paramètres!$A$1:$I$89,5,0)</f>
        <v>130.16639999999992</v>
      </c>
      <c r="EL63" s="14">
        <f t="shared" si="45"/>
        <v>34.034806623706274</v>
      </c>
      <c r="EM63" s="22">
        <f t="shared" si="19"/>
        <v>285.98376820295493</v>
      </c>
      <c r="EN63" s="62">
        <f t="shared" si="20"/>
        <v>579.31710153628819</v>
      </c>
      <c r="EO63" s="62">
        <f ca="1">AVERAGE(OFFSET($EN$3,0,0,'Données projet'!$E$15+1,1))-AVERAGE(OFFSET($H$3,0,0,'Données projet'!$E$15+1,1))</f>
        <v>202.86354781280403</v>
      </c>
      <c r="EP63" s="62">
        <f t="shared" si="46"/>
        <v>217.25323885665131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16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178.2051282051282</v>
      </c>
      <c r="FC63" s="13">
        <f>VLOOKUP(A63,'Données projet'!$A$217:$I$237,9,0)</f>
        <v>4.7435897435897463</v>
      </c>
      <c r="FD63" s="13">
        <f t="array" ref="FD63">INDEX(FC:FC,MIN(IF(ISNUMBER(FC63:FC259),ROW(FC63:FC259),"")))</f>
        <v>4.7435897435897463</v>
      </c>
      <c r="FE63" s="13">
        <f>IF('Données projet'!$A$218&gt;35,FE62+FD63-FM62,IF(A63&lt;'Données projet'!$A$218,$FB$205^A63,IF(A63='Données projet'!$A$218,'Données projet'!$B$218,FE62+FD63-FM62)))</f>
        <v>178.20512820512815</v>
      </c>
      <c r="FF63" s="18">
        <f>FE63*VLOOKUP('Données projet'!$B$16,Paramètres!$A$1:$I$89,3,0)*VLOOKUP('Données projet'!$B$16,Paramètres!$A$1:$I$89,5,0)</f>
        <v>169.57999999999993</v>
      </c>
      <c r="FG63" s="14">
        <f t="shared" si="47"/>
        <v>42.995944018844156</v>
      </c>
      <c r="FH63" s="22">
        <f t="shared" si="22"/>
        <v>370.23643583282006</v>
      </c>
      <c r="FI63" s="62">
        <f t="shared" si="23"/>
        <v>663.56976916615338</v>
      </c>
      <c r="FJ63" s="62">
        <f ca="1">AVERAGE(OFFSET($FI$3,0,0,'Données projet'!$E$16+1,1))-AVERAGE(OFFSET($H$3,0,0,'Données projet'!$E$16+1,1))</f>
        <v>353.61481736740694</v>
      </c>
      <c r="FK63" s="62">
        <f t="shared" si="48"/>
        <v>244.7141066773861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115</v>
      </c>
      <c r="FX63" s="13">
        <f>VLOOKUP(A63,'Données projet'!$A$243:$I$263,9,0)</f>
        <v>3.8</v>
      </c>
      <c r="FY63" s="13">
        <f t="array" ref="FY63">INDEX(FX:FX,MIN(IF(ISNUMBER(FX63:FX259),ROW(FX63:FX259),"")))</f>
        <v>3.8</v>
      </c>
      <c r="FZ63" s="13">
        <f>IF('Données projet'!$A$244&gt;35,FZ62+FY63-GH62,IF(A63&lt;'Données projet'!$A$244,$FW$205^A63,IF(A63='Données projet'!$A$244,'Données projet'!$B$244,FZ62+FY63-GH62)))</f>
        <v>114.99999999999996</v>
      </c>
      <c r="GA63" s="18">
        <f>FZ63*VLOOKUP('Données projet'!$B$17,Paramètres!$A$1:$I$89,3,0)*VLOOKUP('Données projet'!$B$17,Paramètres!$A$1:$I$89,5,0)</f>
        <v>123.78599999999994</v>
      </c>
      <c r="GB63" s="14">
        <f t="shared" si="49"/>
        <v>32.556418931566412</v>
      </c>
      <c r="GC63" s="22">
        <f t="shared" si="25"/>
        <v>272.29637963914473</v>
      </c>
      <c r="GD63" s="62">
        <f t="shared" si="26"/>
        <v>565.62971297247805</v>
      </c>
      <c r="GE63" s="62">
        <f ca="1">AVERAGE(OFFSET($GD$3,0,0,'Données projet'!$E$17+1,1))-AVERAGE(OFFSET($H$3,0,0,'Données projet'!$E$17+1,1))</f>
        <v>280.20599015000306</v>
      </c>
      <c r="GF63" s="62">
        <f t="shared" si="50"/>
        <v>166.97658184507787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212.82051282051282</v>
      </c>
      <c r="GS63" s="13">
        <f>VLOOKUP(A63,'Données projet'!$A$269:$I$289,9,0)</f>
        <v>5.2564102564102599</v>
      </c>
      <c r="GT63" s="13">
        <f t="array" ref="GT63">INDEX(GS:GS,MIN(IF(ISNUMBER(GS63:GS259),ROW(GS63:GS259),"")))</f>
        <v>5.2564102564102599</v>
      </c>
      <c r="GU63" s="13">
        <f>IF('Données projet'!$A$270&gt;35,GU62+GT63-HC62,IF(A63&lt;'Données projet'!$A$270,$GR$205^A63,IF(A63='Données projet'!$A$270,'Données projet'!$B$270,GU62+GT63-HC62)))</f>
        <v>212.82051282051268</v>
      </c>
      <c r="GV63" s="18">
        <f>GU63*VLOOKUP('Données projet'!$B$18,Paramètres!$A$1:$I$89,3,0)*VLOOKUP('Données projet'!$B$18,Paramètres!$A$1:$I$89,5,0)</f>
        <v>142.75999999999991</v>
      </c>
      <c r="GW63" s="14">
        <f t="shared" si="51"/>
        <v>36.928562548329118</v>
      </c>
      <c r="GX63" s="22">
        <f t="shared" si="28"/>
        <v>312.95757977167301</v>
      </c>
      <c r="GY63" s="62">
        <f t="shared" si="29"/>
        <v>606.29091310500633</v>
      </c>
      <c r="GZ63" s="62">
        <f ca="1">AVERAGE(OFFSET($GY$3,0,0,'Données projet'!$E$18+1,1))-AVERAGE(OFFSET($H$3,0,0,'Données projet'!$E$18+1,1))</f>
        <v>291.18686311753402</v>
      </c>
      <c r="HA63" s="62">
        <f t="shared" si="52"/>
        <v>215.44422413249839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9">
        <f t="shared" si="1"/>
        <v>256.66666666666669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260.02504691866199</v>
      </c>
      <c r="T64" s="62">
        <f t="shared" si="34"/>
        <v>270.11268336406368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5.4166894432376864</v>
      </c>
      <c r="AA64" s="23">
        <f>EXP(-LN(2)/25)*AA63+(1-EXP(-LN(2)/25))/(LN(2)/25)*Calculateur!V64*Calculateur!X64*VLOOKUP('Données projet'!$B$9,Paramètres!$A$1:$I$89,3,0)*0.475*44/12</f>
        <v>6.958568829852279</v>
      </c>
      <c r="AB64" s="23">
        <f>EXP(-LN(2)/2)*AB63+(1-EXP(-LN(2)/2))/(LN(2)/2)*V64*Y64*VLOOKUP('Données projet'!$B$9,Paramètres!$A$1:$I$89,3,0)*0.475*44/12</f>
        <v>1.3681119925905238E-4</v>
      </c>
      <c r="AC64" s="24">
        <f t="shared" si="3"/>
        <v>12.375395084289224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2">
        <f t="shared" si="5"/>
        <v>734.68267195239741</v>
      </c>
      <c r="AN64" s="62">
        <f ca="1">AVERAGE(OFFSET($AM$3,0,0,'Données projet'!$E$10+1,1))-AVERAGE(OFFSET($H$3,0,0,'Données projet'!$E$10+1,1))</f>
        <v>475.47920969424894</v>
      </c>
      <c r="AO64" s="62">
        <f t="shared" si="36"/>
        <v>271.73544012419364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181.14095999999995</v>
      </c>
      <c r="BF64" s="14">
        <f t="shared" si="37"/>
        <v>45.575935320610945</v>
      </c>
      <c r="BG64" s="22">
        <f t="shared" si="7"/>
        <v>394.86525935006392</v>
      </c>
      <c r="BH64" s="62">
        <f t="shared" si="8"/>
        <v>688.19859268339724</v>
      </c>
      <c r="BI64" s="62">
        <f ca="1">AVERAGE(OFFSET($BH$3,0,0,'Données projet'!$E$11+1,1))-AVERAGE(OFFSET($H$3,0,0,'Données projet'!$E$11+1,1))</f>
        <v>428.8489304403459</v>
      </c>
      <c r="BJ64" s="62">
        <f t="shared" si="38"/>
        <v>247.01165577562966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</v>
      </c>
      <c r="BY64" s="13">
        <f>IF('Données projet'!$A$114&gt;35,BY63+BX64-CG63,IF(A64&lt;'Données projet'!$A$114,$BV$205^A64,IF(A64='Données projet'!$A$114,'Données projet'!$B$114,BY63+BX64-CG63)))</f>
        <v>163.99999999999991</v>
      </c>
      <c r="BZ64" s="14">
        <f>BY64*VLOOKUP('Données projet'!$B$12,Paramètres!$A$1:$I$89,3,0)*VLOOKUP('Données projet'!$B$12,Paramètres!$A$1:$I$89,5,0)</f>
        <v>133.03679999999994</v>
      </c>
      <c r="CA64" s="14">
        <f t="shared" si="39"/>
        <v>34.697128823525233</v>
      </c>
      <c r="CB64" s="22">
        <f t="shared" si="10"/>
        <v>292.13659270097298</v>
      </c>
      <c r="CC64" s="62">
        <f t="shared" si="11"/>
        <v>585.46992603430635</v>
      </c>
      <c r="CD64" s="62">
        <f ca="1">AVERAGE(OFFSET($CC$3,0,0,'Données projet'!$E$12+1,1))-AVERAGE(OFFSET($H$3,0,0,'Données projet'!$E$12+1,1))</f>
        <v>236.22643401787644</v>
      </c>
      <c r="CE64" s="62">
        <f t="shared" si="40"/>
        <v>188.80444043778022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10.737820512820514</v>
      </c>
      <c r="CT64" s="13">
        <f>IF('Données projet'!$A$140&gt;35,CT63+CS64-DB63,IF(A64&lt;'Données projet'!$A$140,$CQ$205^A64,IF(A64='Données projet'!$A$140,'Données projet'!$B$140,CT63+CS64-DB63)))</f>
        <v>329.21666666666664</v>
      </c>
      <c r="CU64" s="18">
        <f>CT64*VLOOKUP('Données projet'!$B$13,Paramètres!$A$1:$I$89,3,0)*VLOOKUP('Données projet'!$B$13,Paramètres!$A$1:$I$89,5,0)</f>
        <v>154.07339999999999</v>
      </c>
      <c r="CV64" s="14">
        <f t="shared" si="41"/>
        <v>39.502831922454014</v>
      </c>
      <c r="CW64" s="22">
        <f t="shared" si="13"/>
        <v>337.14527059827407</v>
      </c>
      <c r="CX64" s="62">
        <f t="shared" si="14"/>
        <v>630.47860393160738</v>
      </c>
      <c r="CY64" s="62">
        <f ca="1">AVERAGE(OFFSET($CX$3,0,0,'Données projet'!$E$13+1,1))-AVERAGE(OFFSET($H$3,0,0,'Données projet'!$E$13+1,1))</f>
        <v>246.73711856758143</v>
      </c>
      <c r="CZ64" s="62">
        <f t="shared" si="42"/>
        <v>145.54897745089966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5.0000000000000053</v>
      </c>
      <c r="DO64" s="13">
        <f>IF('Données projet'!$A$166&gt;35,DO63+DN64-DW63,IF(A64&lt;'Données projet'!$A$166,$DL$205^A64,IF(A64='Données projet'!$A$166,'Données projet'!$B$166,DO63+DN64-DW63)))</f>
        <v>213.97435897435884</v>
      </c>
      <c r="DP64" s="18">
        <f>DO64*VLOOKUP('Données projet'!$B$14,Paramètres!$A$1:$I$89,3,0)*VLOOKUP('Données projet'!$B$14,Paramètres!$A$1:$I$89,5,0)</f>
        <v>223.64599999999987</v>
      </c>
      <c r="DQ64" s="14">
        <f t="shared" si="43"/>
        <v>54.906566144961104</v>
      </c>
      <c r="DR64" s="22">
        <f t="shared" si="16"/>
        <v>485.14571936914029</v>
      </c>
      <c r="DS64" s="62">
        <f t="shared" si="17"/>
        <v>778.47905270247361</v>
      </c>
      <c r="DT64" s="62">
        <f ca="1">AVERAGE(OFFSET($DS$3,0,0,'Données projet'!$E$14+1,1))-AVERAGE(OFFSET($H$3,0,0,'Données projet'!$E$14+1,1))</f>
        <v>493.70175665335978</v>
      </c>
      <c r="DU64" s="62">
        <f t="shared" si="44"/>
        <v>325.12357781685949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2.6</v>
      </c>
      <c r="EJ64" s="13">
        <f>IF('Données projet'!$A$192&gt;35,EJ63+EI64-ER63,IF(A64&lt;'Données projet'!$A$192,$EG$205^A64,IF(A64='Données projet'!$A$192,'Données projet'!$B$192,EJ63+EI64-ER63)))</f>
        <v>135.59999999999991</v>
      </c>
      <c r="EK64" s="18">
        <f>EJ64*VLOOKUP('Données projet'!$B$15,Paramètres!$A$1:$I$89,3,0)*VLOOKUP('Données projet'!$B$15,Paramètres!$A$1:$I$89,5,0)</f>
        <v>118.46015999999993</v>
      </c>
      <c r="EL64" s="14">
        <f t="shared" si="45"/>
        <v>31.315587396029649</v>
      </c>
      <c r="EM64" s="22">
        <f t="shared" si="19"/>
        <v>260.85942671475146</v>
      </c>
      <c r="EN64" s="62">
        <f t="shared" si="20"/>
        <v>554.19276004808478</v>
      </c>
      <c r="EO64" s="62">
        <f ca="1">AVERAGE(OFFSET($EN$3,0,0,'Données projet'!$E$15+1,1))-AVERAGE(OFFSET($H$3,0,0,'Données projet'!$E$15+1,1))</f>
        <v>202.86354781280403</v>
      </c>
      <c r="EP64" s="62">
        <f t="shared" si="46"/>
        <v>217.25323885665131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4.4871794871794863</v>
      </c>
      <c r="FE64" s="13">
        <f>IF('Données projet'!$A$218&gt;35,FE63+FD64-FM63,IF(A64&lt;'Données projet'!$A$218,$FB$205^A64,IF(A64='Données projet'!$A$218,'Données projet'!$B$218,FE63+FD64-FM63)))</f>
        <v>182.69230769230762</v>
      </c>
      <c r="FF64" s="18">
        <f>FE64*VLOOKUP('Données projet'!$B$16,Paramètres!$A$1:$I$89,3,0)*VLOOKUP('Données projet'!$B$16,Paramètres!$A$1:$I$89,5,0)</f>
        <v>173.84999999999994</v>
      </c>
      <c r="FG64" s="14">
        <f t="shared" si="47"/>
        <v>43.951168452592761</v>
      </c>
      <c r="FH64" s="22">
        <f t="shared" si="22"/>
        <v>379.3370350549323</v>
      </c>
      <c r="FI64" s="62">
        <f t="shared" si="23"/>
        <v>672.67036838826562</v>
      </c>
      <c r="FJ64" s="62">
        <f ca="1">AVERAGE(OFFSET($FI$3,0,0,'Données projet'!$E$16+1,1))-AVERAGE(OFFSET($H$3,0,0,'Données projet'!$E$16+1,1))</f>
        <v>353.61481736740694</v>
      </c>
      <c r="FK64" s="62">
        <f t="shared" si="48"/>
        <v>244.7141066773861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3.8</v>
      </c>
      <c r="FZ64" s="13">
        <f>IF('Données projet'!$A$244&gt;35,FZ63+FY64-GH63,IF(A64&lt;'Données projet'!$A$244,$FW$205^A64,IF(A64='Données projet'!$A$244,'Données projet'!$B$244,FZ63+FY64-GH63)))</f>
        <v>118.79999999999995</v>
      </c>
      <c r="GA64" s="18">
        <f>FZ64*VLOOKUP('Données projet'!$B$17,Paramètres!$A$1:$I$89,3,0)*VLOOKUP('Données projet'!$B$17,Paramètres!$A$1:$I$89,5,0)</f>
        <v>127.87631999999995</v>
      </c>
      <c r="GB64" s="14">
        <f t="shared" si="49"/>
        <v>33.505169821414185</v>
      </c>
      <c r="GC64" s="22">
        <f t="shared" si="25"/>
        <v>281.07276143896291</v>
      </c>
      <c r="GD64" s="62">
        <f t="shared" si="26"/>
        <v>574.40609477229623</v>
      </c>
      <c r="GE64" s="62">
        <f ca="1">AVERAGE(OFFSET($GD$3,0,0,'Données projet'!$E$17+1,1))-AVERAGE(OFFSET($H$3,0,0,'Données projet'!$E$17+1,1))</f>
        <v>280.20599015000306</v>
      </c>
      <c r="GF64" s="62">
        <f t="shared" si="50"/>
        <v>166.97658184507787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4.7435897435897401</v>
      </c>
      <c r="GU64" s="13">
        <f>IF('Données projet'!$A$270&gt;35,GU63+GT64-HC63,IF(A64&lt;'Données projet'!$A$270,$GR$205^A64,IF(A64='Données projet'!$A$270,'Données projet'!$B$270,GU63+GT64-HC63)))</f>
        <v>217.56410256410243</v>
      </c>
      <c r="GV64" s="18">
        <f>GU64*VLOOKUP('Données projet'!$B$18,Paramètres!$A$1:$I$89,3,0)*VLOOKUP('Données projet'!$B$18,Paramètres!$A$1:$I$89,5,0)</f>
        <v>145.94199999999992</v>
      </c>
      <c r="GW64" s="14">
        <f t="shared" si="51"/>
        <v>37.654923728693518</v>
      </c>
      <c r="GX64" s="22">
        <f t="shared" si="28"/>
        <v>319.76464216080774</v>
      </c>
      <c r="GY64" s="62">
        <f t="shared" si="29"/>
        <v>613.09797549414111</v>
      </c>
      <c r="GZ64" s="62">
        <f ca="1">AVERAGE(OFFSET($GY$3,0,0,'Données projet'!$E$18+1,1))-AVERAGE(OFFSET($H$3,0,0,'Données projet'!$E$18+1,1))</f>
        <v>291.18686311753402</v>
      </c>
      <c r="HA64" s="62">
        <f t="shared" si="52"/>
        <v>215.44422413249839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9">
        <f t="shared" si="1"/>
        <v>256.66666666666669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260.02504691866199</v>
      </c>
      <c r="T65" s="62">
        <f t="shared" si="34"/>
        <v>270.11268336406368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5.3104714671101272</v>
      </c>
      <c r="AA65" s="23">
        <f>EXP(-LN(2)/25)*AA64+(1-EXP(-LN(2)/25))/(LN(2)/25)*Calculateur!V65*Calculateur!X65*VLOOKUP('Données projet'!$B$9,Paramètres!$A$1:$I$89,3,0)*0.475*44/12</f>
        <v>6.7682863992647375</v>
      </c>
      <c r="AB65" s="23">
        <f>EXP(-LN(2)/2)*AB64+(1-EXP(-LN(2)/2))/(LN(2)/2)*V65*Y65*VLOOKUP('Données projet'!$B$9,Paramètres!$A$1:$I$89,3,0)*0.475*44/12</f>
        <v>9.6740126738339901E-5</v>
      </c>
      <c r="AC65" s="24">
        <f t="shared" si="3"/>
        <v>12.078854606501602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2">
        <f t="shared" si="5"/>
        <v>750.18212158935489</v>
      </c>
      <c r="AN65" s="62">
        <f ca="1">AVERAGE(OFFSET($AM$3,0,0,'Données projet'!$E$10+1,1))-AVERAGE(OFFSET($H$3,0,0,'Données projet'!$E$10+1,1))</f>
        <v>475.47920969424894</v>
      </c>
      <c r="AO65" s="62">
        <f t="shared" si="36"/>
        <v>271.73544012419364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187.65551999999994</v>
      </c>
      <c r="BF65" s="14">
        <f t="shared" si="37"/>
        <v>47.021247649900147</v>
      </c>
      <c r="BG65" s="22">
        <f t="shared" si="7"/>
        <v>408.72870365690932</v>
      </c>
      <c r="BH65" s="62">
        <f t="shared" si="8"/>
        <v>702.06203699024263</v>
      </c>
      <c r="BI65" s="62">
        <f ca="1">AVERAGE(OFFSET($BH$3,0,0,'Données projet'!$E$11+1,1))-AVERAGE(OFFSET($H$3,0,0,'Données projet'!$E$11+1,1))</f>
        <v>428.8489304403459</v>
      </c>
      <c r="BJ65" s="62">
        <f t="shared" si="38"/>
        <v>247.01165577562966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</v>
      </c>
      <c r="BY65" s="13">
        <f>IF('Données projet'!$A$114&gt;35,BY64+BX65-CG64,IF(A65&lt;'Données projet'!$A$114,$BV$205^A65,IF(A65='Données projet'!$A$114,'Données projet'!$B$114,BY64+BX65-CG64)))</f>
        <v>167.99999999999991</v>
      </c>
      <c r="BZ65" s="14">
        <f>BY65*VLOOKUP('Données projet'!$B$12,Paramètres!$A$1:$I$89,3,0)*VLOOKUP('Données projet'!$B$12,Paramètres!$A$1:$I$89,5,0)</f>
        <v>136.28159999999994</v>
      </c>
      <c r="CA65" s="14">
        <f t="shared" si="39"/>
        <v>35.443842312892279</v>
      </c>
      <c r="CB65" s="22">
        <f t="shared" si="10"/>
        <v>299.08847869495395</v>
      </c>
      <c r="CC65" s="62">
        <f t="shared" si="11"/>
        <v>592.42181202828726</v>
      </c>
      <c r="CD65" s="62">
        <f ca="1">AVERAGE(OFFSET($CC$3,0,0,'Données projet'!$E$12+1,1))-AVERAGE(OFFSET($H$3,0,0,'Données projet'!$E$12+1,1))</f>
        <v>236.22643401787644</v>
      </c>
      <c r="CE65" s="62">
        <f t="shared" si="40"/>
        <v>188.80444043778022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10.737820512820514</v>
      </c>
      <c r="CT65" s="13">
        <f>IF('Données projet'!$A$140&gt;35,CT64+CS65-DB64,IF(A65&lt;'Données projet'!$A$140,$CQ$205^A65,IF(A65='Données projet'!$A$140,'Données projet'!$B$140,CT64+CS65-DB64)))</f>
        <v>339.95448717948716</v>
      </c>
      <c r="CU65" s="18">
        <f>CT65*VLOOKUP('Données projet'!$B$13,Paramètres!$A$1:$I$89,3,0)*VLOOKUP('Données projet'!$B$13,Paramètres!$A$1:$I$89,5,0)</f>
        <v>159.09869999999998</v>
      </c>
      <c r="CV65" s="14">
        <f t="shared" si="41"/>
        <v>40.639157887301629</v>
      </c>
      <c r="CW65" s="22">
        <f t="shared" si="13"/>
        <v>347.87676915371691</v>
      </c>
      <c r="CX65" s="62">
        <f t="shared" si="14"/>
        <v>641.21010248705022</v>
      </c>
      <c r="CY65" s="62">
        <f ca="1">AVERAGE(OFFSET($CX$3,0,0,'Données projet'!$E$13+1,1))-AVERAGE(OFFSET($H$3,0,0,'Données projet'!$E$13+1,1))</f>
        <v>246.73711856758143</v>
      </c>
      <c r="CZ65" s="62">
        <f t="shared" si="42"/>
        <v>145.54897745089966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5.0000000000000053</v>
      </c>
      <c r="DO65" s="13">
        <f>IF('Données projet'!$A$166&gt;35,DO64+DN65-DW64,IF(A65&lt;'Données projet'!$A$166,$DL$205^A65,IF(A65='Données projet'!$A$166,'Données projet'!$B$166,DO64+DN65-DW64)))</f>
        <v>218.97435897435884</v>
      </c>
      <c r="DP65" s="18">
        <f>DO65*VLOOKUP('Données projet'!$B$14,Paramètres!$A$1:$I$89,3,0)*VLOOKUP('Données projet'!$B$14,Paramètres!$A$1:$I$89,5,0)</f>
        <v>228.87199999999987</v>
      </c>
      <c r="DQ65" s="14">
        <f t="shared" si="43"/>
        <v>56.038711813998113</v>
      </c>
      <c r="DR65" s="22">
        <f t="shared" si="16"/>
        <v>496.21948974271317</v>
      </c>
      <c r="DS65" s="62">
        <f t="shared" si="17"/>
        <v>789.55282307604648</v>
      </c>
      <c r="DT65" s="62">
        <f ca="1">AVERAGE(OFFSET($DS$3,0,0,'Données projet'!$E$14+1,1))-AVERAGE(OFFSET($H$3,0,0,'Données projet'!$E$14+1,1))</f>
        <v>493.70175665335978</v>
      </c>
      <c r="DU65" s="62">
        <f t="shared" si="44"/>
        <v>325.12357781685949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2.6</v>
      </c>
      <c r="EJ65" s="13">
        <f>IF('Données projet'!$A$192&gt;35,EJ64+EI65-ER64,IF(A65&lt;'Données projet'!$A$192,$EG$205^A65,IF(A65='Données projet'!$A$192,'Données projet'!$B$192,EJ64+EI65-ER64)))</f>
        <v>138.1999999999999</v>
      </c>
      <c r="EK65" s="18">
        <f>EJ65*VLOOKUP('Données projet'!$B$15,Paramètres!$A$1:$I$89,3,0)*VLOOKUP('Données projet'!$B$15,Paramètres!$A$1:$I$89,5,0)</f>
        <v>120.73151999999993</v>
      </c>
      <c r="EL65" s="14">
        <f t="shared" si="45"/>
        <v>31.845553926050336</v>
      </c>
      <c r="EM65" s="22">
        <f t="shared" si="19"/>
        <v>265.73840375453756</v>
      </c>
      <c r="EN65" s="62">
        <f t="shared" si="20"/>
        <v>559.07173708787082</v>
      </c>
      <c r="EO65" s="62">
        <f ca="1">AVERAGE(OFFSET($EN$3,0,0,'Données projet'!$E$15+1,1))-AVERAGE(OFFSET($H$3,0,0,'Données projet'!$E$15+1,1))</f>
        <v>202.86354781280403</v>
      </c>
      <c r="EP65" s="62">
        <f t="shared" si="46"/>
        <v>217.25323885665131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4.4871794871794863</v>
      </c>
      <c r="FE65" s="13">
        <f>IF('Données projet'!$A$218&gt;35,FE64+FD65-FM64,IF(A65&lt;'Données projet'!$A$218,$FB$205^A65,IF(A65='Données projet'!$A$218,'Données projet'!$B$218,FE64+FD65-FM64)))</f>
        <v>187.1794871794871</v>
      </c>
      <c r="FF65" s="18">
        <f>FE65*VLOOKUP('Données projet'!$B$16,Paramètres!$A$1:$I$89,3,0)*VLOOKUP('Données projet'!$B$16,Paramètres!$A$1:$I$89,5,0)</f>
        <v>178.11999999999992</v>
      </c>
      <c r="FG65" s="14">
        <f t="shared" si="47"/>
        <v>44.90366556024162</v>
      </c>
      <c r="FH65" s="22">
        <f t="shared" si="22"/>
        <v>388.4328841840873</v>
      </c>
      <c r="FI65" s="62">
        <f t="shared" si="23"/>
        <v>681.76621751742061</v>
      </c>
      <c r="FJ65" s="62">
        <f ca="1">AVERAGE(OFFSET($FI$3,0,0,'Données projet'!$E$16+1,1))-AVERAGE(OFFSET($H$3,0,0,'Données projet'!$E$16+1,1))</f>
        <v>353.61481736740694</v>
      </c>
      <c r="FK65" s="62">
        <f t="shared" si="48"/>
        <v>244.7141066773861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3.8</v>
      </c>
      <c r="FZ65" s="13">
        <f>IF('Données projet'!$A$244&gt;35,FZ64+FY65-GH64,IF(A65&lt;'Données projet'!$A$244,$FW$205^A65,IF(A65='Données projet'!$A$244,'Données projet'!$B$244,FZ64+FY65-GH64)))</f>
        <v>122.59999999999995</v>
      </c>
      <c r="GA65" s="18">
        <f>FZ65*VLOOKUP('Données projet'!$B$17,Paramètres!$A$1:$I$89,3,0)*VLOOKUP('Données projet'!$B$17,Paramètres!$A$1:$I$89,5,0)</f>
        <v>131.96663999999996</v>
      </c>
      <c r="GB65" s="14">
        <f t="shared" si="49"/>
        <v>34.450394223819067</v>
      </c>
      <c r="GC65" s="22">
        <f t="shared" si="25"/>
        <v>289.84300127315146</v>
      </c>
      <c r="GD65" s="62">
        <f t="shared" si="26"/>
        <v>583.17633460648472</v>
      </c>
      <c r="GE65" s="62">
        <f ca="1">AVERAGE(OFFSET($GD$3,0,0,'Données projet'!$E$17+1,1))-AVERAGE(OFFSET($H$3,0,0,'Données projet'!$E$17+1,1))</f>
        <v>280.20599015000306</v>
      </c>
      <c r="GF65" s="62">
        <f t="shared" si="50"/>
        <v>166.97658184507787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4.7435897435897401</v>
      </c>
      <c r="GU65" s="13">
        <f>IF('Données projet'!$A$270&gt;35,GU64+GT65-HC64,IF(A65&lt;'Données projet'!$A$270,$GR$205^A65,IF(A65='Données projet'!$A$270,'Données projet'!$B$270,GU64+GT65-HC64)))</f>
        <v>222.30769230769218</v>
      </c>
      <c r="GV65" s="18">
        <f>GU65*VLOOKUP('Données projet'!$B$18,Paramètres!$A$1:$I$89,3,0)*VLOOKUP('Données projet'!$B$18,Paramètres!$A$1:$I$89,5,0)</f>
        <v>149.12399999999994</v>
      </c>
      <c r="GW65" s="14">
        <f t="shared" si="51"/>
        <v>38.379443667029371</v>
      </c>
      <c r="GX65" s="22">
        <f t="shared" si="28"/>
        <v>326.56849772007598</v>
      </c>
      <c r="GY65" s="62">
        <f t="shared" si="29"/>
        <v>619.9018310534093</v>
      </c>
      <c r="GZ65" s="62">
        <f ca="1">AVERAGE(OFFSET($GY$3,0,0,'Données projet'!$E$18+1,1))-AVERAGE(OFFSET($H$3,0,0,'Données projet'!$E$18+1,1))</f>
        <v>291.18686311753402</v>
      </c>
      <c r="HA65" s="62">
        <f t="shared" si="52"/>
        <v>215.44422413249839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9">
        <f t="shared" si="1"/>
        <v>256.66666666666669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260.02504691866199</v>
      </c>
      <c r="T66" s="62">
        <f t="shared" si="34"/>
        <v>270.11268336406368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5.2063363607078612</v>
      </c>
      <c r="AA66" s="23">
        <f>EXP(-LN(2)/25)*AA65+(1-EXP(-LN(2)/25))/(LN(2)/25)*Calculateur!V66*Calculateur!X66*VLOOKUP('Données projet'!$B$9,Paramètres!$A$1:$I$89,3,0)*0.475*44/12</f>
        <v>6.5832072517481306</v>
      </c>
      <c r="AB66" s="23">
        <f>EXP(-LN(2)/2)*AB65+(1-EXP(-LN(2)/2))/(LN(2)/2)*V66*Y66*VLOOKUP('Données projet'!$B$9,Paramètres!$A$1:$I$89,3,0)*0.475*44/12</f>
        <v>6.8405599629526188E-5</v>
      </c>
      <c r="AC66" s="24">
        <f t="shared" si="3"/>
        <v>11.789612018055621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2">
        <f t="shared" si="5"/>
        <v>765.67034215791341</v>
      </c>
      <c r="AN66" s="62">
        <f ca="1">AVERAGE(OFFSET($AM$3,0,0,'Données projet'!$E$10+1,1))-AVERAGE(OFFSET($H$3,0,0,'Données projet'!$E$10+1,1))</f>
        <v>475.47920969424894</v>
      </c>
      <c r="AO66" s="62">
        <f t="shared" si="36"/>
        <v>271.73544012419364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194.17007999999996</v>
      </c>
      <c r="BF66" s="14">
        <f t="shared" si="37"/>
        <v>48.460730182351035</v>
      </c>
      <c r="BG66" s="22">
        <f t="shared" si="7"/>
        <v>422.5819944009279</v>
      </c>
      <c r="BH66" s="62">
        <f t="shared" si="8"/>
        <v>715.91532773426115</v>
      </c>
      <c r="BI66" s="62">
        <f ca="1">AVERAGE(OFFSET($BH$3,0,0,'Données projet'!$E$11+1,1))-AVERAGE(OFFSET($H$3,0,0,'Données projet'!$E$11+1,1))</f>
        <v>428.8489304403459</v>
      </c>
      <c r="BJ66" s="62">
        <f t="shared" si="38"/>
        <v>247.01165577562966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</v>
      </c>
      <c r="BY66" s="13">
        <f>IF('Données projet'!$A$114&gt;35,BY65+BX66-CG65,IF(A66&lt;'Données projet'!$A$114,$BV$205^A66,IF(A66='Données projet'!$A$114,'Données projet'!$B$114,BY65+BX66-CG65)))</f>
        <v>171.99999999999991</v>
      </c>
      <c r="BZ66" s="14">
        <f>BY66*VLOOKUP('Données projet'!$B$12,Paramètres!$A$1:$I$89,3,0)*VLOOKUP('Données projet'!$B$12,Paramètres!$A$1:$I$89,5,0)</f>
        <v>139.52639999999994</v>
      </c>
      <c r="CA66" s="14">
        <f t="shared" si="39"/>
        <v>36.188488997813856</v>
      </c>
      <c r="CB66" s="22">
        <f t="shared" si="10"/>
        <v>306.03676500452571</v>
      </c>
      <c r="CC66" s="62">
        <f t="shared" si="11"/>
        <v>599.37009833785896</v>
      </c>
      <c r="CD66" s="62">
        <f ca="1">AVERAGE(OFFSET($CC$3,0,0,'Données projet'!$E$12+1,1))-AVERAGE(OFFSET($H$3,0,0,'Données projet'!$E$12+1,1))</f>
        <v>236.22643401787644</v>
      </c>
      <c r="CE66" s="62">
        <f t="shared" si="40"/>
        <v>188.80444043778022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>
        <f>VLOOKUP(A66,'Données projet'!$A$139:$I$159,2,0)</f>
        <v>350.69230769230768</v>
      </c>
      <c r="CR66" s="13">
        <f>VLOOKUP(A66,'Données projet'!$A$139:$I$159,9,0)</f>
        <v>10.737820512820514</v>
      </c>
      <c r="CS66" s="13">
        <f t="array" ref="CS66">INDEX(CR:CR,MIN(IF(ISNUMBER(CR66:CR262),ROW(CR66:CR262),"")))</f>
        <v>10.737820512820514</v>
      </c>
      <c r="CT66" s="13">
        <f>IF('Données projet'!$A$140&gt;35,CT65+CS66-DB65,IF(A66&lt;'Données projet'!$A$140,$CQ$205^A66,IF(A66='Données projet'!$A$140,'Données projet'!$B$140,CT65+CS66-DB65)))</f>
        <v>350.69230769230768</v>
      </c>
      <c r="CU66" s="18">
        <f>CT66*VLOOKUP('Données projet'!$B$13,Paramètres!$A$1:$I$89,3,0)*VLOOKUP('Données projet'!$B$13,Paramètres!$A$1:$I$89,5,0)</f>
        <v>164.124</v>
      </c>
      <c r="CV66" s="14">
        <f t="shared" si="41"/>
        <v>41.771312955270567</v>
      </c>
      <c r="CW66" s="22">
        <f t="shared" si="13"/>
        <v>358.60100339709624</v>
      </c>
      <c r="CX66" s="62">
        <f t="shared" si="14"/>
        <v>651.93433673042955</v>
      </c>
      <c r="CY66" s="62">
        <f ca="1">AVERAGE(OFFSET($CX$3,0,0,'Données projet'!$E$13+1,1))-AVERAGE(OFFSET($H$3,0,0,'Données projet'!$E$13+1,1))</f>
        <v>246.73711856758143</v>
      </c>
      <c r="CZ66" s="62">
        <f t="shared" si="42"/>
        <v>145.54897745089966</v>
      </c>
      <c r="DA66" s="16">
        <f>IF(ISNA(VLOOKUP(A66,'Données projet'!$A$139:$I$159,3,0)),0,VLOOKUP(A66,'Données projet'!$A$139:$I$159,3,0))</f>
        <v>2</v>
      </c>
      <c r="DB66" s="16">
        <f>IF(ISNA(VLOOKUP(A66,'Données projet'!$A$139:$I$159,4,0)),0,VLOOKUP(A66,'Données projet'!$A$139:$I$159,4,0))</f>
        <v>108.08461538461538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5.0000000000000053</v>
      </c>
      <c r="DO66" s="13">
        <f>IF('Données projet'!$A$166&gt;35,DO65+DN66-DW65,IF(A66&lt;'Données projet'!$A$166,$DL$205^A66,IF(A66='Données projet'!$A$166,'Données projet'!$B$166,DO65+DN66-DW65)))</f>
        <v>223.97435897435884</v>
      </c>
      <c r="DP66" s="18">
        <f>DO66*VLOOKUP('Données projet'!$B$14,Paramètres!$A$1:$I$89,3,0)*VLOOKUP('Données projet'!$B$14,Paramètres!$A$1:$I$89,5,0)</f>
        <v>234.09799999999987</v>
      </c>
      <c r="DQ66" s="14">
        <f t="shared" si="43"/>
        <v>57.167852134096286</v>
      </c>
      <c r="DR66" s="22">
        <f t="shared" si="16"/>
        <v>507.28802580021755</v>
      </c>
      <c r="DS66" s="62">
        <f t="shared" si="17"/>
        <v>800.62135913355087</v>
      </c>
      <c r="DT66" s="62">
        <f ca="1">AVERAGE(OFFSET($DS$3,0,0,'Données projet'!$E$14+1,1))-AVERAGE(OFFSET($H$3,0,0,'Données projet'!$E$14+1,1))</f>
        <v>493.70175665335978</v>
      </c>
      <c r="DU66" s="62">
        <f t="shared" si="44"/>
        <v>325.12357781685949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2.6</v>
      </c>
      <c r="EJ66" s="13">
        <f>IF('Données projet'!$A$192&gt;35,EJ65+EI66-ER65,IF(A66&lt;'Données projet'!$A$192,$EG$205^A66,IF(A66='Données projet'!$A$192,'Données projet'!$B$192,EJ65+EI66-ER65)))</f>
        <v>140.7999999999999</v>
      </c>
      <c r="EK66" s="18">
        <f>EJ66*VLOOKUP('Données projet'!$B$15,Paramètres!$A$1:$I$89,3,0)*VLOOKUP('Données projet'!$B$15,Paramètres!$A$1:$I$89,5,0)</f>
        <v>123.00287999999993</v>
      </c>
      <c r="EL66" s="14">
        <f t="shared" si="45"/>
        <v>32.374361095906139</v>
      </c>
      <c r="EM66" s="22">
        <f t="shared" si="19"/>
        <v>270.61536157536972</v>
      </c>
      <c r="EN66" s="62">
        <f t="shared" si="20"/>
        <v>563.94869490870303</v>
      </c>
      <c r="EO66" s="62">
        <f ca="1">AVERAGE(OFFSET($EN$3,0,0,'Données projet'!$E$15+1,1))-AVERAGE(OFFSET($H$3,0,0,'Données projet'!$E$15+1,1))</f>
        <v>202.86354781280403</v>
      </c>
      <c r="EP66" s="62">
        <f t="shared" si="46"/>
        <v>217.25323885665131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4.4871794871794863</v>
      </c>
      <c r="FE66" s="13">
        <f>IF('Données projet'!$A$218&gt;35,FE65+FD66-FM65,IF(A66&lt;'Données projet'!$A$218,$FB$205^A66,IF(A66='Données projet'!$A$218,'Données projet'!$B$218,FE65+FD66-FM65)))</f>
        <v>191.66666666666657</v>
      </c>
      <c r="FF66" s="18">
        <f>FE66*VLOOKUP('Données projet'!$B$16,Paramètres!$A$1:$I$89,3,0)*VLOOKUP('Données projet'!$B$16,Paramètres!$A$1:$I$89,5,0)</f>
        <v>182.3899999999999</v>
      </c>
      <c r="FG66" s="14">
        <f t="shared" si="47"/>
        <v>45.853508245632462</v>
      </c>
      <c r="FH66" s="22">
        <f t="shared" si="22"/>
        <v>397.52411019447635</v>
      </c>
      <c r="FI66" s="62">
        <f t="shared" si="23"/>
        <v>690.85744352780966</v>
      </c>
      <c r="FJ66" s="62">
        <f ca="1">AVERAGE(OFFSET($FI$3,0,0,'Données projet'!$E$16+1,1))-AVERAGE(OFFSET($H$3,0,0,'Données projet'!$E$16+1,1))</f>
        <v>353.61481736740694</v>
      </c>
      <c r="FK66" s="62">
        <f t="shared" si="48"/>
        <v>244.7141066773861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3.8</v>
      </c>
      <c r="FZ66" s="13">
        <f>IF('Données projet'!$A$244&gt;35,FZ65+FY66-GH65,IF(A66&lt;'Données projet'!$A$244,$FW$205^A66,IF(A66='Données projet'!$A$244,'Données projet'!$B$244,FZ65+FY66-GH65)))</f>
        <v>126.39999999999995</v>
      </c>
      <c r="GA66" s="18">
        <f>FZ66*VLOOKUP('Données projet'!$B$17,Paramètres!$A$1:$I$89,3,0)*VLOOKUP('Données projet'!$B$17,Paramètres!$A$1:$I$89,5,0)</f>
        <v>136.05695999999992</v>
      </c>
      <c r="GB66" s="14">
        <f t="shared" si="49"/>
        <v>35.392213985322201</v>
      </c>
      <c r="GC66" s="22">
        <f t="shared" si="25"/>
        <v>298.60731135776933</v>
      </c>
      <c r="GD66" s="62">
        <f t="shared" si="26"/>
        <v>591.94064469110265</v>
      </c>
      <c r="GE66" s="62">
        <f ca="1">AVERAGE(OFFSET($GD$3,0,0,'Données projet'!$E$17+1,1))-AVERAGE(OFFSET($H$3,0,0,'Données projet'!$E$17+1,1))</f>
        <v>280.20599015000306</v>
      </c>
      <c r="GF66" s="62">
        <f t="shared" si="50"/>
        <v>166.97658184507787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4.7435897435897401</v>
      </c>
      <c r="GU66" s="13">
        <f>IF('Données projet'!$A$270&gt;35,GU65+GT66-HC65,IF(A66&lt;'Données projet'!$A$270,$GR$205^A66,IF(A66='Données projet'!$A$270,'Données projet'!$B$270,GU65+GT66-HC65)))</f>
        <v>227.05128205128193</v>
      </c>
      <c r="GV66" s="18">
        <f>GU66*VLOOKUP('Données projet'!$B$18,Paramètres!$A$1:$I$89,3,0)*VLOOKUP('Données projet'!$B$18,Paramètres!$A$1:$I$89,5,0)</f>
        <v>152.3059999999999</v>
      </c>
      <c r="GW66" s="14">
        <f t="shared" si="51"/>
        <v>39.102166177111755</v>
      </c>
      <c r="GX66" s="22">
        <f t="shared" si="28"/>
        <v>333.36922275846945</v>
      </c>
      <c r="GY66" s="62">
        <f t="shared" si="29"/>
        <v>626.70255609180276</v>
      </c>
      <c r="GZ66" s="62">
        <f ca="1">AVERAGE(OFFSET($GY$3,0,0,'Données projet'!$E$18+1,1))-AVERAGE(OFFSET($H$3,0,0,'Données projet'!$E$18+1,1))</f>
        <v>291.18686311753402</v>
      </c>
      <c r="HA66" s="62">
        <f t="shared" si="52"/>
        <v>215.44422413249839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9">
        <f t="shared" si="1"/>
        <v>256.66666666666669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260.02504691866199</v>
      </c>
      <c r="T67" s="62">
        <f t="shared" si="34"/>
        <v>270.11268336406368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5.104243280226</v>
      </c>
      <c r="AA67" s="23">
        <f>EXP(-LN(2)/25)*AA66+(1-EXP(-LN(2)/25))/(LN(2)/25)*Calculateur!V67*Calculateur!X67*VLOOKUP('Données projet'!$B$9,Paramètres!$A$1:$I$89,3,0)*0.475*44/12</f>
        <v>6.4031891032532551</v>
      </c>
      <c r="AB67" s="23">
        <f>EXP(-LN(2)/2)*AB66+(1-EXP(-LN(2)/2))/(LN(2)/2)*V67*Y67*VLOOKUP('Données projet'!$B$9,Paramètres!$A$1:$I$89,3,0)*0.475*44/12</f>
        <v>4.837006336916995E-5</v>
      </c>
      <c r="AC67" s="24">
        <f t="shared" si="3"/>
        <v>11.507480753542625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2">
        <f t="shared" si="5"/>
        <v>781.14775359505757</v>
      </c>
      <c r="AN67" s="62">
        <f ca="1">AVERAGE(OFFSET($AM$3,0,0,'Données projet'!$E$10+1,1))-AVERAGE(OFFSET($H$3,0,0,'Données projet'!$E$10+1,1))</f>
        <v>475.47920969424894</v>
      </c>
      <c r="AO67" s="62">
        <f t="shared" si="36"/>
        <v>271.73544012419364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200.68463999999992</v>
      </c>
      <c r="BF67" s="14">
        <f t="shared" si="37"/>
        <v>49.894600936700193</v>
      </c>
      <c r="BG67" s="22">
        <f t="shared" si="7"/>
        <v>436.42551129808606</v>
      </c>
      <c r="BH67" s="62">
        <f t="shared" si="8"/>
        <v>729.75884463141938</v>
      </c>
      <c r="BI67" s="62">
        <f ca="1">AVERAGE(OFFSET($BH$3,0,0,'Données projet'!$E$11+1,1))-AVERAGE(OFFSET($H$3,0,0,'Données projet'!$E$11+1,1))</f>
        <v>428.8489304403459</v>
      </c>
      <c r="BJ67" s="62">
        <f t="shared" si="38"/>
        <v>247.01165577562966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</v>
      </c>
      <c r="BY67" s="13">
        <f>IF('Données projet'!$A$114&gt;35,BY66+BX67-CG66,IF(A67&lt;'Données projet'!$A$114,$BV$205^A67,IF(A67='Données projet'!$A$114,'Données projet'!$B$114,BY66+BX67-CG66)))</f>
        <v>175.99999999999991</v>
      </c>
      <c r="BZ67" s="14">
        <f>BY67*VLOOKUP('Données projet'!$B$12,Paramètres!$A$1:$I$89,3,0)*VLOOKUP('Données projet'!$B$12,Paramètres!$A$1:$I$89,5,0)</f>
        <v>142.77119999999994</v>
      </c>
      <c r="CA67" s="14">
        <f t="shared" si="39"/>
        <v>36.931122475504061</v>
      </c>
      <c r="CB67" s="22">
        <f t="shared" si="10"/>
        <v>312.98154497816944</v>
      </c>
      <c r="CC67" s="62">
        <f t="shared" si="11"/>
        <v>606.31487831150275</v>
      </c>
      <c r="CD67" s="62">
        <f ca="1">AVERAGE(OFFSET($CC$3,0,0,'Données projet'!$E$12+1,1))-AVERAGE(OFFSET($H$3,0,0,'Données projet'!$E$12+1,1))</f>
        <v>236.22643401787644</v>
      </c>
      <c r="CE67" s="62">
        <f t="shared" si="40"/>
        <v>188.80444043778022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9.8224358974358967</v>
      </c>
      <c r="CT67" s="13">
        <f>IF('Données projet'!$A$140&gt;35,CT66+CS67-DB66,IF(A67&lt;'Données projet'!$A$140,$CQ$205^A67,IF(A67='Données projet'!$A$140,'Données projet'!$B$140,CT66+CS67-DB66)))</f>
        <v>252.43012820512823</v>
      </c>
      <c r="CU67" s="18">
        <f>CT67*VLOOKUP('Données projet'!$B$13,Paramètres!$A$1:$I$89,3,0)*VLOOKUP('Données projet'!$B$13,Paramètres!$A$1:$I$89,5,0)</f>
        <v>118.13730000000001</v>
      </c>
      <c r="CV67" s="14">
        <f t="shared" si="41"/>
        <v>31.240160341179919</v>
      </c>
      <c r="CW67" s="22">
        <f t="shared" si="13"/>
        <v>260.16574342755501</v>
      </c>
      <c r="CX67" s="62">
        <f t="shared" si="14"/>
        <v>553.49907676088833</v>
      </c>
      <c r="CY67" s="62">
        <f ca="1">AVERAGE(OFFSET($CX$3,0,0,'Données projet'!$E$13+1,1))-AVERAGE(OFFSET($H$3,0,0,'Données projet'!$E$13+1,1))</f>
        <v>246.73711856758143</v>
      </c>
      <c r="CZ67" s="62">
        <f t="shared" si="42"/>
        <v>145.54897745089966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5.0000000000000053</v>
      </c>
      <c r="DO67" s="13">
        <f>IF('Données projet'!$A$166&gt;35,DO66+DN67-DW66,IF(A67&lt;'Données projet'!$A$166,$DL$205^A67,IF(A67='Données projet'!$A$166,'Données projet'!$B$166,DO66+DN67-DW66)))</f>
        <v>228.97435897435884</v>
      </c>
      <c r="DP67" s="18">
        <f>DO67*VLOOKUP('Données projet'!$B$14,Paramètres!$A$1:$I$89,3,0)*VLOOKUP('Données projet'!$B$14,Paramètres!$A$1:$I$89,5,0)</f>
        <v>239.32399999999987</v>
      </c>
      <c r="DQ67" s="14">
        <f t="shared" si="43"/>
        <v>58.294061921376255</v>
      </c>
      <c r="DR67" s="22">
        <f t="shared" si="16"/>
        <v>518.35145784639667</v>
      </c>
      <c r="DS67" s="62">
        <f t="shared" si="17"/>
        <v>811.68479117972993</v>
      </c>
      <c r="DT67" s="62">
        <f ca="1">AVERAGE(OFFSET($DS$3,0,0,'Données projet'!$E$14+1,1))-AVERAGE(OFFSET($H$3,0,0,'Données projet'!$E$14+1,1))</f>
        <v>493.70175665335978</v>
      </c>
      <c r="DU67" s="62">
        <f t="shared" si="44"/>
        <v>325.12357781685949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2.6</v>
      </c>
      <c r="EJ67" s="13">
        <f>IF('Données projet'!$A$192&gt;35,EJ66+EI67-ER66,IF(A67&lt;'Données projet'!$A$192,$EG$205^A67,IF(A67='Données projet'!$A$192,'Données projet'!$B$192,EJ66+EI67-ER66)))</f>
        <v>143.39999999999989</v>
      </c>
      <c r="EK67" s="18">
        <f>EJ67*VLOOKUP('Données projet'!$B$15,Paramètres!$A$1:$I$89,3,0)*VLOOKUP('Données projet'!$B$15,Paramètres!$A$1:$I$89,5,0)</f>
        <v>125.27423999999992</v>
      </c>
      <c r="EL67" s="14">
        <f t="shared" si="45"/>
        <v>32.902032783270968</v>
      </c>
      <c r="EM67" s="22">
        <f t="shared" si="19"/>
        <v>275.49034176419678</v>
      </c>
      <c r="EN67" s="62">
        <f t="shared" si="20"/>
        <v>568.8236750975301</v>
      </c>
      <c r="EO67" s="62">
        <f ca="1">AVERAGE(OFFSET($EN$3,0,0,'Données projet'!$E$15+1,1))-AVERAGE(OFFSET($H$3,0,0,'Données projet'!$E$15+1,1))</f>
        <v>202.86354781280403</v>
      </c>
      <c r="EP67" s="62">
        <f t="shared" si="46"/>
        <v>217.25323885665131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4.4871794871794863</v>
      </c>
      <c r="FE67" s="13">
        <f>IF('Données projet'!$A$218&gt;35,FE66+FD67-FM66,IF(A67&lt;'Données projet'!$A$218,$FB$205^A67,IF(A67='Données projet'!$A$218,'Données projet'!$B$218,FE66+FD67-FM66)))</f>
        <v>196.15384615384605</v>
      </c>
      <c r="FF67" s="18">
        <f>FE67*VLOOKUP('Données projet'!$B$16,Paramètres!$A$1:$I$89,3,0)*VLOOKUP('Données projet'!$B$16,Paramètres!$A$1:$I$89,5,0)</f>
        <v>186.65999999999991</v>
      </c>
      <c r="FG67" s="14">
        <f t="shared" si="47"/>
        <v>46.800765804305463</v>
      </c>
      <c r="FH67" s="22">
        <f t="shared" si="22"/>
        <v>406.61083377583185</v>
      </c>
      <c r="FI67" s="62">
        <f t="shared" si="23"/>
        <v>699.94416710916516</v>
      </c>
      <c r="FJ67" s="62">
        <f ca="1">AVERAGE(OFFSET($FI$3,0,0,'Données projet'!$E$16+1,1))-AVERAGE(OFFSET($H$3,0,0,'Données projet'!$E$16+1,1))</f>
        <v>353.61481736740694</v>
      </c>
      <c r="FK67" s="62">
        <f t="shared" si="48"/>
        <v>244.7141066773861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3.8</v>
      </c>
      <c r="FZ67" s="13">
        <f>IF('Données projet'!$A$244&gt;35,FZ66+FY67-GH66,IF(A67&lt;'Données projet'!$A$244,$FW$205^A67,IF(A67='Données projet'!$A$244,'Données projet'!$B$244,FZ66+FY67-GH66)))</f>
        <v>130.19999999999996</v>
      </c>
      <c r="GA67" s="18">
        <f>FZ67*VLOOKUP('Données projet'!$B$17,Paramètres!$A$1:$I$89,3,0)*VLOOKUP('Données projet'!$B$17,Paramètres!$A$1:$I$89,5,0)</f>
        <v>140.14727999999994</v>
      </c>
      <c r="GB67" s="14">
        <f t="shared" si="49"/>
        <v>36.330743209877255</v>
      </c>
      <c r="GC67" s="22">
        <f t="shared" si="25"/>
        <v>307.36589042386942</v>
      </c>
      <c r="GD67" s="62">
        <f t="shared" si="26"/>
        <v>600.69922375720273</v>
      </c>
      <c r="GE67" s="62">
        <f ca="1">AVERAGE(OFFSET($GD$3,0,0,'Données projet'!$E$17+1,1))-AVERAGE(OFFSET($H$3,0,0,'Données projet'!$E$17+1,1))</f>
        <v>280.20599015000306</v>
      </c>
      <c r="GF67" s="62">
        <f t="shared" si="50"/>
        <v>166.97658184507787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4.7435897435897401</v>
      </c>
      <c r="GU67" s="13">
        <f>IF('Données projet'!$A$270&gt;35,GU66+GT67-HC66,IF(A67&lt;'Données projet'!$A$270,$GR$205^A67,IF(A67='Données projet'!$A$270,'Données projet'!$B$270,GU66+GT67-HC66)))</f>
        <v>231.79487179487168</v>
      </c>
      <c r="GV67" s="18">
        <f>GU67*VLOOKUP('Données projet'!$B$18,Paramètres!$A$1:$I$89,3,0)*VLOOKUP('Données projet'!$B$18,Paramètres!$A$1:$I$89,5,0)</f>
        <v>155.48799999999991</v>
      </c>
      <c r="GW67" s="14">
        <f t="shared" si="51"/>
        <v>39.823133137370327</v>
      </c>
      <c r="GX67" s="22">
        <f t="shared" si="28"/>
        <v>340.16689021425316</v>
      </c>
      <c r="GY67" s="62">
        <f t="shared" si="29"/>
        <v>633.50022354758653</v>
      </c>
      <c r="GZ67" s="62">
        <f ca="1">AVERAGE(OFFSET($GY$3,0,0,'Données projet'!$E$18+1,1))-AVERAGE(OFFSET($H$3,0,0,'Données projet'!$E$18+1,1))</f>
        <v>291.18686311753402</v>
      </c>
      <c r="HA67" s="62">
        <f t="shared" si="52"/>
        <v>215.44422413249839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9">
        <f t="shared" ref="H68:H131" si="56">(B68+E68+F68)*44/12+(C68+D68)*0.475*44/12</f>
        <v>256.66666666666669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260.02504691866199</v>
      </c>
      <c r="T68" s="62">
        <f t="shared" si="34"/>
        <v>270.11268336406368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5.0041521827817581</v>
      </c>
      <c r="AA68" s="23">
        <f>EXP(-LN(2)/25)*AA67+(1-EXP(-LN(2)/25))/(LN(2)/25)*Calculateur!V68*Calculateur!X68*VLOOKUP('Données projet'!$B$9,Paramètres!$A$1:$I$89,3,0)*0.475*44/12</f>
        <v>6.2280935604957142</v>
      </c>
      <c r="AB68" s="23">
        <f>EXP(-LN(2)/2)*AB67+(1-EXP(-LN(2)/2))/(LN(2)/2)*V68*Y68*VLOOKUP('Données projet'!$B$9,Paramètres!$A$1:$I$89,3,0)*0.475*44/12</f>
        <v>3.4202799814763094E-5</v>
      </c>
      <c r="AC68" s="24">
        <f t="shared" ref="AC68:AC131" si="57">SUM(Z68:AB68)</f>
        <v>11.232279946077288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2">
        <f t="shared" ref="AM68:AM131" si="59">AL68+(AD68+AE68)*44/12</f>
        <v>796.61474702637031</v>
      </c>
      <c r="AN68" s="62">
        <f ca="1">AVERAGE(OFFSET($AM$3,0,0,'Données projet'!$E$10+1,1))-AVERAGE(OFFSET($H$3,0,0,'Données projet'!$E$10+1,1))</f>
        <v>475.47920969424894</v>
      </c>
      <c r="AO68" s="62">
        <f t="shared" si="36"/>
        <v>271.73544012419364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207.19919999999991</v>
      </c>
      <c r="BF68" s="14">
        <f t="shared" si="37"/>
        <v>51.3230629736655</v>
      </c>
      <c r="BG68" s="22">
        <f t="shared" ref="BG68:BG131" si="61">(BE68+BF68)*0.475*44/12</f>
        <v>450.25960801246725</v>
      </c>
      <c r="BH68" s="62">
        <f t="shared" ref="BH68:BH131" si="62">BG68+(AY68+AZ68)*44/12</f>
        <v>743.59294134580057</v>
      </c>
      <c r="BI68" s="62">
        <f ca="1">AVERAGE(OFFSET($BH$3,0,0,'Données projet'!$E$11+1,1))-AVERAGE(OFFSET($H$3,0,0,'Données projet'!$E$11+1,1))</f>
        <v>428.8489304403459</v>
      </c>
      <c r="BJ68" s="62">
        <f t="shared" si="38"/>
        <v>247.01165577562966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180</v>
      </c>
      <c r="BW68" s="13">
        <f>VLOOKUP(A68,'Données projet'!$A$113:$I$133,9,0)</f>
        <v>4</v>
      </c>
      <c r="BX68" s="13">
        <f t="array" ref="BX68">INDEX(BW:BW,MIN(IF(ISNUMBER(BW68:BW264),ROW(BW68:BW264),"")))</f>
        <v>4</v>
      </c>
      <c r="BY68" s="13">
        <f>IF('Données projet'!$A$114&gt;35,BY67+BX68-CG67,IF(A68&lt;'Données projet'!$A$114,$BV$205^A68,IF(A68='Données projet'!$A$114,'Données projet'!$B$114,BY67+BX68-CG67)))</f>
        <v>179.99999999999991</v>
      </c>
      <c r="BZ68" s="14">
        <f>BY68*VLOOKUP('Données projet'!$B$12,Paramètres!$A$1:$I$89,3,0)*VLOOKUP('Données projet'!$B$12,Paramètres!$A$1:$I$89,5,0)</f>
        <v>146.01599999999996</v>
      </c>
      <c r="CA68" s="14">
        <f t="shared" si="39"/>
        <v>37.671793767891103</v>
      </c>
      <c r="CB68" s="22">
        <f t="shared" ref="CB68:CB131" si="64">(BZ68+CA68)*0.475*44/12</f>
        <v>319.92290747907691</v>
      </c>
      <c r="CC68" s="62">
        <f t="shared" ref="CC68:CC131" si="65">CB68+(BT68+BU68)*44/12</f>
        <v>613.25624081241017</v>
      </c>
      <c r="CD68" s="62">
        <f ca="1">AVERAGE(OFFSET($CC$3,0,0,'Données projet'!$E$12+1,1))-AVERAGE(OFFSET($H$3,0,0,'Données projet'!$E$12+1,1))</f>
        <v>236.22643401787644</v>
      </c>
      <c r="CE68" s="62">
        <f t="shared" si="40"/>
        <v>188.80444043778022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22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9.8224358974358967</v>
      </c>
      <c r="CT68" s="13">
        <f>IF('Données projet'!$A$140&gt;35,CT67+CS68-DB67,IF(A68&lt;'Données projet'!$A$140,$CQ$205^A68,IF(A68='Données projet'!$A$140,'Données projet'!$B$140,CT67+CS68-DB67)))</f>
        <v>262.25256410256412</v>
      </c>
      <c r="CU68" s="18">
        <f>CT68*VLOOKUP('Données projet'!$B$13,Paramètres!$A$1:$I$89,3,0)*VLOOKUP('Données projet'!$B$13,Paramètres!$A$1:$I$89,5,0)</f>
        <v>122.73420000000002</v>
      </c>
      <c r="CV68" s="14">
        <f t="shared" si="41"/>
        <v>32.311867973295023</v>
      </c>
      <c r="CW68" s="22">
        <f t="shared" ref="CW68:CW131" si="67">(CU68+CV68)*0.475*44/12</f>
        <v>270.03856838682219</v>
      </c>
      <c r="CX68" s="62">
        <f t="shared" ref="CX68:CX131" si="68">CW68+(CO68+CP68)*44/12</f>
        <v>563.37190172015551</v>
      </c>
      <c r="CY68" s="62">
        <f ca="1">AVERAGE(OFFSET($CX$3,0,0,'Données projet'!$E$13+1,1))-AVERAGE(OFFSET($H$3,0,0,'Données projet'!$E$13+1,1))</f>
        <v>246.73711856758143</v>
      </c>
      <c r="CZ68" s="62">
        <f t="shared" si="42"/>
        <v>145.54897745089966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233.97435897435898</v>
      </c>
      <c r="DM68" s="13">
        <f>VLOOKUP(A68,'Données projet'!$A$165:$I$185,9,0)</f>
        <v>5.0000000000000053</v>
      </c>
      <c r="DN68" s="13">
        <f t="array" ref="DN68">INDEX(DM:DM,MIN(IF(ISNUMBER(DM68:DM264),ROW(DM68:DM264),"")))</f>
        <v>5.0000000000000053</v>
      </c>
      <c r="DO68" s="13">
        <f>IF('Données projet'!$A$166&gt;35,DO67+DN68-DW67,IF(A68&lt;'Données projet'!$A$166,$DL$205^A68,IF(A68='Données projet'!$A$166,'Données projet'!$B$166,DO67+DN68-DW67)))</f>
        <v>233.97435897435884</v>
      </c>
      <c r="DP68" s="18">
        <f>DO68*VLOOKUP('Données projet'!$B$14,Paramètres!$A$1:$I$89,3,0)*VLOOKUP('Données projet'!$B$14,Paramètres!$A$1:$I$89,5,0)</f>
        <v>244.5499999999999</v>
      </c>
      <c r="DQ68" s="14">
        <f t="shared" si="43"/>
        <v>59.417412537913442</v>
      </c>
      <c r="DR68" s="22">
        <f t="shared" ref="DR68:DR131" si="70">(DP68+DQ68)*0.475*44/12</f>
        <v>529.40991017019905</v>
      </c>
      <c r="DS68" s="62">
        <f t="shared" ref="DS68:DS131" si="71">DR68+(DJ68+DK68)*44/12</f>
        <v>822.74324350353231</v>
      </c>
      <c r="DT68" s="62">
        <f ca="1">AVERAGE(OFFSET($DS$3,0,0,'Données projet'!$E$14+1,1))-AVERAGE(OFFSET($H$3,0,0,'Données projet'!$E$14+1,1))</f>
        <v>493.70175665335978</v>
      </c>
      <c r="DU68" s="62">
        <f t="shared" si="44"/>
        <v>325.12357781685949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146</v>
      </c>
      <c r="EH68" s="13">
        <f>VLOOKUP(A68,'Données projet'!$A$191:$I$211,9,0)</f>
        <v>2.6</v>
      </c>
      <c r="EI68" s="13">
        <f t="array" ref="EI68">INDEX(EH:EH,MIN(IF(ISNUMBER(EH68:EH264),ROW(EH68:EH264),"")))</f>
        <v>2.6</v>
      </c>
      <c r="EJ68" s="13">
        <f>IF('Données projet'!$A$192&gt;35,EJ67+EI68-ER67,IF(A68&lt;'Données projet'!$A$192,$EG$205^A68,IF(A68='Données projet'!$A$192,'Données projet'!$B$192,EJ67+EI68-ER67)))</f>
        <v>145.99999999999989</v>
      </c>
      <c r="EK68" s="18">
        <f>EJ68*VLOOKUP('Données projet'!$B$15,Paramètres!$A$1:$I$89,3,0)*VLOOKUP('Données projet'!$B$15,Paramètres!$A$1:$I$89,5,0)</f>
        <v>127.54559999999992</v>
      </c>
      <c r="EL68" s="14">
        <f t="shared" si="45"/>
        <v>33.428591950384806</v>
      </c>
      <c r="EM68" s="22">
        <f t="shared" ref="EM68:EM131" si="73">(EK68+EL68)*0.475*44/12</f>
        <v>280.36338431358672</v>
      </c>
      <c r="EN68" s="62">
        <f t="shared" ref="EN68:EN131" si="74">EM68+(EE68+EF68)*44/12</f>
        <v>573.69671764691998</v>
      </c>
      <c r="EO68" s="62">
        <f ca="1">AVERAGE(OFFSET($EN$3,0,0,'Données projet'!$E$15+1,1))-AVERAGE(OFFSET($H$3,0,0,'Données projet'!$E$15+1,1))</f>
        <v>202.86354781280403</v>
      </c>
      <c r="EP68" s="62">
        <f t="shared" si="46"/>
        <v>217.25323885665131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200.64102564102564</v>
      </c>
      <c r="FC68" s="13">
        <f>VLOOKUP(A68,'Données projet'!$A$217:$I$237,9,0)</f>
        <v>4.4871794871794863</v>
      </c>
      <c r="FD68" s="13">
        <f t="array" ref="FD68">INDEX(FC:FC,MIN(IF(ISNUMBER(FC68:FC264),ROW(FC68:FC264),"")))</f>
        <v>4.4871794871794863</v>
      </c>
      <c r="FE68" s="13">
        <f>IF('Données projet'!$A$218&gt;35,FE67+FD68-FM67,IF(A68&lt;'Données projet'!$A$218,$FB$205^A68,IF(A68='Données projet'!$A$218,'Données projet'!$B$218,FE67+FD68-FM67)))</f>
        <v>200.64102564102552</v>
      </c>
      <c r="FF68" s="18">
        <f>FE68*VLOOKUP('Données projet'!$B$16,Paramètres!$A$1:$I$89,3,0)*VLOOKUP('Données projet'!$B$16,Paramètres!$A$1:$I$89,5,0)</f>
        <v>190.92999999999989</v>
      </c>
      <c r="FG68" s="14">
        <f t="shared" si="47"/>
        <v>47.745504180483643</v>
      </c>
      <c r="FH68" s="22">
        <f t="shared" ref="FH68:FH131" si="76">(FF68+FG68)*0.475*44/12</f>
        <v>415.69316978100875</v>
      </c>
      <c r="FI68" s="62">
        <f t="shared" ref="FI68:FI131" si="77">FH68+(EZ68+FA68)*44/12</f>
        <v>709.02650311434206</v>
      </c>
      <c r="FJ68" s="62">
        <f ca="1">AVERAGE(OFFSET($FI$3,0,0,'Données projet'!$E$16+1,1))-AVERAGE(OFFSET($H$3,0,0,'Données projet'!$E$16+1,1))</f>
        <v>353.61481736740694</v>
      </c>
      <c r="FK68" s="62">
        <f t="shared" si="48"/>
        <v>244.7141066773861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28.205128205128204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134</v>
      </c>
      <c r="FX68" s="13">
        <f>VLOOKUP(A68,'Données projet'!$A$243:$I$263,9,0)</f>
        <v>3.8</v>
      </c>
      <c r="FY68" s="13">
        <f t="array" ref="FY68">INDEX(FX:FX,MIN(IF(ISNUMBER(FX68:FX264),ROW(FX68:FX264),"")))</f>
        <v>3.8</v>
      </c>
      <c r="FZ68" s="13">
        <f>IF('Données projet'!$A$244&gt;35,FZ67+FY68-GH67,IF(A68&lt;'Données projet'!$A$244,$FW$205^A68,IF(A68='Données projet'!$A$244,'Données projet'!$B$244,FZ67+FY68-GH67)))</f>
        <v>133.99999999999997</v>
      </c>
      <c r="GA68" s="18">
        <f>FZ68*VLOOKUP('Données projet'!$B$17,Paramètres!$A$1:$I$89,3,0)*VLOOKUP('Données projet'!$B$17,Paramètres!$A$1:$I$89,5,0)</f>
        <v>144.23759999999999</v>
      </c>
      <c r="GB68" s="14">
        <f t="shared" si="49"/>
        <v>37.266088962286922</v>
      </c>
      <c r="GC68" s="22">
        <f t="shared" ref="GC68:GC131" si="79">(GA68+GB68)*0.475*44/12</f>
        <v>316.1189249426497</v>
      </c>
      <c r="GD68" s="62">
        <f t="shared" ref="GD68:GD131" si="80">GC68+(FU68+FV68)*44/12</f>
        <v>609.45225827598301</v>
      </c>
      <c r="GE68" s="62">
        <f ca="1">AVERAGE(OFFSET($GD$3,0,0,'Données projet'!$E$17+1,1))-AVERAGE(OFFSET($H$3,0,0,'Données projet'!$E$17+1,1))</f>
        <v>280.20599015000306</v>
      </c>
      <c r="GF68" s="62">
        <f t="shared" si="50"/>
        <v>166.97658184507787</v>
      </c>
      <c r="GG68" s="16">
        <f>IF(ISNA(VLOOKUP(A68,'Données projet'!$A$243:$I$263,3,0)),0,VLOOKUP(A68,'Données projet'!$A$243:$I$263,3,0))</f>
        <v>4</v>
      </c>
      <c r="GH68" s="16">
        <f>IF(ISNA(VLOOKUP(A68,'Données projet'!$A$243:$I$263,4,0)),0,VLOOKUP(A68,'Données projet'!$A$243:$I$263,4,0))</f>
        <v>20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236.53846153846152</v>
      </c>
      <c r="GS68" s="13">
        <f>VLOOKUP(A68,'Données projet'!$A$269:$I$289,9,0)</f>
        <v>4.7435897435897401</v>
      </c>
      <c r="GT68" s="13">
        <f t="array" ref="GT68">INDEX(GS:GS,MIN(IF(ISNUMBER(GS68:GS264),ROW(GS68:GS264),"")))</f>
        <v>4.7435897435897401</v>
      </c>
      <c r="GU68" s="13">
        <f>IF('Données projet'!$A$270&gt;35,GU67+GT68-HC67,IF(A68&lt;'Données projet'!$A$270,$GR$205^A68,IF(A68='Données projet'!$A$270,'Données projet'!$B$270,GU67+GT68-HC67)))</f>
        <v>236.53846153846143</v>
      </c>
      <c r="GV68" s="18">
        <f>GU68*VLOOKUP('Données projet'!$B$18,Paramètres!$A$1:$I$89,3,0)*VLOOKUP('Données projet'!$B$18,Paramètres!$A$1:$I$89,5,0)</f>
        <v>158.66999999999993</v>
      </c>
      <c r="GW68" s="14">
        <f t="shared" si="51"/>
        <v>40.54238461420524</v>
      </c>
      <c r="GX68" s="22">
        <f t="shared" ref="GX68:GX131" si="82">(GV68+GW68)*0.475*44/12</f>
        <v>346.96156986974069</v>
      </c>
      <c r="GY68" s="62">
        <f t="shared" ref="GY68:GY131" si="83">GX68+(GP68+GQ68)*44/12</f>
        <v>640.294903203074</v>
      </c>
      <c r="GZ68" s="62">
        <f ca="1">AVERAGE(OFFSET($GY$3,0,0,'Données projet'!$E$18+1,1))-AVERAGE(OFFSET($H$3,0,0,'Données projet'!$E$18+1,1))</f>
        <v>291.18686311753402</v>
      </c>
      <c r="HA68" s="62">
        <f t="shared" si="52"/>
        <v>215.44422413249839</v>
      </c>
      <c r="HB68" s="16">
        <f>IF(ISNA(VLOOKUP(A68,'Données projet'!$A$269:$I$289,3,0)),0,VLOOKUP(A68,'Données projet'!$A$269:$I$289,3,0))</f>
        <v>5</v>
      </c>
      <c r="HC68" s="16">
        <f>IF(ISNA(VLOOKUP(A68,'Données projet'!$A$269:$I$289,4,0)),0,VLOOKUP(A68,'Données projet'!$A$269:$I$289,4,0))</f>
        <v>27.564102564102562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9">
        <f t="shared" si="56"/>
        <v>256.66666666666669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260.02504691866199</v>
      </c>
      <c r="T69" s="62">
        <f t="shared" ref="T69:T132" si="88">$T$3</f>
        <v>270.11268336406368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4.9060238107088567</v>
      </c>
      <c r="AA69" s="23">
        <f>EXP(-LN(2)/25)*AA68+(1-EXP(-LN(2)/25))/(LN(2)/25)*Calculateur!V69*Calculateur!X69*VLOOKUP('Données projet'!$B$9,Paramètres!$A$1:$I$89,3,0)*0.475*44/12</f>
        <v>6.0577860145627529</v>
      </c>
      <c r="AB69" s="23">
        <f>EXP(-LN(2)/2)*AB68+(1-EXP(-LN(2)/2))/(LN(2)/2)*V69*Y69*VLOOKUP('Données projet'!$B$9,Paramètres!$A$1:$I$89,3,0)*0.475*44/12</f>
        <v>2.4185031684584975E-5</v>
      </c>
      <c r="AC69" s="24">
        <f t="shared" si="57"/>
        <v>10.963834010303295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2">
        <f t="shared" si="59"/>
        <v>811.21322649031208</v>
      </c>
      <c r="AN69" s="62">
        <f ca="1">AVERAGE(OFFSET($AM$3,0,0,'Données projet'!$E$10+1,1))-AVERAGE(OFFSET($H$3,0,0,'Données projet'!$E$10+1,1))</f>
        <v>475.47920969424894</v>
      </c>
      <c r="AO69" s="62">
        <f t="shared" ref="AO69:AO132" si="90">$AO$3</f>
        <v>271.73544012419364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213.35183999999992</v>
      </c>
      <c r="BF69" s="14">
        <f t="shared" ref="BF69:BF132" si="91">EXP(-1.0587+0.8836*LN(BE69)+0.284)</f>
        <v>52.667370665417188</v>
      </c>
      <c r="BG69" s="22">
        <f t="shared" si="61"/>
        <v>463.31679190893482</v>
      </c>
      <c r="BH69" s="62">
        <f t="shared" si="62"/>
        <v>756.65012524226813</v>
      </c>
      <c r="BI69" s="62">
        <f ca="1">AVERAGE(OFFSET($BH$3,0,0,'Données projet'!$E$11+1,1))-AVERAGE(OFFSET($H$3,0,0,'Données projet'!$E$11+1,1))</f>
        <v>428.8489304403459</v>
      </c>
      <c r="BJ69" s="62">
        <f t="shared" ref="BJ69:BJ132" si="92">$BJ$3</f>
        <v>247.01165577562966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</v>
      </c>
      <c r="BY69" s="13">
        <f>IF('Données projet'!$A$114&gt;35,BY68+BX69-CG68,IF(A69&lt;'Données projet'!$A$114,$BV$205^A69,IF(A69='Données projet'!$A$114,'Données projet'!$B$114,BY68+BX69-CG68)))</f>
        <v>161.99999999999991</v>
      </c>
      <c r="BZ69" s="14">
        <f>BY69*VLOOKUP('Données projet'!$B$12,Paramètres!$A$1:$I$89,3,0)*VLOOKUP('Données projet'!$B$12,Paramètres!$A$1:$I$89,5,0)</f>
        <v>131.41439999999994</v>
      </c>
      <c r="CA69" s="14">
        <f t="shared" ref="CA69:CA132" si="93">EXP(-1.0587+0.8836*LN(BZ69)+0.284)</f>
        <v>34.322979526010634</v>
      </c>
      <c r="CB69" s="22">
        <f t="shared" si="64"/>
        <v>288.65926934113514</v>
      </c>
      <c r="CC69" s="62">
        <f t="shared" si="65"/>
        <v>581.99260267446846</v>
      </c>
      <c r="CD69" s="62">
        <f ca="1">AVERAGE(OFFSET($CC$3,0,0,'Données projet'!$E$12+1,1))-AVERAGE(OFFSET($H$3,0,0,'Données projet'!$E$12+1,1))</f>
        <v>236.22643401787644</v>
      </c>
      <c r="CE69" s="62">
        <f t="shared" ref="CE69:CE132" si="94">$CE$3</f>
        <v>188.80444043778022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9.8224358974358967</v>
      </c>
      <c r="CT69" s="13">
        <f>IF('Données projet'!$A$140&gt;35,CT68+CS69-DB68,IF(A69&lt;'Données projet'!$A$140,$CQ$205^A69,IF(A69='Données projet'!$A$140,'Données projet'!$B$140,CT68+CS69-DB68)))</f>
        <v>272.07500000000005</v>
      </c>
      <c r="CU69" s="18">
        <f>CT69*VLOOKUP('Données projet'!$B$13,Paramètres!$A$1:$I$89,3,0)*VLOOKUP('Données projet'!$B$13,Paramètres!$A$1:$I$89,5,0)</f>
        <v>127.33110000000002</v>
      </c>
      <c r="CV69" s="14">
        <f t="shared" ref="CV69:CV132" si="95">EXP(-1.0587+0.8836*LN(CU69)+0.284)</f>
        <v>33.378912344830411</v>
      </c>
      <c r="CW69" s="22">
        <f t="shared" si="67"/>
        <v>279.90327150057965</v>
      </c>
      <c r="CX69" s="62">
        <f t="shared" si="68"/>
        <v>573.23660483391291</v>
      </c>
      <c r="CY69" s="62">
        <f ca="1">AVERAGE(OFFSET($CX$3,0,0,'Données projet'!$E$13+1,1))-AVERAGE(OFFSET($H$3,0,0,'Données projet'!$E$13+1,1))</f>
        <v>246.73711856758143</v>
      </c>
      <c r="CZ69" s="62">
        <f t="shared" ref="CZ69:CZ132" si="96">$CZ$3</f>
        <v>145.54897745089966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4.8717948717948669</v>
      </c>
      <c r="DO69" s="13">
        <f>IF('Données projet'!$A$166&gt;35,DO68+DN69-DW68,IF(A69&lt;'Données projet'!$A$166,$DL$205^A69,IF(A69='Données projet'!$A$166,'Données projet'!$B$166,DO68+DN69-DW68)))</f>
        <v>238.8461538461537</v>
      </c>
      <c r="DP69" s="18">
        <f>DO69*VLOOKUP('Données projet'!$B$14,Paramètres!$A$1:$I$89,3,0)*VLOOKUP('Données projet'!$B$14,Paramètres!$A$1:$I$89,5,0)</f>
        <v>249.64199999999988</v>
      </c>
      <c r="DQ69" s="14">
        <f t="shared" ref="DQ69:DQ132" si="97">EXP(-1.0587+0.8836*LN(DP69)+0.284)</f>
        <v>60.509274148016289</v>
      </c>
      <c r="DR69" s="22">
        <f t="shared" si="70"/>
        <v>540.18013580779473</v>
      </c>
      <c r="DS69" s="62">
        <f t="shared" si="71"/>
        <v>833.5134691411281</v>
      </c>
      <c r="DT69" s="62">
        <f ca="1">AVERAGE(OFFSET($DS$3,0,0,'Données projet'!$E$14+1,1))-AVERAGE(OFFSET($H$3,0,0,'Données projet'!$E$14+1,1))</f>
        <v>493.70175665335978</v>
      </c>
      <c r="DU69" s="62">
        <f t="shared" ref="DU69:DU132" si="98">$DU$3</f>
        <v>325.12357781685949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2.2000000000000002</v>
      </c>
      <c r="EJ69" s="13">
        <f>IF('Données projet'!$A$192&gt;35,EJ68+EI69-ER68,IF(A69&lt;'Données projet'!$A$192,$EG$205^A69,IF(A69='Données projet'!$A$192,'Données projet'!$B$192,EJ68+EI69-ER68)))</f>
        <v>148.19999999999987</v>
      </c>
      <c r="EK69" s="18">
        <f>EJ69*VLOOKUP('Données projet'!$B$15,Paramètres!$A$1:$I$89,3,0)*VLOOKUP('Données projet'!$B$15,Paramètres!$A$1:$I$89,5,0)</f>
        <v>129.46751999999989</v>
      </c>
      <c r="EL69" s="14">
        <f t="shared" ref="EL69:EL132" si="99">EXP(-1.0587+0.8836*LN(EK69)+0.284)</f>
        <v>33.873289462262882</v>
      </c>
      <c r="EM69" s="22">
        <f t="shared" si="73"/>
        <v>284.48524314677434</v>
      </c>
      <c r="EN69" s="62">
        <f t="shared" si="74"/>
        <v>577.81857648010759</v>
      </c>
      <c r="EO69" s="62">
        <f ca="1">AVERAGE(OFFSET($EN$3,0,0,'Données projet'!$E$15+1,1))-AVERAGE(OFFSET($H$3,0,0,'Données projet'!$E$15+1,1))</f>
        <v>202.86354781280403</v>
      </c>
      <c r="EP69" s="62">
        <f t="shared" ref="EP69:EP132" si="100">$EP$3</f>
        <v>217.25323885665131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4.3589743589743595</v>
      </c>
      <c r="FE69" s="13">
        <f>IF('Données projet'!$A$218&gt;35,FE68+FD69-FM68,IF(A69&lt;'Données projet'!$A$218,$FB$205^A69,IF(A69='Données projet'!$A$218,'Données projet'!$B$218,FE68+FD69-FM68)))</f>
        <v>176.79487179487168</v>
      </c>
      <c r="FF69" s="18">
        <f>FE69*VLOOKUP('Données projet'!$B$16,Paramètres!$A$1:$I$89,3,0)*VLOOKUP('Données projet'!$B$16,Paramètres!$A$1:$I$89,5,0)</f>
        <v>168.23799999999989</v>
      </c>
      <c r="FG69" s="14">
        <f t="shared" ref="FG69:FG132" si="101">EXP(-1.0587+0.8836*LN(FF69)+0.284)</f>
        <v>42.695155225480995</v>
      </c>
      <c r="FH69" s="22">
        <f t="shared" si="76"/>
        <v>367.37524535104586</v>
      </c>
      <c r="FI69" s="62">
        <f t="shared" si="77"/>
        <v>660.70857868437918</v>
      </c>
      <c r="FJ69" s="62">
        <f ca="1">AVERAGE(OFFSET($FI$3,0,0,'Données projet'!$E$16+1,1))-AVERAGE(OFFSET($H$3,0,0,'Données projet'!$E$16+1,1))</f>
        <v>353.61481736740694</v>
      </c>
      <c r="FK69" s="62">
        <f t="shared" ref="FK69:FK132" si="102">$FK$3</f>
        <v>244.7141066773861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3.6</v>
      </c>
      <c r="FZ69" s="13">
        <f>IF('Données projet'!$A$244&gt;35,FZ68+FY69-GH68,IF(A69&lt;'Données projet'!$A$244,$FW$205^A69,IF(A69='Données projet'!$A$244,'Données projet'!$B$244,FZ68+FY69-GH68)))</f>
        <v>117.59999999999997</v>
      </c>
      <c r="GA69" s="18">
        <f>FZ69*VLOOKUP('Données projet'!$B$17,Paramètres!$A$1:$I$89,3,0)*VLOOKUP('Données projet'!$B$17,Paramètres!$A$1:$I$89,5,0)</f>
        <v>126.58463999999996</v>
      </c>
      <c r="GB69" s="14">
        <f t="shared" ref="GB69:GB132" si="103">EXP(-1.0587+0.8836*LN(GA69)+0.284)</f>
        <v>33.205951254973805</v>
      </c>
      <c r="GC69" s="22">
        <f t="shared" si="79"/>
        <v>278.301946435746</v>
      </c>
      <c r="GD69" s="62">
        <f t="shared" si="80"/>
        <v>571.63527976907926</v>
      </c>
      <c r="GE69" s="62">
        <f ca="1">AVERAGE(OFFSET($GD$3,0,0,'Données projet'!$E$17+1,1))-AVERAGE(OFFSET($H$3,0,0,'Données projet'!$E$17+1,1))</f>
        <v>280.20599015000306</v>
      </c>
      <c r="GF69" s="62">
        <f t="shared" ref="GF69:GF132" si="104">$GF$3</f>
        <v>166.97658184507787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4.6153846153846185</v>
      </c>
      <c r="GU69" s="13">
        <f>IF('Données projet'!$A$270&gt;35,GU68+GT69-HC68,IF(A69&lt;'Données projet'!$A$270,$GR$205^A69,IF(A69='Données projet'!$A$270,'Données projet'!$B$270,GU68+GT69-HC68)))</f>
        <v>213.58974358974348</v>
      </c>
      <c r="GV69" s="18">
        <f>GU69*VLOOKUP('Données projet'!$B$18,Paramètres!$A$1:$I$89,3,0)*VLOOKUP('Données projet'!$B$18,Paramètres!$A$1:$I$89,5,0)</f>
        <v>143.27599999999993</v>
      </c>
      <c r="GW69" s="14">
        <f t="shared" ref="GW69:GW132" si="105">EXP(-1.0587+0.8836*LN(GV69)+0.284)</f>
        <v>37.046477812084682</v>
      </c>
      <c r="GX69" s="22">
        <f t="shared" si="82"/>
        <v>314.06164885604733</v>
      </c>
      <c r="GY69" s="62">
        <f t="shared" si="83"/>
        <v>607.3949821893807</v>
      </c>
      <c r="GZ69" s="62">
        <f ca="1">AVERAGE(OFFSET($GY$3,0,0,'Données projet'!$E$18+1,1))-AVERAGE(OFFSET($H$3,0,0,'Données projet'!$E$18+1,1))</f>
        <v>291.18686311753402</v>
      </c>
      <c r="HA69" s="62">
        <f t="shared" ref="HA69:HA132" si="106">$HA$3</f>
        <v>215.44422413249839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9">
        <f t="shared" si="56"/>
        <v>256.66666666666669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260.02504691866199</v>
      </c>
      <c r="T70" s="62">
        <f t="shared" si="88"/>
        <v>270.11268336406368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4.8098196761599077</v>
      </c>
      <c r="AA70" s="23">
        <f>EXP(-LN(2)/25)*AA69+(1-EXP(-LN(2)/25))/(LN(2)/25)*Calculateur!V70*Calculateur!X70*VLOOKUP('Données projet'!$B$9,Paramètres!$A$1:$I$89,3,0)*0.475*44/12</f>
        <v>5.8921355374294135</v>
      </c>
      <c r="AB70" s="23">
        <f>EXP(-LN(2)/2)*AB69+(1-EXP(-LN(2)/2))/(LN(2)/2)*V70*Y70*VLOOKUP('Données projet'!$B$9,Paramètres!$A$1:$I$89,3,0)*0.475*44/12</f>
        <v>1.7101399907381547E-5</v>
      </c>
      <c r="AC70" s="24">
        <f t="shared" si="57"/>
        <v>10.701972314989229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2">
        <f t="shared" si="59"/>
        <v>825.80302750779379</v>
      </c>
      <c r="AN70" s="62">
        <f ca="1">AVERAGE(OFFSET($AM$3,0,0,'Données projet'!$E$10+1,1))-AVERAGE(OFFSET($H$3,0,0,'Données projet'!$E$10+1,1))</f>
        <v>475.47920969424894</v>
      </c>
      <c r="AO70" s="62">
        <f t="shared" si="90"/>
        <v>271.73544012419364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219.50447999999992</v>
      </c>
      <c r="BF70" s="14">
        <f t="shared" si="91"/>
        <v>54.007172767040167</v>
      </c>
      <c r="BG70" s="22">
        <f t="shared" si="61"/>
        <v>476.36612856926143</v>
      </c>
      <c r="BH70" s="62">
        <f t="shared" si="62"/>
        <v>769.69946190259475</v>
      </c>
      <c r="BI70" s="62">
        <f ca="1">AVERAGE(OFFSET($BH$3,0,0,'Données projet'!$E$11+1,1))-AVERAGE(OFFSET($H$3,0,0,'Données projet'!$E$11+1,1))</f>
        <v>428.8489304403459</v>
      </c>
      <c r="BJ70" s="62">
        <f t="shared" si="92"/>
        <v>247.01165577562966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</v>
      </c>
      <c r="BY70" s="13">
        <f>IF('Données projet'!$A$114&gt;35,BY69+BX70-CG69,IF(A70&lt;'Données projet'!$A$114,$BV$205^A70,IF(A70='Données projet'!$A$114,'Données projet'!$B$114,BY69+BX70-CG69)))</f>
        <v>165.99999999999991</v>
      </c>
      <c r="BZ70" s="14">
        <f>BY70*VLOOKUP('Données projet'!$B$12,Paramètres!$A$1:$I$89,3,0)*VLOOKUP('Données projet'!$B$12,Paramètres!$A$1:$I$89,5,0)</f>
        <v>134.65919999999994</v>
      </c>
      <c r="CA70" s="14">
        <f t="shared" si="93"/>
        <v>35.070747374417302</v>
      </c>
      <c r="CB70" s="22">
        <f t="shared" si="64"/>
        <v>295.61299167710996</v>
      </c>
      <c r="CC70" s="62">
        <f t="shared" si="65"/>
        <v>588.94632501044327</v>
      </c>
      <c r="CD70" s="62">
        <f ca="1">AVERAGE(OFFSET($CC$3,0,0,'Données projet'!$E$12+1,1))-AVERAGE(OFFSET($H$3,0,0,'Données projet'!$E$12+1,1))</f>
        <v>236.22643401787644</v>
      </c>
      <c r="CE70" s="62">
        <f t="shared" si="94"/>
        <v>188.80444043778022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9.8224358974358967</v>
      </c>
      <c r="CT70" s="13">
        <f>IF('Données projet'!$A$140&gt;35,CT69+CS70-DB69,IF(A70&lt;'Données projet'!$A$140,$CQ$205^A70,IF(A70='Données projet'!$A$140,'Données projet'!$B$140,CT69+CS70-DB69)))</f>
        <v>281.89743589743597</v>
      </c>
      <c r="CU70" s="18">
        <f>CT70*VLOOKUP('Données projet'!$B$13,Paramètres!$A$1:$I$89,3,0)*VLOOKUP('Données projet'!$B$13,Paramètres!$A$1:$I$89,5,0)</f>
        <v>131.92800000000005</v>
      </c>
      <c r="CV70" s="14">
        <f t="shared" si="95"/>
        <v>34.441481093359528</v>
      </c>
      <c r="CW70" s="22">
        <f t="shared" si="67"/>
        <v>289.76017957093461</v>
      </c>
      <c r="CX70" s="62">
        <f t="shared" si="68"/>
        <v>583.09351290426798</v>
      </c>
      <c r="CY70" s="62">
        <f ca="1">AVERAGE(OFFSET($CX$3,0,0,'Données projet'!$E$13+1,1))-AVERAGE(OFFSET($H$3,0,0,'Données projet'!$E$13+1,1))</f>
        <v>246.73711856758143</v>
      </c>
      <c r="CZ70" s="62">
        <f t="shared" si="96"/>
        <v>145.54897745089966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4.8717948717948669</v>
      </c>
      <c r="DO70" s="13">
        <f>IF('Données projet'!$A$166&gt;35,DO69+DN70-DW69,IF(A70&lt;'Données projet'!$A$166,$DL$205^A70,IF(A70='Données projet'!$A$166,'Données projet'!$B$166,DO69+DN70-DW69)))</f>
        <v>243.71794871794856</v>
      </c>
      <c r="DP70" s="18">
        <f>DO70*VLOOKUP('Données projet'!$B$14,Paramètres!$A$1:$I$89,3,0)*VLOOKUP('Données projet'!$B$14,Paramètres!$A$1:$I$89,5,0)</f>
        <v>254.73399999999987</v>
      </c>
      <c r="DQ70" s="14">
        <f t="shared" si="97"/>
        <v>61.598546307129801</v>
      </c>
      <c r="DR70" s="22">
        <f t="shared" si="70"/>
        <v>550.94585148491763</v>
      </c>
      <c r="DS70" s="62">
        <f t="shared" si="71"/>
        <v>844.279184818251</v>
      </c>
      <c r="DT70" s="62">
        <f ca="1">AVERAGE(OFFSET($DS$3,0,0,'Données projet'!$E$14+1,1))-AVERAGE(OFFSET($H$3,0,0,'Données projet'!$E$14+1,1))</f>
        <v>493.70175665335978</v>
      </c>
      <c r="DU70" s="62">
        <f t="shared" si="98"/>
        <v>325.12357781685949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2.2000000000000002</v>
      </c>
      <c r="EJ70" s="13">
        <f>IF('Données projet'!$A$192&gt;35,EJ69+EI70-ER69,IF(A70&lt;'Données projet'!$A$192,$EG$205^A70,IF(A70='Données projet'!$A$192,'Données projet'!$B$192,EJ69+EI70-ER69)))</f>
        <v>150.39999999999986</v>
      </c>
      <c r="EK70" s="18">
        <f>EJ70*VLOOKUP('Données projet'!$B$15,Paramètres!$A$1:$I$89,3,0)*VLOOKUP('Données projet'!$B$15,Paramètres!$A$1:$I$89,5,0)</f>
        <v>131.38943999999989</v>
      </c>
      <c r="EL70" s="14">
        <f t="shared" si="99"/>
        <v>34.317219199328726</v>
      </c>
      <c r="EM70" s="22">
        <f t="shared" si="73"/>
        <v>288.60576477216398</v>
      </c>
      <c r="EN70" s="62">
        <f t="shared" si="74"/>
        <v>581.93909810549735</v>
      </c>
      <c r="EO70" s="62">
        <f ca="1">AVERAGE(OFFSET($EN$3,0,0,'Données projet'!$E$15+1,1))-AVERAGE(OFFSET($H$3,0,0,'Données projet'!$E$15+1,1))</f>
        <v>202.86354781280403</v>
      </c>
      <c r="EP70" s="62">
        <f t="shared" si="100"/>
        <v>217.25323885665131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4.3589743589743595</v>
      </c>
      <c r="FE70" s="13">
        <f>IF('Données projet'!$A$218&gt;35,FE69+FD70-FM69,IF(A70&lt;'Données projet'!$A$218,$FB$205^A70,IF(A70='Données projet'!$A$218,'Données projet'!$B$218,FE69+FD70-FM69)))</f>
        <v>181.15384615384605</v>
      </c>
      <c r="FF70" s="18">
        <f>FE70*VLOOKUP('Données projet'!$B$16,Paramètres!$A$1:$I$89,3,0)*VLOOKUP('Données projet'!$B$16,Paramètres!$A$1:$I$89,5,0)</f>
        <v>172.38599999999991</v>
      </c>
      <c r="FG70" s="14">
        <f t="shared" si="101"/>
        <v>43.623973962324399</v>
      </c>
      <c r="FH70" s="22">
        <f t="shared" si="76"/>
        <v>376.21737131771482</v>
      </c>
      <c r="FI70" s="62">
        <f t="shared" si="77"/>
        <v>669.55070465104814</v>
      </c>
      <c r="FJ70" s="62">
        <f ca="1">AVERAGE(OFFSET($FI$3,0,0,'Données projet'!$E$16+1,1))-AVERAGE(OFFSET($H$3,0,0,'Données projet'!$E$16+1,1))</f>
        <v>353.61481736740694</v>
      </c>
      <c r="FK70" s="62">
        <f t="shared" si="102"/>
        <v>244.7141066773861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3.6</v>
      </c>
      <c r="FZ70" s="13">
        <f>IF('Données projet'!$A$244&gt;35,FZ69+FY70-GH69,IF(A70&lt;'Données projet'!$A$244,$FW$205^A70,IF(A70='Données projet'!$A$244,'Données projet'!$B$244,FZ69+FY70-GH69)))</f>
        <v>121.19999999999996</v>
      </c>
      <c r="GA70" s="18">
        <f>FZ70*VLOOKUP('Données projet'!$B$17,Paramètres!$A$1:$I$89,3,0)*VLOOKUP('Données projet'!$B$17,Paramètres!$A$1:$I$89,5,0)</f>
        <v>130.45967999999996</v>
      </c>
      <c r="GB70" s="14">
        <f t="shared" si="103"/>
        <v>34.102556053254894</v>
      </c>
      <c r="GC70" s="22">
        <f t="shared" si="79"/>
        <v>286.61256112608555</v>
      </c>
      <c r="GD70" s="62">
        <f t="shared" si="80"/>
        <v>579.94589445941892</v>
      </c>
      <c r="GE70" s="62">
        <f ca="1">AVERAGE(OFFSET($GD$3,0,0,'Données projet'!$E$17+1,1))-AVERAGE(OFFSET($H$3,0,0,'Données projet'!$E$17+1,1))</f>
        <v>280.20599015000306</v>
      </c>
      <c r="GF70" s="62">
        <f t="shared" si="104"/>
        <v>166.97658184507787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4.6153846153846185</v>
      </c>
      <c r="GU70" s="13">
        <f>IF('Données projet'!$A$270&gt;35,GU69+GT70-HC69,IF(A70&lt;'Données projet'!$A$270,$GR$205^A70,IF(A70='Données projet'!$A$270,'Données projet'!$B$270,GU69+GT70-HC69)))</f>
        <v>218.20512820512809</v>
      </c>
      <c r="GV70" s="18">
        <f>GU70*VLOOKUP('Données projet'!$B$18,Paramètres!$A$1:$I$89,3,0)*VLOOKUP('Données projet'!$B$18,Paramètres!$A$1:$I$89,5,0)</f>
        <v>146.37199999999993</v>
      </c>
      <c r="GW70" s="14">
        <f t="shared" si="105"/>
        <v>37.752938435291682</v>
      </c>
      <c r="GX70" s="22">
        <f t="shared" si="82"/>
        <v>320.68426777479954</v>
      </c>
      <c r="GY70" s="62">
        <f t="shared" si="83"/>
        <v>614.01760110813279</v>
      </c>
      <c r="GZ70" s="62">
        <f ca="1">AVERAGE(OFFSET($GY$3,0,0,'Données projet'!$E$18+1,1))-AVERAGE(OFFSET($H$3,0,0,'Données projet'!$E$18+1,1))</f>
        <v>291.18686311753402</v>
      </c>
      <c r="HA70" s="62">
        <f t="shared" si="106"/>
        <v>215.44422413249839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9">
        <f t="shared" si="56"/>
        <v>256.66666666666669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260.02504691866199</v>
      </c>
      <c r="T71" s="62">
        <f t="shared" si="88"/>
        <v>270.11268336406368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4.7155020460107355</v>
      </c>
      <c r="AA71" s="23">
        <f>EXP(-LN(2)/25)*AA70+(1-EXP(-LN(2)/25))/(LN(2)/25)*Calculateur!V71*Calculateur!X71*VLOOKUP('Données projet'!$B$9,Paramètres!$A$1:$I$89,3,0)*0.475*44/12</f>
        <v>5.7310147813044647</v>
      </c>
      <c r="AB71" s="23">
        <f>EXP(-LN(2)/2)*AB70+(1-EXP(-LN(2)/2))/(LN(2)/2)*V71*Y71*VLOOKUP('Données projet'!$B$9,Paramètres!$A$1:$I$89,3,0)*0.475*44/12</f>
        <v>1.2092515842292488E-5</v>
      </c>
      <c r="AC71" s="24">
        <f t="shared" si="57"/>
        <v>10.446528919831042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2">
        <f t="shared" si="59"/>
        <v>840.38442127706139</v>
      </c>
      <c r="AN71" s="62">
        <f ca="1">AVERAGE(OFFSET($AM$3,0,0,'Données projet'!$E$10+1,1))-AVERAGE(OFFSET($H$3,0,0,'Données projet'!$E$10+1,1))</f>
        <v>475.47920969424894</v>
      </c>
      <c r="AO71" s="62">
        <f t="shared" si="90"/>
        <v>271.73544012419364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225.65711999999994</v>
      </c>
      <c r="BF71" s="14">
        <f t="shared" si="91"/>
        <v>55.342610076561513</v>
      </c>
      <c r="BG71" s="22">
        <f t="shared" si="61"/>
        <v>489.40786321667775</v>
      </c>
      <c r="BH71" s="62">
        <f t="shared" si="62"/>
        <v>782.74119655001107</v>
      </c>
      <c r="BI71" s="62">
        <f ca="1">AVERAGE(OFFSET($BH$3,0,0,'Données projet'!$E$11+1,1))-AVERAGE(OFFSET($H$3,0,0,'Données projet'!$E$11+1,1))</f>
        <v>428.8489304403459</v>
      </c>
      <c r="BJ71" s="62">
        <f t="shared" si="92"/>
        <v>247.01165577562966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</v>
      </c>
      <c r="BY71" s="13">
        <f>IF('Données projet'!$A$114&gt;35,BY70+BX71-CG70,IF(A71&lt;'Données projet'!$A$114,$BV$205^A71,IF(A71='Données projet'!$A$114,'Données projet'!$B$114,BY70+BX71-CG70)))</f>
        <v>169.99999999999991</v>
      </c>
      <c r="BZ71" s="14">
        <f>BY71*VLOOKUP('Données projet'!$B$12,Paramètres!$A$1:$I$89,3,0)*VLOOKUP('Données projet'!$B$12,Paramètres!$A$1:$I$89,5,0)</f>
        <v>137.90399999999994</v>
      </c>
      <c r="CA71" s="14">
        <f t="shared" si="93"/>
        <v>35.816420593519346</v>
      </c>
      <c r="CB71" s="22">
        <f t="shared" si="64"/>
        <v>302.56306586704608</v>
      </c>
      <c r="CC71" s="62">
        <f t="shared" si="65"/>
        <v>595.89639920037939</v>
      </c>
      <c r="CD71" s="62">
        <f ca="1">AVERAGE(OFFSET($CC$3,0,0,'Données projet'!$E$12+1,1))-AVERAGE(OFFSET($H$3,0,0,'Données projet'!$E$12+1,1))</f>
        <v>236.22643401787644</v>
      </c>
      <c r="CE71" s="62">
        <f t="shared" si="94"/>
        <v>188.80444043778022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9.8224358974358967</v>
      </c>
      <c r="CT71" s="13">
        <f>IF('Données projet'!$A$140&gt;35,CT70+CS71-DB70,IF(A71&lt;'Données projet'!$A$140,$CQ$205^A71,IF(A71='Données projet'!$A$140,'Données projet'!$B$140,CT70+CS71-DB70)))</f>
        <v>291.71987179487189</v>
      </c>
      <c r="CU71" s="18">
        <f>CT71*VLOOKUP('Données projet'!$B$13,Paramètres!$A$1:$I$89,3,0)*VLOOKUP('Données projet'!$B$13,Paramètres!$A$1:$I$89,5,0)</f>
        <v>136.52490000000006</v>
      </c>
      <c r="CV71" s="14">
        <f t="shared" si="95"/>
        <v>35.49974803884507</v>
      </c>
      <c r="CW71" s="22">
        <f t="shared" si="67"/>
        <v>299.60959533432191</v>
      </c>
      <c r="CX71" s="62">
        <f t="shared" si="68"/>
        <v>592.94292866765522</v>
      </c>
      <c r="CY71" s="62">
        <f ca="1">AVERAGE(OFFSET($CX$3,0,0,'Données projet'!$E$13+1,1))-AVERAGE(OFFSET($H$3,0,0,'Données projet'!$E$13+1,1))</f>
        <v>246.73711856758143</v>
      </c>
      <c r="CZ71" s="62">
        <f t="shared" si="96"/>
        <v>145.54897745089966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4.8717948717948669</v>
      </c>
      <c r="DO71" s="13">
        <f>IF('Données projet'!$A$166&gt;35,DO70+DN71-DW70,IF(A71&lt;'Données projet'!$A$166,$DL$205^A71,IF(A71='Données projet'!$A$166,'Données projet'!$B$166,DO70+DN71-DW70)))</f>
        <v>248.58974358974342</v>
      </c>
      <c r="DP71" s="18">
        <f>DO71*VLOOKUP('Données projet'!$B$14,Paramètres!$A$1:$I$89,3,0)*VLOOKUP('Données projet'!$B$14,Paramètres!$A$1:$I$89,5,0)</f>
        <v>259.82599999999985</v>
      </c>
      <c r="DQ71" s="14">
        <f t="shared" si="97"/>
        <v>62.685286742684056</v>
      </c>
      <c r="DR71" s="22">
        <f t="shared" si="70"/>
        <v>561.70715774350776</v>
      </c>
      <c r="DS71" s="62">
        <f t="shared" si="71"/>
        <v>855.04049107684114</v>
      </c>
      <c r="DT71" s="62">
        <f ca="1">AVERAGE(OFFSET($DS$3,0,0,'Données projet'!$E$14+1,1))-AVERAGE(OFFSET($H$3,0,0,'Données projet'!$E$14+1,1))</f>
        <v>493.70175665335978</v>
      </c>
      <c r="DU71" s="62">
        <f t="shared" si="98"/>
        <v>325.12357781685949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2.2000000000000002</v>
      </c>
      <c r="EJ71" s="13">
        <f>IF('Données projet'!$A$192&gt;35,EJ70+EI71-ER70,IF(A71&lt;'Données projet'!$A$192,$EG$205^A71,IF(A71='Données projet'!$A$192,'Données projet'!$B$192,EJ70+EI71-ER70)))</f>
        <v>152.59999999999985</v>
      </c>
      <c r="EK71" s="18">
        <f>EJ71*VLOOKUP('Données projet'!$B$15,Paramètres!$A$1:$I$89,3,0)*VLOOKUP('Données projet'!$B$15,Paramètres!$A$1:$I$89,5,0)</f>
        <v>133.31135999999989</v>
      </c>
      <c r="EL71" s="14">
        <f t="shared" si="99"/>
        <v>34.760393689821598</v>
      </c>
      <c r="EM71" s="22">
        <f t="shared" si="73"/>
        <v>292.72497100977245</v>
      </c>
      <c r="EN71" s="62">
        <f t="shared" si="74"/>
        <v>586.05830434310576</v>
      </c>
      <c r="EO71" s="62">
        <f ca="1">AVERAGE(OFFSET($EN$3,0,0,'Données projet'!$E$15+1,1))-AVERAGE(OFFSET($H$3,0,0,'Données projet'!$E$15+1,1))</f>
        <v>202.86354781280403</v>
      </c>
      <c r="EP71" s="62">
        <f t="shared" si="100"/>
        <v>217.25323885665131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4.3589743589743595</v>
      </c>
      <c r="FE71" s="13">
        <f>IF('Données projet'!$A$218&gt;35,FE70+FD71-FM70,IF(A71&lt;'Données projet'!$A$218,$FB$205^A71,IF(A71='Données projet'!$A$218,'Données projet'!$B$218,FE70+FD71-FM70)))</f>
        <v>185.51282051282041</v>
      </c>
      <c r="FF71" s="18">
        <f>FE71*VLOOKUP('Données projet'!$B$16,Paramètres!$A$1:$I$89,3,0)*VLOOKUP('Données projet'!$B$16,Paramètres!$A$1:$I$89,5,0)</f>
        <v>176.53399999999991</v>
      </c>
      <c r="FG71" s="14">
        <f t="shared" si="101"/>
        <v>44.550194592706617</v>
      </c>
      <c r="FH71" s="22">
        <f t="shared" si="76"/>
        <v>385.05497224896385</v>
      </c>
      <c r="FI71" s="62">
        <f t="shared" si="77"/>
        <v>678.38830558229711</v>
      </c>
      <c r="FJ71" s="62">
        <f ca="1">AVERAGE(OFFSET($FI$3,0,0,'Données projet'!$E$16+1,1))-AVERAGE(OFFSET($H$3,0,0,'Données projet'!$E$16+1,1))</f>
        <v>353.61481736740694</v>
      </c>
      <c r="FK71" s="62">
        <f t="shared" si="102"/>
        <v>244.7141066773861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3.6</v>
      </c>
      <c r="FZ71" s="13">
        <f>IF('Données projet'!$A$244&gt;35,FZ70+FY71-GH70,IF(A71&lt;'Données projet'!$A$244,$FW$205^A71,IF(A71='Données projet'!$A$244,'Données projet'!$B$244,FZ70+FY71-GH70)))</f>
        <v>124.79999999999995</v>
      </c>
      <c r="GA71" s="18">
        <f>FZ71*VLOOKUP('Données projet'!$B$17,Paramètres!$A$1:$I$89,3,0)*VLOOKUP('Données projet'!$B$17,Paramètres!$A$1:$I$89,5,0)</f>
        <v>134.33471999999995</v>
      </c>
      <c r="GB71" s="14">
        <f t="shared" si="103"/>
        <v>34.996065778897268</v>
      </c>
      <c r="GC71" s="22">
        <f t="shared" si="79"/>
        <v>294.91778523157933</v>
      </c>
      <c r="GD71" s="62">
        <f t="shared" si="80"/>
        <v>588.25111856491264</v>
      </c>
      <c r="GE71" s="62">
        <f ca="1">AVERAGE(OFFSET($GD$3,0,0,'Données projet'!$E$17+1,1))-AVERAGE(OFFSET($H$3,0,0,'Données projet'!$E$17+1,1))</f>
        <v>280.20599015000306</v>
      </c>
      <c r="GF71" s="62">
        <f t="shared" si="104"/>
        <v>166.97658184507787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4.6153846153846185</v>
      </c>
      <c r="GU71" s="13">
        <f>IF('Données projet'!$A$270&gt;35,GU70+GT71-HC70,IF(A71&lt;'Données projet'!$A$270,$GR$205^A71,IF(A71='Données projet'!$A$270,'Données projet'!$B$270,GU70+GT71-HC70)))</f>
        <v>222.8205128205127</v>
      </c>
      <c r="GV71" s="18">
        <f>GU71*VLOOKUP('Données projet'!$B$18,Paramètres!$A$1:$I$89,3,0)*VLOOKUP('Données projet'!$B$18,Paramètres!$A$1:$I$89,5,0)</f>
        <v>149.46799999999993</v>
      </c>
      <c r="GW71" s="14">
        <f t="shared" si="105"/>
        <v>38.457661723375857</v>
      </c>
      <c r="GX71" s="22">
        <f t="shared" si="82"/>
        <v>327.30386083487946</v>
      </c>
      <c r="GY71" s="62">
        <f t="shared" si="83"/>
        <v>620.63719416821277</v>
      </c>
      <c r="GZ71" s="62">
        <f ca="1">AVERAGE(OFFSET($GY$3,0,0,'Données projet'!$E$18+1,1))-AVERAGE(OFFSET($H$3,0,0,'Données projet'!$E$18+1,1))</f>
        <v>291.18686311753402</v>
      </c>
      <c r="HA71" s="62">
        <f t="shared" si="106"/>
        <v>215.44422413249839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9">
        <f t="shared" si="56"/>
        <v>256.66666666666669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260.02504691866199</v>
      </c>
      <c r="T72" s="62">
        <f t="shared" si="88"/>
        <v>270.11268336406368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4.6230339270607148</v>
      </c>
      <c r="AA72" s="23">
        <f>EXP(-LN(2)/25)*AA71+(1-EXP(-LN(2)/25))/(LN(2)/25)*Calculateur!V72*Calculateur!X72*VLOOKUP('Données projet'!$B$9,Paramètres!$A$1:$I$89,3,0)*0.475*44/12</f>
        <v>5.5742998807287254</v>
      </c>
      <c r="AB72" s="23">
        <f>EXP(-LN(2)/2)*AB71+(1-EXP(-LN(2)/2))/(LN(2)/2)*V72*Y72*VLOOKUP('Données projet'!$B$9,Paramètres!$A$1:$I$89,3,0)*0.475*44/12</f>
        <v>8.5506999536907734E-6</v>
      </c>
      <c r="AC72" s="24">
        <f t="shared" si="57"/>
        <v>10.197342358489395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2">
        <f t="shared" si="59"/>
        <v>854.95766336593738</v>
      </c>
      <c r="AN72" s="62">
        <f ca="1">AVERAGE(OFFSET($AM$3,0,0,'Données projet'!$E$10+1,1))-AVERAGE(OFFSET($H$3,0,0,'Données projet'!$E$10+1,1))</f>
        <v>475.47920969424894</v>
      </c>
      <c r="AO72" s="62">
        <f t="shared" si="90"/>
        <v>271.73544012419364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231.80975999999993</v>
      </c>
      <c r="BF72" s="14">
        <f t="shared" si="91"/>
        <v>56.673815277159328</v>
      </c>
      <c r="BG72" s="22">
        <f t="shared" si="61"/>
        <v>502.44222694105241</v>
      </c>
      <c r="BH72" s="62">
        <f t="shared" si="62"/>
        <v>795.77556027438573</v>
      </c>
      <c r="BI72" s="62">
        <f ca="1">AVERAGE(OFFSET($BH$3,0,0,'Données projet'!$E$11+1,1))-AVERAGE(OFFSET($H$3,0,0,'Données projet'!$E$11+1,1))</f>
        <v>428.8489304403459</v>
      </c>
      <c r="BJ72" s="62">
        <f t="shared" si="92"/>
        <v>247.01165577562966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</v>
      </c>
      <c r="BY72" s="13">
        <f>IF('Données projet'!$A$114&gt;35,BY71+BX72-CG71,IF(A72&lt;'Données projet'!$A$114,$BV$205^A72,IF(A72='Données projet'!$A$114,'Données projet'!$B$114,BY71+BX72-CG71)))</f>
        <v>173.99999999999991</v>
      </c>
      <c r="BZ72" s="14">
        <f>BY72*VLOOKUP('Données projet'!$B$12,Paramètres!$A$1:$I$89,3,0)*VLOOKUP('Données projet'!$B$12,Paramètres!$A$1:$I$89,5,0)</f>
        <v>141.14879999999994</v>
      </c>
      <c r="CA72" s="14">
        <f t="shared" si="93"/>
        <v>36.560054140504484</v>
      </c>
      <c r="CB72" s="22">
        <f t="shared" si="64"/>
        <v>309.50958762804521</v>
      </c>
      <c r="CC72" s="62">
        <f t="shared" si="65"/>
        <v>602.84292096137847</v>
      </c>
      <c r="CD72" s="62">
        <f ca="1">AVERAGE(OFFSET($CC$3,0,0,'Données projet'!$E$12+1,1))-AVERAGE(OFFSET($H$3,0,0,'Données projet'!$E$12+1,1))</f>
        <v>236.22643401787644</v>
      </c>
      <c r="CE72" s="62">
        <f t="shared" si="94"/>
        <v>188.80444043778022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9.8224358974358967</v>
      </c>
      <c r="CT72" s="13">
        <f>IF('Données projet'!$A$140&gt;35,CT71+CS72-DB71,IF(A72&lt;'Données projet'!$A$140,$CQ$205^A72,IF(A72='Données projet'!$A$140,'Données projet'!$B$140,CT71+CS72-DB71)))</f>
        <v>301.54230769230782</v>
      </c>
      <c r="CU72" s="18">
        <f>CT72*VLOOKUP('Données projet'!$B$13,Paramètres!$A$1:$I$89,3,0)*VLOOKUP('Données projet'!$B$13,Paramètres!$A$1:$I$89,5,0)</f>
        <v>141.12180000000004</v>
      </c>
      <c r="CV72" s="14">
        <f t="shared" si="95"/>
        <v>36.553874631824975</v>
      </c>
      <c r="CW72" s="22">
        <f t="shared" si="67"/>
        <v>309.45179998376187</v>
      </c>
      <c r="CX72" s="62">
        <f t="shared" si="68"/>
        <v>602.78513331709519</v>
      </c>
      <c r="CY72" s="62">
        <f ca="1">AVERAGE(OFFSET($CX$3,0,0,'Données projet'!$E$13+1,1))-AVERAGE(OFFSET($H$3,0,0,'Données projet'!$E$13+1,1))</f>
        <v>246.73711856758143</v>
      </c>
      <c r="CZ72" s="62">
        <f t="shared" si="96"/>
        <v>145.54897745089966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4.8717948717948669</v>
      </c>
      <c r="DO72" s="13">
        <f>IF('Données projet'!$A$166&gt;35,DO71+DN72-DW71,IF(A72&lt;'Données projet'!$A$166,$DL$205^A72,IF(A72='Données projet'!$A$166,'Données projet'!$B$166,DO71+DN72-DW71)))</f>
        <v>253.46153846153828</v>
      </c>
      <c r="DP72" s="18">
        <f>DO72*VLOOKUP('Données projet'!$B$14,Paramètres!$A$1:$I$89,3,0)*VLOOKUP('Données projet'!$B$14,Paramètres!$A$1:$I$89,5,0)</f>
        <v>264.91799999999984</v>
      </c>
      <c r="DQ72" s="14">
        <f t="shared" si="97"/>
        <v>63.769550790039318</v>
      </c>
      <c r="DR72" s="22">
        <f t="shared" si="70"/>
        <v>572.4641509593182</v>
      </c>
      <c r="DS72" s="62">
        <f t="shared" si="71"/>
        <v>865.79748429265146</v>
      </c>
      <c r="DT72" s="62">
        <f ca="1">AVERAGE(OFFSET($DS$3,0,0,'Données projet'!$E$14+1,1))-AVERAGE(OFFSET($H$3,0,0,'Données projet'!$E$14+1,1))</f>
        <v>493.70175665335978</v>
      </c>
      <c r="DU72" s="62">
        <f t="shared" si="98"/>
        <v>325.12357781685949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2.2000000000000002</v>
      </c>
      <c r="EJ72" s="13">
        <f>IF('Données projet'!$A$192&gt;35,EJ71+EI72-ER71,IF(A72&lt;'Données projet'!$A$192,$EG$205^A72,IF(A72='Données projet'!$A$192,'Données projet'!$B$192,EJ71+EI72-ER71)))</f>
        <v>154.79999999999984</v>
      </c>
      <c r="EK72" s="18">
        <f>EJ72*VLOOKUP('Données projet'!$B$15,Paramètres!$A$1:$I$89,3,0)*VLOOKUP('Données projet'!$B$15,Paramètres!$A$1:$I$89,5,0)</f>
        <v>135.23327999999987</v>
      </c>
      <c r="EL72" s="14">
        <f t="shared" si="99"/>
        <v>35.202825080004409</v>
      </c>
      <c r="EM72" s="22">
        <f t="shared" si="73"/>
        <v>296.84288301434077</v>
      </c>
      <c r="EN72" s="62">
        <f t="shared" si="74"/>
        <v>590.17621634767409</v>
      </c>
      <c r="EO72" s="62">
        <f ca="1">AVERAGE(OFFSET($EN$3,0,0,'Données projet'!$E$15+1,1))-AVERAGE(OFFSET($H$3,0,0,'Données projet'!$E$15+1,1))</f>
        <v>202.86354781280403</v>
      </c>
      <c r="EP72" s="62">
        <f t="shared" si="100"/>
        <v>217.25323885665131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4.3589743589743595</v>
      </c>
      <c r="FE72" s="13">
        <f>IF('Données projet'!$A$218&gt;35,FE71+FD72-FM71,IF(A72&lt;'Données projet'!$A$218,$FB$205^A72,IF(A72='Données projet'!$A$218,'Données projet'!$B$218,FE71+FD72-FM71)))</f>
        <v>189.87179487179478</v>
      </c>
      <c r="FF72" s="18">
        <f>FE72*VLOOKUP('Données projet'!$B$16,Paramètres!$A$1:$I$89,3,0)*VLOOKUP('Données projet'!$B$16,Paramètres!$A$1:$I$89,5,0)</f>
        <v>180.6819999999999</v>
      </c>
      <c r="FG72" s="14">
        <f t="shared" si="101"/>
        <v>45.473885189516494</v>
      </c>
      <c r="FH72" s="22">
        <f t="shared" si="76"/>
        <v>393.88816670507435</v>
      </c>
      <c r="FI72" s="62">
        <f t="shared" si="77"/>
        <v>687.22150003840761</v>
      </c>
      <c r="FJ72" s="62">
        <f ca="1">AVERAGE(OFFSET($FI$3,0,0,'Données projet'!$E$16+1,1))-AVERAGE(OFFSET($H$3,0,0,'Données projet'!$E$16+1,1))</f>
        <v>353.61481736740694</v>
      </c>
      <c r="FK72" s="62">
        <f t="shared" si="102"/>
        <v>244.7141066773861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3.6</v>
      </c>
      <c r="FZ72" s="13">
        <f>IF('Données projet'!$A$244&gt;35,FZ71+FY72-GH71,IF(A72&lt;'Données projet'!$A$244,$FW$205^A72,IF(A72='Données projet'!$A$244,'Données projet'!$B$244,FZ71+FY72-GH71)))</f>
        <v>128.39999999999995</v>
      </c>
      <c r="GA72" s="18">
        <f>FZ72*VLOOKUP('Données projet'!$B$17,Paramètres!$A$1:$I$89,3,0)*VLOOKUP('Données projet'!$B$17,Paramètres!$A$1:$I$89,5,0)</f>
        <v>138.20975999999993</v>
      </c>
      <c r="GB72" s="14">
        <f t="shared" si="103"/>
        <v>35.886579965971777</v>
      </c>
      <c r="GC72" s="22">
        <f t="shared" si="79"/>
        <v>303.21779210740073</v>
      </c>
      <c r="GD72" s="62">
        <f t="shared" si="80"/>
        <v>596.55112544073404</v>
      </c>
      <c r="GE72" s="62">
        <f ca="1">AVERAGE(OFFSET($GD$3,0,0,'Données projet'!$E$17+1,1))-AVERAGE(OFFSET($H$3,0,0,'Données projet'!$E$17+1,1))</f>
        <v>280.20599015000306</v>
      </c>
      <c r="GF72" s="62">
        <f t="shared" si="104"/>
        <v>166.97658184507787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4.6153846153846185</v>
      </c>
      <c r="GU72" s="13">
        <f>IF('Données projet'!$A$270&gt;35,GU71+GT72-HC71,IF(A72&lt;'Données projet'!$A$270,$GR$205^A72,IF(A72='Données projet'!$A$270,'Données projet'!$B$270,GU71+GT72-HC71)))</f>
        <v>227.43589743589732</v>
      </c>
      <c r="GV72" s="18">
        <f>GU72*VLOOKUP('Données projet'!$B$18,Paramètres!$A$1:$I$89,3,0)*VLOOKUP('Données projet'!$B$18,Paramètres!$A$1:$I$89,5,0)</f>
        <v>152.56399999999994</v>
      </c>
      <c r="GW72" s="14">
        <f t="shared" si="105"/>
        <v>39.16068780876315</v>
      </c>
      <c r="GX72" s="22">
        <f t="shared" si="82"/>
        <v>333.9204979335957</v>
      </c>
      <c r="GY72" s="62">
        <f t="shared" si="83"/>
        <v>627.25383126692896</v>
      </c>
      <c r="GZ72" s="62">
        <f ca="1">AVERAGE(OFFSET($GY$3,0,0,'Données projet'!$E$18+1,1))-AVERAGE(OFFSET($H$3,0,0,'Données projet'!$E$18+1,1))</f>
        <v>291.18686311753402</v>
      </c>
      <c r="HA72" s="62">
        <f t="shared" si="106"/>
        <v>215.44422413249839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9">
        <f t="shared" si="56"/>
        <v>256.66666666666669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260.02504691866199</v>
      </c>
      <c r="T73" s="62">
        <f t="shared" si="88"/>
        <v>270.11268336406368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4.5323790515233204</v>
      </c>
      <c r="AA73" s="23">
        <f>EXP(-LN(2)/25)*AA72+(1-EXP(-LN(2)/25))/(LN(2)/25)*Calculateur!V73*Calculateur!X73*VLOOKUP('Données projet'!$B$9,Paramètres!$A$1:$I$89,3,0)*0.475*44/12</f>
        <v>5.4218703573505076</v>
      </c>
      <c r="AB73" s="23">
        <f>EXP(-LN(2)/2)*AB72+(1-EXP(-LN(2)/2))/(LN(2)/2)*V73*Y73*VLOOKUP('Données projet'!$B$9,Paramètres!$A$1:$I$89,3,0)*0.475*44/12</f>
        <v>6.0462579211462438E-6</v>
      </c>
      <c r="AC73" s="24">
        <f t="shared" si="57"/>
        <v>9.954255455131749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2">
        <f t="shared" si="59"/>
        <v>869.52299500330537</v>
      </c>
      <c r="AN73" s="62">
        <f ca="1">AVERAGE(OFFSET($AM$3,0,0,'Données projet'!$E$10+1,1))-AVERAGE(OFFSET($H$3,0,0,'Données projet'!$E$10+1,1))</f>
        <v>475.47920969424894</v>
      </c>
      <c r="AO73" s="62">
        <f t="shared" si="90"/>
        <v>271.73544012419364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237.96239999999995</v>
      </c>
      <c r="BF73" s="14">
        <f t="shared" si="91"/>
        <v>58.00091360766335</v>
      </c>
      <c r="BG73" s="22">
        <f t="shared" si="61"/>
        <v>515.4694378666801</v>
      </c>
      <c r="BH73" s="62">
        <f t="shared" si="62"/>
        <v>808.80277120001347</v>
      </c>
      <c r="BI73" s="62">
        <f ca="1">AVERAGE(OFFSET($BH$3,0,0,'Données projet'!$E$11+1,1))-AVERAGE(OFFSET($H$3,0,0,'Données projet'!$E$11+1,1))</f>
        <v>428.8489304403459</v>
      </c>
      <c r="BJ73" s="62">
        <f t="shared" si="92"/>
        <v>247.01165577562966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178</v>
      </c>
      <c r="BW73" s="13">
        <f>VLOOKUP(A73,'Données projet'!$A$113:$I$133,9,0)</f>
        <v>4</v>
      </c>
      <c r="BX73" s="13">
        <f t="array" ref="BX73">INDEX(BW:BW,MIN(IF(ISNUMBER(BW73:BW269),ROW(BW73:BW269),"")))</f>
        <v>4</v>
      </c>
      <c r="BY73" s="13">
        <f>IF('Données projet'!$A$114&gt;35,BY72+BX73-CG72,IF(A73&lt;'Données projet'!$A$114,$BV$205^A73,IF(A73='Données projet'!$A$114,'Données projet'!$B$114,BY72+BX73-CG72)))</f>
        <v>177.99999999999991</v>
      </c>
      <c r="BZ73" s="14">
        <f>BY73*VLOOKUP('Données projet'!$B$12,Paramètres!$A$1:$I$89,3,0)*VLOOKUP('Données projet'!$B$12,Paramètres!$A$1:$I$89,5,0)</f>
        <v>144.39359999999994</v>
      </c>
      <c r="CA73" s="14">
        <f t="shared" si="93"/>
        <v>37.301700301601691</v>
      </c>
      <c r="CB73" s="22">
        <f t="shared" si="64"/>
        <v>316.45264802528953</v>
      </c>
      <c r="CC73" s="62">
        <f t="shared" si="65"/>
        <v>609.78598135862285</v>
      </c>
      <c r="CD73" s="62">
        <f ca="1">AVERAGE(OFFSET($CC$3,0,0,'Données projet'!$E$12+1,1))-AVERAGE(OFFSET($H$3,0,0,'Données projet'!$E$12+1,1))</f>
        <v>236.22643401787644</v>
      </c>
      <c r="CE73" s="62">
        <f t="shared" si="94"/>
        <v>188.80444043778022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9.8224358974358967</v>
      </c>
      <c r="CT73" s="13">
        <f>IF('Données projet'!$A$140&gt;35,CT72+CS73-DB72,IF(A73&lt;'Données projet'!$A$140,$CQ$205^A73,IF(A73='Données projet'!$A$140,'Données projet'!$B$140,CT72+CS73-DB72)))</f>
        <v>311.36474358974374</v>
      </c>
      <c r="CU73" s="18">
        <f>CT73*VLOOKUP('Données projet'!$B$13,Paramètres!$A$1:$I$89,3,0)*VLOOKUP('Données projet'!$B$13,Paramètres!$A$1:$I$89,5,0)</f>
        <v>145.71870000000007</v>
      </c>
      <c r="CV73" s="14">
        <f t="shared" si="95"/>
        <v>37.604011207604927</v>
      </c>
      <c r="CW73" s="22">
        <f t="shared" si="67"/>
        <v>319.28705535324531</v>
      </c>
      <c r="CX73" s="62">
        <f t="shared" si="68"/>
        <v>612.62038868657862</v>
      </c>
      <c r="CY73" s="62">
        <f ca="1">AVERAGE(OFFSET($CX$3,0,0,'Données projet'!$E$13+1,1))-AVERAGE(OFFSET($H$3,0,0,'Données projet'!$E$13+1,1))</f>
        <v>246.73711856758143</v>
      </c>
      <c r="CZ73" s="62">
        <f t="shared" si="96"/>
        <v>145.54897745089966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258.33333333333331</v>
      </c>
      <c r="DM73" s="13">
        <f>VLOOKUP(A73,'Données projet'!$A$165:$I$185,9,0)</f>
        <v>4.8717948717948669</v>
      </c>
      <c r="DN73" s="13">
        <f t="array" ref="DN73">INDEX(DM:DM,MIN(IF(ISNUMBER(DM73:DM269),ROW(DM73:DM269),"")))</f>
        <v>4.8717948717948669</v>
      </c>
      <c r="DO73" s="13">
        <f>IF('Données projet'!$A$166&gt;35,DO72+DN73-DW72,IF(A73&lt;'Données projet'!$A$166,$DL$205^A73,IF(A73='Données projet'!$A$166,'Données projet'!$B$166,DO72+DN73-DW72)))</f>
        <v>258.33333333333314</v>
      </c>
      <c r="DP73" s="18">
        <f>DO73*VLOOKUP('Données projet'!$B$14,Paramètres!$A$1:$I$89,3,0)*VLOOKUP('Données projet'!$B$14,Paramètres!$A$1:$I$89,5,0)</f>
        <v>270.00999999999982</v>
      </c>
      <c r="DQ73" s="14">
        <f t="shared" si="97"/>
        <v>64.851391535647195</v>
      </c>
      <c r="DR73" s="22">
        <f t="shared" si="70"/>
        <v>583.21692359125188</v>
      </c>
      <c r="DS73" s="62">
        <f t="shared" si="71"/>
        <v>876.55025692458526</v>
      </c>
      <c r="DT73" s="62">
        <f ca="1">AVERAGE(OFFSET($DS$3,0,0,'Données projet'!$E$14+1,1))-AVERAGE(OFFSET($H$3,0,0,'Données projet'!$E$14+1,1))</f>
        <v>493.70175665335978</v>
      </c>
      <c r="DU73" s="62">
        <f t="shared" si="98"/>
        <v>325.12357781685949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23.076923076923077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157</v>
      </c>
      <c r="EH73" s="13">
        <f>VLOOKUP(A73,'Données projet'!$A$191:$I$211,9,0)</f>
        <v>2.2000000000000002</v>
      </c>
      <c r="EI73" s="13">
        <f t="array" ref="EI73">INDEX(EH:EH,MIN(IF(ISNUMBER(EH73:EH269),ROW(EH73:EH269),"")))</f>
        <v>2.2000000000000002</v>
      </c>
      <c r="EJ73" s="13">
        <f>IF('Données projet'!$A$192&gt;35,EJ72+EI73-ER72,IF(A73&lt;'Données projet'!$A$192,$EG$205^A73,IF(A73='Données projet'!$A$192,'Données projet'!$B$192,EJ72+EI73-ER72)))</f>
        <v>156.99999999999983</v>
      </c>
      <c r="EK73" s="18">
        <f>EJ73*VLOOKUP('Données projet'!$B$15,Paramètres!$A$1:$I$89,3,0)*VLOOKUP('Données projet'!$B$15,Paramètres!$A$1:$I$89,5,0)</f>
        <v>137.15519999999987</v>
      </c>
      <c r="EL73" s="14">
        <f t="shared" si="99"/>
        <v>35.644525151069693</v>
      </c>
      <c r="EM73" s="22">
        <f t="shared" si="73"/>
        <v>300.95952130477946</v>
      </c>
      <c r="EN73" s="62">
        <f t="shared" si="74"/>
        <v>594.29285463811277</v>
      </c>
      <c r="EO73" s="62">
        <f ca="1">AVERAGE(OFFSET($EN$3,0,0,'Données projet'!$E$15+1,1))-AVERAGE(OFFSET($H$3,0,0,'Données projet'!$E$15+1,1))</f>
        <v>202.86354781280403</v>
      </c>
      <c r="EP73" s="62">
        <f t="shared" si="100"/>
        <v>217.25323885665131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13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194.23076923076923</v>
      </c>
      <c r="FC73" s="13">
        <f>VLOOKUP(A73,'Données projet'!$A$217:$I$237,9,0)</f>
        <v>4.3589743589743595</v>
      </c>
      <c r="FD73" s="13">
        <f t="array" ref="FD73">INDEX(FC:FC,MIN(IF(ISNUMBER(FC73:FC269),ROW(FC73:FC269),"")))</f>
        <v>4.3589743589743595</v>
      </c>
      <c r="FE73" s="13">
        <f>IF('Données projet'!$A$218&gt;35,FE72+FD73-FM72,IF(A73&lt;'Données projet'!$A$218,$FB$205^A73,IF(A73='Données projet'!$A$218,'Données projet'!$B$218,FE72+FD73-FM72)))</f>
        <v>194.23076923076914</v>
      </c>
      <c r="FF73" s="18">
        <f>FE73*VLOOKUP('Données projet'!$B$16,Paramètres!$A$1:$I$89,3,0)*VLOOKUP('Données projet'!$B$16,Paramètres!$A$1:$I$89,5,0)</f>
        <v>184.8299999999999</v>
      </c>
      <c r="FG73" s="14">
        <f t="shared" si="101"/>
        <v>46.395110521715885</v>
      </c>
      <c r="FH73" s="22">
        <f t="shared" si="76"/>
        <v>402.7170674919883</v>
      </c>
      <c r="FI73" s="62">
        <f t="shared" si="77"/>
        <v>696.05040082532162</v>
      </c>
      <c r="FJ73" s="62">
        <f ca="1">AVERAGE(OFFSET($FI$3,0,0,'Données projet'!$E$16+1,1))-AVERAGE(OFFSET($H$3,0,0,'Données projet'!$E$16+1,1))</f>
        <v>353.61481736740694</v>
      </c>
      <c r="FK73" s="62">
        <f t="shared" si="102"/>
        <v>244.7141066773861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132</v>
      </c>
      <c r="FX73" s="13">
        <f>VLOOKUP(A73,'Données projet'!$A$243:$I$263,9,0)</f>
        <v>3.6</v>
      </c>
      <c r="FY73" s="13">
        <f t="array" ref="FY73">INDEX(FX:FX,MIN(IF(ISNUMBER(FX73:FX269),ROW(FX73:FX269),"")))</f>
        <v>3.6</v>
      </c>
      <c r="FZ73" s="13">
        <f>IF('Données projet'!$A$244&gt;35,FZ72+FY73-GH72,IF(A73&lt;'Données projet'!$A$244,$FW$205^A73,IF(A73='Données projet'!$A$244,'Données projet'!$B$244,FZ72+FY73-GH72)))</f>
        <v>131.99999999999994</v>
      </c>
      <c r="GA73" s="18">
        <f>FZ73*VLOOKUP('Données projet'!$B$17,Paramètres!$A$1:$I$89,3,0)*VLOOKUP('Données projet'!$B$17,Paramètres!$A$1:$I$89,5,0)</f>
        <v>142.08479999999994</v>
      </c>
      <c r="GB73" s="14">
        <f t="shared" si="103"/>
        <v>36.77419224965486</v>
      </c>
      <c r="GC73" s="22">
        <f t="shared" si="79"/>
        <v>311.51274483481546</v>
      </c>
      <c r="GD73" s="62">
        <f t="shared" si="80"/>
        <v>604.84607816814878</v>
      </c>
      <c r="GE73" s="62">
        <f ca="1">AVERAGE(OFFSET($GD$3,0,0,'Données projet'!$E$17+1,1))-AVERAGE(OFFSET($H$3,0,0,'Données projet'!$E$17+1,1))</f>
        <v>280.20599015000306</v>
      </c>
      <c r="GF73" s="62">
        <f t="shared" si="104"/>
        <v>166.97658184507787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232.05128205128204</v>
      </c>
      <c r="GS73" s="13">
        <f>VLOOKUP(A73,'Données projet'!$A$269:$I$289,9,0)</f>
        <v>4.6153846153846185</v>
      </c>
      <c r="GT73" s="13">
        <f t="array" ref="GT73">INDEX(GS:GS,MIN(IF(ISNUMBER(GS73:GS269),ROW(GS73:GS269),"")))</f>
        <v>4.6153846153846185</v>
      </c>
      <c r="GU73" s="13">
        <f>IF('Données projet'!$A$270&gt;35,GU72+GT73-HC72,IF(A73&lt;'Données projet'!$A$270,$GR$205^A73,IF(A73='Données projet'!$A$270,'Données projet'!$B$270,GU72+GT73-HC72)))</f>
        <v>232.05128205128193</v>
      </c>
      <c r="GV73" s="18">
        <f>GU73*VLOOKUP('Données projet'!$B$18,Paramètres!$A$1:$I$89,3,0)*VLOOKUP('Données projet'!$B$18,Paramètres!$A$1:$I$89,5,0)</f>
        <v>155.65999999999991</v>
      </c>
      <c r="GW73" s="14">
        <f t="shared" si="105"/>
        <v>39.862055101936797</v>
      </c>
      <c r="GX73" s="22">
        <f t="shared" si="82"/>
        <v>340.53424596920644</v>
      </c>
      <c r="GY73" s="62">
        <f t="shared" si="83"/>
        <v>633.86757930253975</v>
      </c>
      <c r="GZ73" s="62">
        <f ca="1">AVERAGE(OFFSET($GY$3,0,0,'Données projet'!$E$18+1,1))-AVERAGE(OFFSET($H$3,0,0,'Données projet'!$E$18+1,1))</f>
        <v>291.18686311753402</v>
      </c>
      <c r="HA73" s="62">
        <f t="shared" si="106"/>
        <v>215.44422413249839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9">
        <f t="shared" si="56"/>
        <v>256.66666666666669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260.02504691866199</v>
      </c>
      <c r="T74" s="62">
        <f t="shared" si="88"/>
        <v>270.11268336406368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4.4435018628011997</v>
      </c>
      <c r="AA74" s="23">
        <f>EXP(-LN(2)/25)*AA73+(1-EXP(-LN(2)/25))/(LN(2)/25)*Calculateur!V74*Calculateur!X74*VLOOKUP('Données projet'!$B$9,Paramètres!$A$1:$I$89,3,0)*0.475*44/12</f>
        <v>5.273609027304988</v>
      </c>
      <c r="AB74" s="23">
        <f>EXP(-LN(2)/2)*AB73+(1-EXP(-LN(2)/2))/(LN(2)/2)*V74*Y74*VLOOKUP('Données projet'!$B$9,Paramètres!$A$1:$I$89,3,0)*0.475*44/12</f>
        <v>4.2753499768453867E-6</v>
      </c>
      <c r="AC74" s="24">
        <f t="shared" si="57"/>
        <v>9.717115165456164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2">
        <f t="shared" si="59"/>
        <v>792.74895496845193</v>
      </c>
      <c r="AN74" s="62">
        <f ca="1">AVERAGE(OFFSET($AM$3,0,0,'Données projet'!$E$10+1,1))-AVERAGE(OFFSET($H$3,0,0,'Données projet'!$E$10+1,1))</f>
        <v>475.47920969424894</v>
      </c>
      <c r="AO74" s="62">
        <f t="shared" si="90"/>
        <v>271.73544012419364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205.57055999999994</v>
      </c>
      <c r="BF74" s="14">
        <f t="shared" si="91"/>
        <v>50.966443946767392</v>
      </c>
      <c r="BG74" s="22">
        <f t="shared" si="61"/>
        <v>446.80194854061978</v>
      </c>
      <c r="BH74" s="62">
        <f t="shared" si="62"/>
        <v>740.13528187395309</v>
      </c>
      <c r="BI74" s="62">
        <f ca="1">AVERAGE(OFFSET($BH$3,0,0,'Données projet'!$E$11+1,1))-AVERAGE(OFFSET($H$3,0,0,'Données projet'!$E$11+1,1))</f>
        <v>428.8489304403459</v>
      </c>
      <c r="BJ74" s="62">
        <f t="shared" si="92"/>
        <v>247.01165577562966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3.6</v>
      </c>
      <c r="BY74" s="13">
        <f>IF('Données projet'!$A$114&gt;35,BY73+BX74-CG73,IF(A74&lt;'Données projet'!$A$114,$BV$205^A74,IF(A74='Données projet'!$A$114,'Données projet'!$B$114,BY73+BX74-CG73)))</f>
        <v>181.59999999999991</v>
      </c>
      <c r="BZ74" s="14">
        <f>BY74*VLOOKUP('Données projet'!$B$12,Paramètres!$A$1:$I$89,3,0)*VLOOKUP('Données projet'!$B$12,Paramètres!$A$1:$I$89,5,0)</f>
        <v>147.31391999999994</v>
      </c>
      <c r="CA74" s="14">
        <f t="shared" si="93"/>
        <v>37.967523841665994</v>
      </c>
      <c r="CB74" s="22">
        <f t="shared" si="64"/>
        <v>322.6985146909015</v>
      </c>
      <c r="CC74" s="62">
        <f t="shared" si="65"/>
        <v>616.03184802423482</v>
      </c>
      <c r="CD74" s="62">
        <f ca="1">AVERAGE(OFFSET($CC$3,0,0,'Données projet'!$E$12+1,1))-AVERAGE(OFFSET($H$3,0,0,'Données projet'!$E$12+1,1))</f>
        <v>236.22643401787644</v>
      </c>
      <c r="CE74" s="62">
        <f t="shared" si="94"/>
        <v>188.80444043778022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9.8224358974358967</v>
      </c>
      <c r="CT74" s="13">
        <f>IF('Données projet'!$A$140&gt;35,CT73+CS74-DB73,IF(A74&lt;'Données projet'!$A$140,$CQ$205^A74,IF(A74='Données projet'!$A$140,'Données projet'!$B$140,CT73+CS74-DB73)))</f>
        <v>321.18717948717966</v>
      </c>
      <c r="CU74" s="18">
        <f>CT74*VLOOKUP('Données projet'!$B$13,Paramètres!$A$1:$I$89,3,0)*VLOOKUP('Données projet'!$B$13,Paramètres!$A$1:$I$89,5,0)</f>
        <v>150.31560000000007</v>
      </c>
      <c r="CV74" s="14">
        <f t="shared" si="95"/>
        <v>38.650298077744381</v>
      </c>
      <c r="CW74" s="22">
        <f t="shared" si="67"/>
        <v>329.11560581873823</v>
      </c>
      <c r="CX74" s="62">
        <f t="shared" si="68"/>
        <v>622.44893915207149</v>
      </c>
      <c r="CY74" s="62">
        <f ca="1">AVERAGE(OFFSET($CX$3,0,0,'Données projet'!$E$13+1,1))-AVERAGE(OFFSET($H$3,0,0,'Données projet'!$E$13+1,1))</f>
        <v>246.73711856758143</v>
      </c>
      <c r="CZ74" s="62">
        <f t="shared" si="96"/>
        <v>145.54897745089966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4.4871794871794863</v>
      </c>
      <c r="DO74" s="13">
        <f>IF('Données projet'!$A$166&gt;35,DO73+DN74-DW73,IF(A74&lt;'Données projet'!$A$166,$DL$205^A74,IF(A74='Données projet'!$A$166,'Données projet'!$B$166,DO73+DN74-DW73)))</f>
        <v>239.74358974358958</v>
      </c>
      <c r="DP74" s="18">
        <f>DO74*VLOOKUP('Données projet'!$B$14,Paramètres!$A$1:$I$89,3,0)*VLOOKUP('Données projet'!$B$14,Paramètres!$A$1:$I$89,5,0)</f>
        <v>250.57999999999984</v>
      </c>
      <c r="DQ74" s="14">
        <f t="shared" si="97"/>
        <v>60.710122367679979</v>
      </c>
      <c r="DR74" s="22">
        <f t="shared" si="70"/>
        <v>542.16362979037569</v>
      </c>
      <c r="DS74" s="62">
        <f t="shared" si="71"/>
        <v>835.49696312370907</v>
      </c>
      <c r="DT74" s="62">
        <f ca="1">AVERAGE(OFFSET($DS$3,0,0,'Données projet'!$E$14+1,1))-AVERAGE(OFFSET($H$3,0,0,'Données projet'!$E$14+1,1))</f>
        <v>493.70175665335978</v>
      </c>
      <c r="DU74" s="62">
        <f t="shared" si="98"/>
        <v>325.12357781685949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2.2000000000000002</v>
      </c>
      <c r="EJ74" s="13">
        <f>IF('Données projet'!$A$192&gt;35,EJ73+EI74-ER73,IF(A74&lt;'Données projet'!$A$192,$EG$205^A74,IF(A74='Données projet'!$A$192,'Données projet'!$B$192,EJ73+EI74-ER73)))</f>
        <v>146.19999999999982</v>
      </c>
      <c r="EK74" s="18">
        <f>EJ74*VLOOKUP('Données projet'!$B$15,Paramètres!$A$1:$I$89,3,0)*VLOOKUP('Données projet'!$B$15,Paramètres!$A$1:$I$89,5,0)</f>
        <v>127.72031999999984</v>
      </c>
      <c r="EL74" s="14">
        <f t="shared" si="99"/>
        <v>33.469051060164404</v>
      </c>
      <c r="EM74" s="22">
        <f t="shared" si="73"/>
        <v>280.73815459645272</v>
      </c>
      <c r="EN74" s="62">
        <f t="shared" si="74"/>
        <v>574.07148792978603</v>
      </c>
      <c r="EO74" s="62">
        <f ca="1">AVERAGE(OFFSET($EN$3,0,0,'Données projet'!$E$15+1,1))-AVERAGE(OFFSET($H$3,0,0,'Données projet'!$E$15+1,1))</f>
        <v>202.86354781280403</v>
      </c>
      <c r="EP74" s="62">
        <f t="shared" si="100"/>
        <v>217.25323885665131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3.9743589743589722</v>
      </c>
      <c r="FE74" s="13">
        <f>IF('Données projet'!$A$218&gt;35,FE73+FD74-FM73,IF(A74&lt;'Données projet'!$A$218,$FB$205^A74,IF(A74='Données projet'!$A$218,'Données projet'!$B$218,FE73+FD74-FM73)))</f>
        <v>198.20512820512812</v>
      </c>
      <c r="FF74" s="18">
        <f>FE74*VLOOKUP('Données projet'!$B$16,Paramètres!$A$1:$I$89,3,0)*VLOOKUP('Données projet'!$B$16,Paramètres!$A$1:$I$89,5,0)</f>
        <v>188.61199999999991</v>
      </c>
      <c r="FG74" s="14">
        <f t="shared" si="101"/>
        <v>47.232954932734806</v>
      </c>
      <c r="FH74" s="22">
        <f t="shared" si="76"/>
        <v>410.76329650784623</v>
      </c>
      <c r="FI74" s="62">
        <f t="shared" si="77"/>
        <v>704.09662984117949</v>
      </c>
      <c r="FJ74" s="62">
        <f ca="1">AVERAGE(OFFSET($FI$3,0,0,'Données projet'!$E$16+1,1))-AVERAGE(OFFSET($H$3,0,0,'Données projet'!$E$16+1,1))</f>
        <v>353.61481736740694</v>
      </c>
      <c r="FK74" s="62">
        <f t="shared" si="102"/>
        <v>244.7141066773861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3.4</v>
      </c>
      <c r="FZ74" s="13">
        <f>IF('Données projet'!$A$244&gt;35,FZ73+FY74-GH73,IF(A74&lt;'Données projet'!$A$244,$FW$205^A74,IF(A74='Données projet'!$A$244,'Données projet'!$B$244,FZ73+FY74-GH73)))</f>
        <v>135.39999999999995</v>
      </c>
      <c r="GA74" s="18">
        <f>FZ74*VLOOKUP('Données projet'!$B$17,Paramètres!$A$1:$I$89,3,0)*VLOOKUP('Données projet'!$B$17,Paramètres!$A$1:$I$89,5,0)</f>
        <v>145.74455999999995</v>
      </c>
      <c r="GB74" s="14">
        <f t="shared" si="103"/>
        <v>37.609907766324859</v>
      </c>
      <c r="GC74" s="22">
        <f t="shared" si="79"/>
        <v>319.34236469301567</v>
      </c>
      <c r="GD74" s="62">
        <f t="shared" si="80"/>
        <v>612.67569802634898</v>
      </c>
      <c r="GE74" s="62">
        <f ca="1">AVERAGE(OFFSET($GD$3,0,0,'Données projet'!$E$17+1,1))-AVERAGE(OFFSET($H$3,0,0,'Données projet'!$E$17+1,1))</f>
        <v>280.20599015000306</v>
      </c>
      <c r="GF74" s="62">
        <f t="shared" si="104"/>
        <v>166.97658184507787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4.2307692307692317</v>
      </c>
      <c r="GU74" s="13">
        <f>IF('Données projet'!$A$270&gt;35,GU73+GT74-HC73,IF(A74&lt;'Données projet'!$A$270,$GR$205^A74,IF(A74='Données projet'!$A$270,'Données projet'!$B$270,GU73+GT74-HC73)))</f>
        <v>236.28205128205116</v>
      </c>
      <c r="GV74" s="18">
        <f>GU74*VLOOKUP('Données projet'!$B$18,Paramètres!$A$1:$I$89,3,0)*VLOOKUP('Données projet'!$B$18,Paramètres!$A$1:$I$89,5,0)</f>
        <v>158.49799999999993</v>
      </c>
      <c r="GW74" s="14">
        <f t="shared" si="105"/>
        <v>40.503549370816764</v>
      </c>
      <c r="GX74" s="22">
        <f t="shared" si="82"/>
        <v>346.59436515417241</v>
      </c>
      <c r="GY74" s="62">
        <f t="shared" si="83"/>
        <v>639.92769848750572</v>
      </c>
      <c r="GZ74" s="62">
        <f ca="1">AVERAGE(OFFSET($GY$3,0,0,'Données projet'!$E$18+1,1))-AVERAGE(OFFSET($H$3,0,0,'Données projet'!$E$18+1,1))</f>
        <v>291.18686311753402</v>
      </c>
      <c r="HA74" s="62">
        <f t="shared" si="106"/>
        <v>215.44422413249839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9">
        <f t="shared" si="56"/>
        <v>256.66666666666669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260.02504691866199</v>
      </c>
      <c r="T75" s="62">
        <f t="shared" si="88"/>
        <v>270.11268336406368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4.3563675015401877</v>
      </c>
      <c r="AA75" s="23">
        <f>EXP(-LN(2)/25)*AA74+(1-EXP(-LN(2)/25))/(LN(2)/25)*Calculateur!V75*Calculateur!X75*VLOOKUP('Données projet'!$B$9,Paramètres!$A$1:$I$89,3,0)*0.475*44/12</f>
        <v>5.129401911126287</v>
      </c>
      <c r="AB75" s="23">
        <f>EXP(-LN(2)/2)*AB74+(1-EXP(-LN(2)/2))/(LN(2)/2)*V75*Y75*VLOOKUP('Données projet'!$B$9,Paramètres!$A$1:$I$89,3,0)*0.475*44/12</f>
        <v>3.0231289605731219E-6</v>
      </c>
      <c r="AC75" s="24">
        <f t="shared" si="57"/>
        <v>9.4857724357954361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2">
        <f t="shared" si="59"/>
        <v>806.06182740569329</v>
      </c>
      <c r="AN75" s="62">
        <f ca="1">AVERAGE(OFFSET($AM$3,0,0,'Données projet'!$E$10+1,1))-AVERAGE(OFFSET($H$3,0,0,'Données projet'!$E$10+1,1))</f>
        <v>475.47920969424894</v>
      </c>
      <c r="AO75" s="62">
        <f t="shared" si="90"/>
        <v>271.73544012419364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211.18031999999994</v>
      </c>
      <c r="BF75" s="14">
        <f t="shared" si="91"/>
        <v>52.193431117443019</v>
      </c>
      <c r="BG75" s="22">
        <f t="shared" si="61"/>
        <v>458.70928319621316</v>
      </c>
      <c r="BH75" s="62">
        <f t="shared" si="62"/>
        <v>752.04261652954642</v>
      </c>
      <c r="BI75" s="62">
        <f ca="1">AVERAGE(OFFSET($BH$3,0,0,'Données projet'!$E$11+1,1))-AVERAGE(OFFSET($H$3,0,0,'Données projet'!$E$11+1,1))</f>
        <v>428.8489304403459</v>
      </c>
      <c r="BJ75" s="62">
        <f t="shared" si="92"/>
        <v>247.01165577562966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3.6</v>
      </c>
      <c r="BY75" s="13">
        <f>IF('Données projet'!$A$114&gt;35,BY74+BX75-CG74,IF(A75&lt;'Données projet'!$A$114,$BV$205^A75,IF(A75='Données projet'!$A$114,'Données projet'!$B$114,BY74+BX75-CG74)))</f>
        <v>185.1999999999999</v>
      </c>
      <c r="BZ75" s="14">
        <f>BY75*VLOOKUP('Données projet'!$B$12,Paramètres!$A$1:$I$89,3,0)*VLOOKUP('Données projet'!$B$12,Paramètres!$A$1:$I$89,5,0)</f>
        <v>150.23423999999994</v>
      </c>
      <c r="CA75" s="14">
        <f t="shared" si="93"/>
        <v>38.631812666215332</v>
      </c>
      <c r="CB75" s="22">
        <f t="shared" si="64"/>
        <v>328.94170839365825</v>
      </c>
      <c r="CC75" s="62">
        <f t="shared" si="65"/>
        <v>622.2750417269915</v>
      </c>
      <c r="CD75" s="62">
        <f ca="1">AVERAGE(OFFSET($CC$3,0,0,'Données projet'!$E$12+1,1))-AVERAGE(OFFSET($H$3,0,0,'Données projet'!$E$12+1,1))</f>
        <v>236.22643401787644</v>
      </c>
      <c r="CE75" s="62">
        <f t="shared" si="94"/>
        <v>188.80444043778022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9.8224358974358967</v>
      </c>
      <c r="CT75" s="13">
        <f>IF('Données projet'!$A$140&gt;35,CT74+CS75-DB74,IF(A75&lt;'Données projet'!$A$140,$CQ$205^A75,IF(A75='Données projet'!$A$140,'Données projet'!$B$140,CT74+CS75-DB74)))</f>
        <v>331.00961538461559</v>
      </c>
      <c r="CU75" s="18">
        <f>CT75*VLOOKUP('Données projet'!$B$13,Paramètres!$A$1:$I$89,3,0)*VLOOKUP('Données projet'!$B$13,Paramètres!$A$1:$I$89,5,0)</f>
        <v>154.91250000000008</v>
      </c>
      <c r="CV75" s="14">
        <f t="shared" si="95"/>
        <v>39.692866484273061</v>
      </c>
      <c r="CW75" s="22">
        <f t="shared" si="67"/>
        <v>338.93767996010905</v>
      </c>
      <c r="CX75" s="62">
        <f t="shared" si="68"/>
        <v>632.27101329344237</v>
      </c>
      <c r="CY75" s="62">
        <f ca="1">AVERAGE(OFFSET($CX$3,0,0,'Données projet'!$E$13+1,1))-AVERAGE(OFFSET($H$3,0,0,'Données projet'!$E$13+1,1))</f>
        <v>246.73711856758143</v>
      </c>
      <c r="CZ75" s="62">
        <f t="shared" si="96"/>
        <v>145.54897745089966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4.4871794871794863</v>
      </c>
      <c r="DO75" s="13">
        <f>IF('Données projet'!$A$166&gt;35,DO74+DN75-DW74,IF(A75&lt;'Données projet'!$A$166,$DL$205^A75,IF(A75='Données projet'!$A$166,'Données projet'!$B$166,DO74+DN75-DW74)))</f>
        <v>244.23076923076906</v>
      </c>
      <c r="DP75" s="18">
        <f>DO75*VLOOKUP('Données projet'!$B$14,Paramètres!$A$1:$I$89,3,0)*VLOOKUP('Données projet'!$B$14,Paramètres!$A$1:$I$89,5,0)</f>
        <v>255.26999999999984</v>
      </c>
      <c r="DQ75" s="14">
        <f t="shared" si="97"/>
        <v>61.713058280444663</v>
      </c>
      <c r="DR75" s="22">
        <f t="shared" si="70"/>
        <v>552.07882650510749</v>
      </c>
      <c r="DS75" s="62">
        <f t="shared" si="71"/>
        <v>845.41215983844086</v>
      </c>
      <c r="DT75" s="62">
        <f ca="1">AVERAGE(OFFSET($DS$3,0,0,'Données projet'!$E$14+1,1))-AVERAGE(OFFSET($H$3,0,0,'Données projet'!$E$14+1,1))</f>
        <v>493.70175665335978</v>
      </c>
      <c r="DU75" s="62">
        <f t="shared" si="98"/>
        <v>325.12357781685949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2.2000000000000002</v>
      </c>
      <c r="EJ75" s="13">
        <f>IF('Données projet'!$A$192&gt;35,EJ74+EI75-ER74,IF(A75&lt;'Données projet'!$A$192,$EG$205^A75,IF(A75='Données projet'!$A$192,'Données projet'!$B$192,EJ74+EI75-ER74)))</f>
        <v>148.39999999999981</v>
      </c>
      <c r="EK75" s="18">
        <f>EJ75*VLOOKUP('Données projet'!$B$15,Paramètres!$A$1:$I$89,3,0)*VLOOKUP('Données projet'!$B$15,Paramètres!$A$1:$I$89,5,0)</f>
        <v>129.64223999999984</v>
      </c>
      <c r="EL75" s="14">
        <f t="shared" si="99"/>
        <v>33.913678246253156</v>
      </c>
      <c r="EM75" s="22">
        <f t="shared" si="73"/>
        <v>284.85989094555725</v>
      </c>
      <c r="EN75" s="62">
        <f t="shared" si="74"/>
        <v>578.19322427889051</v>
      </c>
      <c r="EO75" s="62">
        <f ca="1">AVERAGE(OFFSET($EN$3,0,0,'Données projet'!$E$15+1,1))-AVERAGE(OFFSET($H$3,0,0,'Données projet'!$E$15+1,1))</f>
        <v>202.86354781280403</v>
      </c>
      <c r="EP75" s="62">
        <f t="shared" si="100"/>
        <v>217.25323885665131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3.9743589743589722</v>
      </c>
      <c r="FE75" s="13">
        <f>IF('Données projet'!$A$218&gt;35,FE74+FD75-FM74,IF(A75&lt;'Données projet'!$A$218,$FB$205^A75,IF(A75='Données projet'!$A$218,'Données projet'!$B$218,FE74+FD75-FM74)))</f>
        <v>202.1794871794871</v>
      </c>
      <c r="FF75" s="18">
        <f>FE75*VLOOKUP('Données projet'!$B$16,Paramètres!$A$1:$I$89,3,0)*VLOOKUP('Données projet'!$B$16,Paramètres!$A$1:$I$89,5,0)</f>
        <v>192.39399999999992</v>
      </c>
      <c r="FG75" s="14">
        <f t="shared" si="101"/>
        <v>48.06884593738954</v>
      </c>
      <c r="FH75" s="22">
        <f t="shared" si="76"/>
        <v>418.80612334095326</v>
      </c>
      <c r="FI75" s="62">
        <f t="shared" si="77"/>
        <v>712.13945667428652</v>
      </c>
      <c r="FJ75" s="62">
        <f ca="1">AVERAGE(OFFSET($FI$3,0,0,'Données projet'!$E$16+1,1))-AVERAGE(OFFSET($H$3,0,0,'Données projet'!$E$16+1,1))</f>
        <v>353.61481736740694</v>
      </c>
      <c r="FK75" s="62">
        <f t="shared" si="102"/>
        <v>244.7141066773861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3.4</v>
      </c>
      <c r="FZ75" s="13">
        <f>IF('Données projet'!$A$244&gt;35,FZ74+FY75-GH74,IF(A75&lt;'Données projet'!$A$244,$FW$205^A75,IF(A75='Données projet'!$A$244,'Données projet'!$B$244,FZ74+FY75-GH74)))</f>
        <v>138.79999999999995</v>
      </c>
      <c r="GA75" s="18">
        <f>FZ75*VLOOKUP('Données projet'!$B$17,Paramètres!$A$1:$I$89,3,0)*VLOOKUP('Données projet'!$B$17,Paramètres!$A$1:$I$89,5,0)</f>
        <v>149.40431999999996</v>
      </c>
      <c r="GB75" s="14">
        <f t="shared" si="103"/>
        <v>38.443183869672019</v>
      </c>
      <c r="GC75" s="22">
        <f t="shared" si="79"/>
        <v>327.16773590634534</v>
      </c>
      <c r="GD75" s="62">
        <f t="shared" si="80"/>
        <v>620.5010692396786</v>
      </c>
      <c r="GE75" s="62">
        <f ca="1">AVERAGE(OFFSET($GD$3,0,0,'Données projet'!$E$17+1,1))-AVERAGE(OFFSET($H$3,0,0,'Données projet'!$E$17+1,1))</f>
        <v>280.20599015000306</v>
      </c>
      <c r="GF75" s="62">
        <f t="shared" si="104"/>
        <v>166.97658184507787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4.2307692307692317</v>
      </c>
      <c r="GU75" s="13">
        <f>IF('Données projet'!$A$270&gt;35,GU74+GT75-HC74,IF(A75&lt;'Données projet'!$A$270,$GR$205^A75,IF(A75='Données projet'!$A$270,'Données projet'!$B$270,GU74+GT75-HC74)))</f>
        <v>240.51282051282038</v>
      </c>
      <c r="GV75" s="18">
        <f>GU75*VLOOKUP('Données projet'!$B$18,Paramètres!$A$1:$I$89,3,0)*VLOOKUP('Données projet'!$B$18,Paramètres!$A$1:$I$89,5,0)</f>
        <v>161.33599999999993</v>
      </c>
      <c r="GW75" s="14">
        <f t="shared" si="105"/>
        <v>41.143707947471945</v>
      </c>
      <c r="GX75" s="22">
        <f t="shared" si="82"/>
        <v>352.65215800851342</v>
      </c>
      <c r="GY75" s="62">
        <f t="shared" si="83"/>
        <v>645.98549134184668</v>
      </c>
      <c r="GZ75" s="62">
        <f ca="1">AVERAGE(OFFSET($GY$3,0,0,'Données projet'!$E$18+1,1))-AVERAGE(OFFSET($H$3,0,0,'Données projet'!$E$18+1,1))</f>
        <v>291.18686311753402</v>
      </c>
      <c r="HA75" s="62">
        <f t="shared" si="106"/>
        <v>215.44422413249839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9">
        <f t="shared" si="56"/>
        <v>256.66666666666669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260.02504691866199</v>
      </c>
      <c r="T76" s="62">
        <f t="shared" si="88"/>
        <v>270.11268336406368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4.2709417919567914</v>
      </c>
      <c r="AA76" s="23">
        <f>EXP(-LN(2)/25)*AA75+(1-EXP(-LN(2)/25))/(LN(2)/25)*Calculateur!V76*Calculateur!X76*VLOOKUP('Données projet'!$B$9,Paramètres!$A$1:$I$89,3,0)*0.475*44/12</f>
        <v>4.9891381461230155</v>
      </c>
      <c r="AB76" s="23">
        <f>EXP(-LN(2)/2)*AB75+(1-EXP(-LN(2)/2))/(LN(2)/2)*V76*Y76*VLOOKUP('Données projet'!$B$9,Paramètres!$A$1:$I$89,3,0)*0.475*44/12</f>
        <v>2.1376749884226934E-6</v>
      </c>
      <c r="AC76" s="24">
        <f t="shared" si="57"/>
        <v>9.260082075754795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2">
        <f t="shared" si="59"/>
        <v>819.36740263248726</v>
      </c>
      <c r="AN76" s="62">
        <f ca="1">AVERAGE(OFFSET($AM$3,0,0,'Données projet'!$E$10+1,1))-AVERAGE(OFFSET($H$3,0,0,'Données projet'!$E$10+1,1))</f>
        <v>475.47920969424894</v>
      </c>
      <c r="AO76" s="62">
        <f t="shared" si="90"/>
        <v>271.73544012419364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216.7900799999999</v>
      </c>
      <c r="BF76" s="14">
        <f t="shared" si="91"/>
        <v>53.416629794462551</v>
      </c>
      <c r="BG76" s="22">
        <f t="shared" si="61"/>
        <v>470.61001955868869</v>
      </c>
      <c r="BH76" s="62">
        <f t="shared" si="62"/>
        <v>763.94335289202195</v>
      </c>
      <c r="BI76" s="62">
        <f ca="1">AVERAGE(OFFSET($BH$3,0,0,'Données projet'!$E$11+1,1))-AVERAGE(OFFSET($H$3,0,0,'Données projet'!$E$11+1,1))</f>
        <v>428.8489304403459</v>
      </c>
      <c r="BJ76" s="62">
        <f t="shared" si="92"/>
        <v>247.01165577562966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3.6</v>
      </c>
      <c r="BY76" s="13">
        <f>IF('Données projet'!$A$114&gt;35,BY75+BX76-CG75,IF(A76&lt;'Données projet'!$A$114,$BV$205^A76,IF(A76='Données projet'!$A$114,'Données projet'!$B$114,BY75+BX76-CG75)))</f>
        <v>188.7999999999999</v>
      </c>
      <c r="BZ76" s="14">
        <f>BY76*VLOOKUP('Données projet'!$B$12,Paramètres!$A$1:$I$89,3,0)*VLOOKUP('Données projet'!$B$12,Paramètres!$A$1:$I$89,5,0)</f>
        <v>153.15455999999992</v>
      </c>
      <c r="CA76" s="14">
        <f t="shared" si="93"/>
        <v>39.29460004681124</v>
      </c>
      <c r="CB76" s="22">
        <f t="shared" si="64"/>
        <v>335.18228708152941</v>
      </c>
      <c r="CC76" s="62">
        <f t="shared" si="65"/>
        <v>628.51562041486272</v>
      </c>
      <c r="CD76" s="62">
        <f ca="1">AVERAGE(OFFSET($CC$3,0,0,'Données projet'!$E$12+1,1))-AVERAGE(OFFSET($H$3,0,0,'Données projet'!$E$12+1,1))</f>
        <v>236.22643401787644</v>
      </c>
      <c r="CE76" s="62">
        <f t="shared" si="94"/>
        <v>188.80444043778022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9.8224358974358967</v>
      </c>
      <c r="CT76" s="13">
        <f>IF('Données projet'!$A$140&gt;35,CT75+CS76-DB75,IF(A76&lt;'Données projet'!$A$140,$CQ$205^A76,IF(A76='Données projet'!$A$140,'Données projet'!$B$140,CT75+CS76-DB75)))</f>
        <v>340.83205128205151</v>
      </c>
      <c r="CU76" s="18">
        <f>CT76*VLOOKUP('Données projet'!$B$13,Paramètres!$A$1:$I$89,3,0)*VLOOKUP('Données projet'!$B$13,Paramètres!$A$1:$I$89,5,0)</f>
        <v>159.50940000000011</v>
      </c>
      <c r="CV76" s="14">
        <f t="shared" si="95"/>
        <v>40.7318394374633</v>
      </c>
      <c r="CW76" s="22">
        <f t="shared" si="67"/>
        <v>348.75349202024876</v>
      </c>
      <c r="CX76" s="62">
        <f t="shared" si="68"/>
        <v>642.08682535358207</v>
      </c>
      <c r="CY76" s="62">
        <f ca="1">AVERAGE(OFFSET($CX$3,0,0,'Données projet'!$E$13+1,1))-AVERAGE(OFFSET($H$3,0,0,'Données projet'!$E$13+1,1))</f>
        <v>246.73711856758143</v>
      </c>
      <c r="CZ76" s="62">
        <f t="shared" si="96"/>
        <v>145.54897745089966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4.4871794871794863</v>
      </c>
      <c r="DO76" s="13">
        <f>IF('Données projet'!$A$166&gt;35,DO75+DN76-DW75,IF(A76&lt;'Données projet'!$A$166,$DL$205^A76,IF(A76='Données projet'!$A$166,'Données projet'!$B$166,DO75+DN76-DW75)))</f>
        <v>248.71794871794853</v>
      </c>
      <c r="DP76" s="18">
        <f>DO76*VLOOKUP('Données projet'!$B$14,Paramètres!$A$1:$I$89,3,0)*VLOOKUP('Données projet'!$B$14,Paramètres!$A$1:$I$89,5,0)</f>
        <v>259.95999999999981</v>
      </c>
      <c r="DQ76" s="14">
        <f t="shared" si="97"/>
        <v>62.713851496250946</v>
      </c>
      <c r="DR76" s="22">
        <f t="shared" si="70"/>
        <v>561.99029135597004</v>
      </c>
      <c r="DS76" s="62">
        <f t="shared" si="71"/>
        <v>855.32362468930341</v>
      </c>
      <c r="DT76" s="62">
        <f ca="1">AVERAGE(OFFSET($DS$3,0,0,'Données projet'!$E$14+1,1))-AVERAGE(OFFSET($H$3,0,0,'Données projet'!$E$14+1,1))</f>
        <v>493.70175665335978</v>
      </c>
      <c r="DU76" s="62">
        <f t="shared" si="98"/>
        <v>325.12357781685949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2.2000000000000002</v>
      </c>
      <c r="EJ76" s="13">
        <f>IF('Données projet'!$A$192&gt;35,EJ75+EI76-ER75,IF(A76&lt;'Données projet'!$A$192,$EG$205^A76,IF(A76='Données projet'!$A$192,'Données projet'!$B$192,EJ75+EI76-ER75)))</f>
        <v>150.5999999999998</v>
      </c>
      <c r="EK76" s="18">
        <f>EJ76*VLOOKUP('Données projet'!$B$15,Paramètres!$A$1:$I$89,3,0)*VLOOKUP('Données projet'!$B$15,Paramètres!$A$1:$I$89,5,0)</f>
        <v>131.56415999999984</v>
      </c>
      <c r="EL76" s="14">
        <f t="shared" si="99"/>
        <v>34.357538812709031</v>
      </c>
      <c r="EM76" s="22">
        <f t="shared" si="73"/>
        <v>288.98029209880133</v>
      </c>
      <c r="EN76" s="62">
        <f t="shared" si="74"/>
        <v>582.31362543213459</v>
      </c>
      <c r="EO76" s="62">
        <f ca="1">AVERAGE(OFFSET($EN$3,0,0,'Données projet'!$E$15+1,1))-AVERAGE(OFFSET($H$3,0,0,'Données projet'!$E$15+1,1))</f>
        <v>202.86354781280403</v>
      </c>
      <c r="EP76" s="62">
        <f t="shared" si="100"/>
        <v>217.25323885665131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3.9743589743589722</v>
      </c>
      <c r="FE76" s="13">
        <f>IF('Données projet'!$A$218&gt;35,FE75+FD76-FM75,IF(A76&lt;'Données projet'!$A$218,$FB$205^A76,IF(A76='Données projet'!$A$218,'Données projet'!$B$218,FE75+FD76-FM75)))</f>
        <v>206.15384615384608</v>
      </c>
      <c r="FF76" s="18">
        <f>FE76*VLOOKUP('Données projet'!$B$16,Paramètres!$A$1:$I$89,3,0)*VLOOKUP('Données projet'!$B$16,Paramètres!$A$1:$I$89,5,0)</f>
        <v>196.17599999999993</v>
      </c>
      <c r="FG76" s="14">
        <f t="shared" si="101"/>
        <v>48.902826361146467</v>
      </c>
      <c r="FH76" s="22">
        <f t="shared" si="76"/>
        <v>426.84562257899665</v>
      </c>
      <c r="FI76" s="62">
        <f t="shared" si="77"/>
        <v>720.17895591232991</v>
      </c>
      <c r="FJ76" s="62">
        <f ca="1">AVERAGE(OFFSET($FI$3,0,0,'Données projet'!$E$16+1,1))-AVERAGE(OFFSET($H$3,0,0,'Données projet'!$E$16+1,1))</f>
        <v>353.61481736740694</v>
      </c>
      <c r="FK76" s="62">
        <f t="shared" si="102"/>
        <v>244.7141066773861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3.4</v>
      </c>
      <c r="FZ76" s="13">
        <f>IF('Données projet'!$A$244&gt;35,FZ75+FY76-GH75,IF(A76&lt;'Données projet'!$A$244,$FW$205^A76,IF(A76='Données projet'!$A$244,'Données projet'!$B$244,FZ75+FY76-GH75)))</f>
        <v>142.19999999999996</v>
      </c>
      <c r="GA76" s="18">
        <f>FZ76*VLOOKUP('Données projet'!$B$17,Paramètres!$A$1:$I$89,3,0)*VLOOKUP('Données projet'!$B$17,Paramètres!$A$1:$I$89,5,0)</f>
        <v>153.06407999999996</v>
      </c>
      <c r="GB76" s="14">
        <f t="shared" si="103"/>
        <v>39.27408718873059</v>
      </c>
      <c r="GC76" s="22">
        <f t="shared" si="79"/>
        <v>334.98897452037232</v>
      </c>
      <c r="GD76" s="62">
        <f t="shared" si="80"/>
        <v>628.32230785370564</v>
      </c>
      <c r="GE76" s="62">
        <f ca="1">AVERAGE(OFFSET($GD$3,0,0,'Données projet'!$E$17+1,1))-AVERAGE(OFFSET($H$3,0,0,'Données projet'!$E$17+1,1))</f>
        <v>280.20599015000306</v>
      </c>
      <c r="GF76" s="62">
        <f t="shared" si="104"/>
        <v>166.97658184507787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4.2307692307692317</v>
      </c>
      <c r="GU76" s="13">
        <f>IF('Données projet'!$A$270&gt;35,GU75+GT76-HC75,IF(A76&lt;'Données projet'!$A$270,$GR$205^A76,IF(A76='Données projet'!$A$270,'Données projet'!$B$270,GU75+GT76-HC75)))</f>
        <v>244.74358974358961</v>
      </c>
      <c r="GV76" s="18">
        <f>GU76*VLOOKUP('Données projet'!$B$18,Paramètres!$A$1:$I$89,3,0)*VLOOKUP('Données projet'!$B$18,Paramètres!$A$1:$I$89,5,0)</f>
        <v>164.17399999999989</v>
      </c>
      <c r="GW76" s="14">
        <f t="shared" si="105"/>
        <v>41.782557038337067</v>
      </c>
      <c r="GX76" s="22">
        <f t="shared" si="82"/>
        <v>358.7076701751036</v>
      </c>
      <c r="GY76" s="62">
        <f t="shared" si="83"/>
        <v>652.04100350843692</v>
      </c>
      <c r="GZ76" s="62">
        <f ca="1">AVERAGE(OFFSET($GY$3,0,0,'Données projet'!$E$18+1,1))-AVERAGE(OFFSET($H$3,0,0,'Données projet'!$E$18+1,1))</f>
        <v>291.18686311753402</v>
      </c>
      <c r="HA76" s="62">
        <f t="shared" si="106"/>
        <v>215.44422413249839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9">
        <f t="shared" si="56"/>
        <v>256.66666666666669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260.02504691866199</v>
      </c>
      <c r="T77" s="62">
        <f t="shared" si="88"/>
        <v>270.11268336406368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4.1871912284337878</v>
      </c>
      <c r="AA77" s="23">
        <f>EXP(-LN(2)/25)*AA76+(1-EXP(-LN(2)/25))/(LN(2)/25)*Calculateur!V77*Calculateur!X77*VLOOKUP('Données projet'!$B$9,Paramètres!$A$1:$I$89,3,0)*0.475*44/12</f>
        <v>4.8527099011499093</v>
      </c>
      <c r="AB77" s="23">
        <f>EXP(-LN(2)/2)*AB76+(1-EXP(-LN(2)/2))/(LN(2)/2)*V77*Y77*VLOOKUP('Données projet'!$B$9,Paramètres!$A$1:$I$89,3,0)*0.475*44/12</f>
        <v>1.5115644802865609E-6</v>
      </c>
      <c r="AC77" s="24">
        <f t="shared" si="57"/>
        <v>9.0399026411481778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2">
        <f t="shared" si="59"/>
        <v>832.66589118455317</v>
      </c>
      <c r="AN77" s="62">
        <f ca="1">AVERAGE(OFFSET($AM$3,0,0,'Données projet'!$E$10+1,1))-AVERAGE(OFFSET($H$3,0,0,'Données projet'!$E$10+1,1))</f>
        <v>475.47920969424894</v>
      </c>
      <c r="AO77" s="62">
        <f t="shared" si="90"/>
        <v>271.73544012419364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222.3998399999999</v>
      </c>
      <c r="BF77" s="14">
        <f t="shared" si="91"/>
        <v>54.636149281681448</v>
      </c>
      <c r="BG77" s="22">
        <f t="shared" si="61"/>
        <v>482.50434799892832</v>
      </c>
      <c r="BH77" s="62">
        <f t="shared" si="62"/>
        <v>775.83768133226158</v>
      </c>
      <c r="BI77" s="62">
        <f ca="1">AVERAGE(OFFSET($BH$3,0,0,'Données projet'!$E$11+1,1))-AVERAGE(OFFSET($H$3,0,0,'Données projet'!$E$11+1,1))</f>
        <v>428.8489304403459</v>
      </c>
      <c r="BJ77" s="62">
        <f t="shared" si="92"/>
        <v>247.01165577562966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3.6</v>
      </c>
      <c r="BY77" s="13">
        <f>IF('Données projet'!$A$114&gt;35,BY76+BX77-CG76,IF(A77&lt;'Données projet'!$A$114,$BV$205^A77,IF(A77='Données projet'!$A$114,'Données projet'!$B$114,BY76+BX77-CG76)))</f>
        <v>192.39999999999989</v>
      </c>
      <c r="BZ77" s="14">
        <f>BY77*VLOOKUP('Données projet'!$B$12,Paramètres!$A$1:$I$89,3,0)*VLOOKUP('Données projet'!$B$12,Paramètres!$A$1:$I$89,5,0)</f>
        <v>156.07487999999992</v>
      </c>
      <c r="CA77" s="14">
        <f t="shared" si="93"/>
        <v>39.955917913584059</v>
      </c>
      <c r="CB77" s="22">
        <f t="shared" si="64"/>
        <v>341.42030636615868</v>
      </c>
      <c r="CC77" s="62">
        <f t="shared" si="65"/>
        <v>634.75363969949194</v>
      </c>
      <c r="CD77" s="62">
        <f ca="1">AVERAGE(OFFSET($CC$3,0,0,'Données projet'!$E$12+1,1))-AVERAGE(OFFSET($H$3,0,0,'Données projet'!$E$12+1,1))</f>
        <v>236.22643401787644</v>
      </c>
      <c r="CE77" s="62">
        <f t="shared" si="94"/>
        <v>188.80444043778022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9.8224358974358967</v>
      </c>
      <c r="CT77" s="13">
        <f>IF('Données projet'!$A$140&gt;35,CT76+CS77-DB76,IF(A77&lt;'Données projet'!$A$140,$CQ$205^A77,IF(A77='Données projet'!$A$140,'Données projet'!$B$140,CT76+CS77-DB76)))</f>
        <v>350.65448717948743</v>
      </c>
      <c r="CU77" s="18">
        <f>CT77*VLOOKUP('Données projet'!$B$13,Paramètres!$A$1:$I$89,3,0)*VLOOKUP('Données projet'!$B$13,Paramètres!$A$1:$I$89,5,0)</f>
        <v>164.10630000000012</v>
      </c>
      <c r="CV77" s="14">
        <f t="shared" si="95"/>
        <v>41.767332454312395</v>
      </c>
      <c r="CW77" s="22">
        <f t="shared" si="67"/>
        <v>358.56324319126094</v>
      </c>
      <c r="CX77" s="62">
        <f t="shared" si="68"/>
        <v>651.89657652459425</v>
      </c>
      <c r="CY77" s="62">
        <f ca="1">AVERAGE(OFFSET($CX$3,0,0,'Données projet'!$E$13+1,1))-AVERAGE(OFFSET($H$3,0,0,'Données projet'!$E$13+1,1))</f>
        <v>246.73711856758143</v>
      </c>
      <c r="CZ77" s="62">
        <f t="shared" si="96"/>
        <v>145.54897745089966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4.4871794871794863</v>
      </c>
      <c r="DO77" s="13">
        <f>IF('Données projet'!$A$166&gt;35,DO76+DN77-DW76,IF(A77&lt;'Données projet'!$A$166,$DL$205^A77,IF(A77='Données projet'!$A$166,'Données projet'!$B$166,DO76+DN77-DW76)))</f>
        <v>253.20512820512801</v>
      </c>
      <c r="DP77" s="18">
        <f>DO77*VLOOKUP('Données projet'!$B$14,Paramètres!$A$1:$I$89,3,0)*VLOOKUP('Données projet'!$B$14,Paramètres!$A$1:$I$89,5,0)</f>
        <v>264.64999999999981</v>
      </c>
      <c r="DQ77" s="14">
        <f t="shared" si="97"/>
        <v>63.712545131099922</v>
      </c>
      <c r="DR77" s="22">
        <f t="shared" si="70"/>
        <v>571.89809943666535</v>
      </c>
      <c r="DS77" s="62">
        <f t="shared" si="71"/>
        <v>865.23143276999872</v>
      </c>
      <c r="DT77" s="62">
        <f ca="1">AVERAGE(OFFSET($DS$3,0,0,'Données projet'!$E$14+1,1))-AVERAGE(OFFSET($H$3,0,0,'Données projet'!$E$14+1,1))</f>
        <v>493.70175665335978</v>
      </c>
      <c r="DU77" s="62">
        <f t="shared" si="98"/>
        <v>325.12357781685949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2.2000000000000002</v>
      </c>
      <c r="EJ77" s="13">
        <f>IF('Données projet'!$A$192&gt;35,EJ76+EI77-ER76,IF(A77&lt;'Données projet'!$A$192,$EG$205^A77,IF(A77='Données projet'!$A$192,'Données projet'!$B$192,EJ76+EI77-ER76)))</f>
        <v>152.79999999999978</v>
      </c>
      <c r="EK77" s="18">
        <f>EJ77*VLOOKUP('Données projet'!$B$15,Paramètres!$A$1:$I$89,3,0)*VLOOKUP('Données projet'!$B$15,Paramètres!$A$1:$I$89,5,0)</f>
        <v>133.48607999999982</v>
      </c>
      <c r="EL77" s="14">
        <f t="shared" si="99"/>
        <v>34.800645252320457</v>
      </c>
      <c r="EM77" s="22">
        <f t="shared" si="73"/>
        <v>293.09937981445779</v>
      </c>
      <c r="EN77" s="62">
        <f t="shared" si="74"/>
        <v>586.43271314779111</v>
      </c>
      <c r="EO77" s="62">
        <f ca="1">AVERAGE(OFFSET($EN$3,0,0,'Données projet'!$E$15+1,1))-AVERAGE(OFFSET($H$3,0,0,'Données projet'!$E$15+1,1))</f>
        <v>202.86354781280403</v>
      </c>
      <c r="EP77" s="62">
        <f t="shared" si="100"/>
        <v>217.25323885665131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3.9743589743589722</v>
      </c>
      <c r="FE77" s="13">
        <f>IF('Données projet'!$A$218&gt;35,FE76+FD77-FM76,IF(A77&lt;'Données projet'!$A$218,$FB$205^A77,IF(A77='Données projet'!$A$218,'Données projet'!$B$218,FE76+FD77-FM76)))</f>
        <v>210.12820512820505</v>
      </c>
      <c r="FF77" s="18">
        <f>FE77*VLOOKUP('Données projet'!$B$16,Paramètres!$A$1:$I$89,3,0)*VLOOKUP('Données projet'!$B$16,Paramètres!$A$1:$I$89,5,0)</f>
        <v>199.95799999999994</v>
      </c>
      <c r="FG77" s="14">
        <f t="shared" si="101"/>
        <v>49.734937283774826</v>
      </c>
      <c r="FH77" s="22">
        <f t="shared" si="76"/>
        <v>434.88186576924096</v>
      </c>
      <c r="FI77" s="62">
        <f t="shared" si="77"/>
        <v>728.21519910257427</v>
      </c>
      <c r="FJ77" s="62">
        <f ca="1">AVERAGE(OFFSET($FI$3,0,0,'Données projet'!$E$16+1,1))-AVERAGE(OFFSET($H$3,0,0,'Données projet'!$E$16+1,1))</f>
        <v>353.61481736740694</v>
      </c>
      <c r="FK77" s="62">
        <f t="shared" si="102"/>
        <v>244.7141066773861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3.4</v>
      </c>
      <c r="FZ77" s="13">
        <f>IF('Données projet'!$A$244&gt;35,FZ76+FY77-GH76,IF(A77&lt;'Données projet'!$A$244,$FW$205^A77,IF(A77='Données projet'!$A$244,'Données projet'!$B$244,FZ76+FY77-GH76)))</f>
        <v>145.59999999999997</v>
      </c>
      <c r="GA77" s="18">
        <f>FZ77*VLOOKUP('Données projet'!$B$17,Paramètres!$A$1:$I$89,3,0)*VLOOKUP('Données projet'!$B$17,Paramètres!$A$1:$I$89,5,0)</f>
        <v>156.72383999999997</v>
      </c>
      <c r="GB77" s="14">
        <f t="shared" si="103"/>
        <v>40.102680984620484</v>
      </c>
      <c r="GC77" s="22">
        <f t="shared" si="79"/>
        <v>342.80619071488059</v>
      </c>
      <c r="GD77" s="62">
        <f t="shared" si="80"/>
        <v>636.13952404821384</v>
      </c>
      <c r="GE77" s="62">
        <f ca="1">AVERAGE(OFFSET($GD$3,0,0,'Données projet'!$E$17+1,1))-AVERAGE(OFFSET($H$3,0,0,'Données projet'!$E$17+1,1))</f>
        <v>280.20599015000306</v>
      </c>
      <c r="GF77" s="62">
        <f t="shared" si="104"/>
        <v>166.97658184507787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4.2307692307692317</v>
      </c>
      <c r="GU77" s="13">
        <f>IF('Données projet'!$A$270&gt;35,GU76+GT77-HC76,IF(A77&lt;'Données projet'!$A$270,$GR$205^A77,IF(A77='Données projet'!$A$270,'Données projet'!$B$270,GU76+GT77-HC76)))</f>
        <v>248.97435897435884</v>
      </c>
      <c r="GV77" s="18">
        <f>GU77*VLOOKUP('Données projet'!$B$18,Paramètres!$A$1:$I$89,3,0)*VLOOKUP('Données projet'!$B$18,Paramètres!$A$1:$I$89,5,0)</f>
        <v>167.01199999999992</v>
      </c>
      <c r="GW77" s="14">
        <f t="shared" si="105"/>
        <v>42.420121891899903</v>
      </c>
      <c r="GX77" s="22">
        <f t="shared" si="82"/>
        <v>364.76094562839216</v>
      </c>
      <c r="GY77" s="62">
        <f t="shared" si="83"/>
        <v>658.09427896172542</v>
      </c>
      <c r="GZ77" s="62">
        <f ca="1">AVERAGE(OFFSET($GY$3,0,0,'Données projet'!$E$18+1,1))-AVERAGE(OFFSET($H$3,0,0,'Données projet'!$E$18+1,1))</f>
        <v>291.18686311753402</v>
      </c>
      <c r="HA77" s="62">
        <f t="shared" si="106"/>
        <v>215.44422413249839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9">
        <f t="shared" si="56"/>
        <v>256.66666666666669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260.02504691866199</v>
      </c>
      <c r="T78" s="62">
        <f t="shared" si="88"/>
        <v>270.11268336406368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4.1050829623786704</v>
      </c>
      <c r="AA78" s="23">
        <f>EXP(-LN(2)/25)*AA77+(1-EXP(-LN(2)/25))/(LN(2)/25)*Calculateur!V78*Calculateur!X78*VLOOKUP('Données projet'!$B$9,Paramètres!$A$1:$I$89,3,0)*0.475*44/12</f>
        <v>4.7200122937100426</v>
      </c>
      <c r="AB78" s="23">
        <f>EXP(-LN(2)/2)*AB77+(1-EXP(-LN(2)/2))/(LN(2)/2)*V78*Y78*VLOOKUP('Données projet'!$B$9,Paramètres!$A$1:$I$89,3,0)*0.475*44/12</f>
        <v>1.0688374942113467E-6</v>
      </c>
      <c r="AC78" s="24">
        <f t="shared" si="57"/>
        <v>8.8250963249262071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2">
        <f t="shared" si="59"/>
        <v>845.95749237135647</v>
      </c>
      <c r="AN78" s="62">
        <f ca="1">AVERAGE(OFFSET($AM$3,0,0,'Données projet'!$E$10+1,1))-AVERAGE(OFFSET($H$3,0,0,'Données projet'!$E$10+1,1))</f>
        <v>475.47920969424894</v>
      </c>
      <c r="AO78" s="62">
        <f t="shared" si="90"/>
        <v>271.73544012419364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228.00959999999986</v>
      </c>
      <c r="BF78" s="14">
        <f t="shared" si="91"/>
        <v>55.852093054619779</v>
      </c>
      <c r="BG78" s="22">
        <f t="shared" si="61"/>
        <v>494.39244873679587</v>
      </c>
      <c r="BH78" s="62">
        <f t="shared" si="62"/>
        <v>787.72578207012918</v>
      </c>
      <c r="BI78" s="62">
        <f ca="1">AVERAGE(OFFSET($BH$3,0,0,'Données projet'!$E$11+1,1))-AVERAGE(OFFSET($H$3,0,0,'Données projet'!$E$11+1,1))</f>
        <v>428.8489304403459</v>
      </c>
      <c r="BJ78" s="62">
        <f t="shared" si="92"/>
        <v>247.01165577562966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196</v>
      </c>
      <c r="BW78" s="13">
        <f>VLOOKUP(A78,'Données projet'!$A$113:$I$133,9,0)</f>
        <v>3.6</v>
      </c>
      <c r="BX78" s="13">
        <f t="array" ref="BX78">INDEX(BW:BW,MIN(IF(ISNUMBER(BW78:BW274),ROW(BW78:BW274),"")))</f>
        <v>3.6</v>
      </c>
      <c r="BY78" s="13">
        <f>IF('Données projet'!$A$114&gt;35,BY77+BX78-CG77,IF(A78&lt;'Données projet'!$A$114,$BV$205^A78,IF(A78='Données projet'!$A$114,'Données projet'!$B$114,BY77+BX78-CG77)))</f>
        <v>195.99999999999989</v>
      </c>
      <c r="BZ78" s="14">
        <f>BY78*VLOOKUP('Données projet'!$B$12,Paramètres!$A$1:$I$89,3,0)*VLOOKUP('Données projet'!$B$12,Paramètres!$A$1:$I$89,5,0)</f>
        <v>158.99519999999993</v>
      </c>
      <c r="CA78" s="14">
        <f t="shared" si="93"/>
        <v>40.615796933386008</v>
      </c>
      <c r="CB78" s="22">
        <f t="shared" si="64"/>
        <v>347.65581965898053</v>
      </c>
      <c r="CC78" s="62">
        <f t="shared" si="65"/>
        <v>640.98915299231385</v>
      </c>
      <c r="CD78" s="62">
        <f ca="1">AVERAGE(OFFSET($CC$3,0,0,'Données projet'!$E$12+1,1))-AVERAGE(OFFSET($H$3,0,0,'Données projet'!$E$12+1,1))</f>
        <v>236.22643401787644</v>
      </c>
      <c r="CE78" s="62">
        <f t="shared" si="94"/>
        <v>188.80444043778022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22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360.47692307692307</v>
      </c>
      <c r="CR78" s="13">
        <f>VLOOKUP(A78,'Données projet'!$A$139:$I$159,9,0)</f>
        <v>9.8224358974358967</v>
      </c>
      <c r="CS78" s="13">
        <f t="array" ref="CS78">INDEX(CR:CR,MIN(IF(ISNUMBER(CR78:CR274),ROW(CR78:CR274),"")))</f>
        <v>9.8224358974358967</v>
      </c>
      <c r="CT78" s="13">
        <f>IF('Données projet'!$A$140&gt;35,CT77+CS78-DB77,IF(A78&lt;'Données projet'!$A$140,$CQ$205^A78,IF(A78='Données projet'!$A$140,'Données projet'!$B$140,CT77+CS78-DB77)))</f>
        <v>360.47692307692336</v>
      </c>
      <c r="CU78" s="18">
        <f>CT78*VLOOKUP('Données projet'!$B$13,Paramètres!$A$1:$I$89,3,0)*VLOOKUP('Données projet'!$B$13,Paramètres!$A$1:$I$89,5,0)</f>
        <v>168.70320000000012</v>
      </c>
      <c r="CV78" s="14">
        <f t="shared" si="95"/>
        <v>42.799454211954647</v>
      </c>
      <c r="CW78" s="22">
        <f t="shared" si="67"/>
        <v>368.36712275248783</v>
      </c>
      <c r="CX78" s="62">
        <f t="shared" si="68"/>
        <v>661.70045608582109</v>
      </c>
      <c r="CY78" s="62">
        <f ca="1">AVERAGE(OFFSET($CX$3,0,0,'Données projet'!$E$13+1,1))-AVERAGE(OFFSET($H$3,0,0,'Données projet'!$E$13+1,1))</f>
        <v>246.73711856758143</v>
      </c>
      <c r="CZ78" s="62">
        <f t="shared" si="96"/>
        <v>145.54897745089966</v>
      </c>
      <c r="DA78" s="16">
        <f>IF(ISNA(VLOOKUP(A78,'Données projet'!$A$139:$I$159,3,0)),0,VLOOKUP(A78,'Données projet'!$A$139:$I$159,3,0))</f>
        <v>3</v>
      </c>
      <c r="DB78" s="16">
        <f>IF(ISNA(VLOOKUP(A78,'Données projet'!$A$139:$I$159,4,0)),0,VLOOKUP(A78,'Données projet'!$A$139:$I$159,4,0))</f>
        <v>85.361538461538458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257.69230769230768</v>
      </c>
      <c r="DM78" s="13">
        <f>VLOOKUP(A78,'Données projet'!$A$165:$I$185,9,0)</f>
        <v>4.4871794871794863</v>
      </c>
      <c r="DN78" s="13">
        <f t="array" ref="DN78">INDEX(DM:DM,MIN(IF(ISNUMBER(DM78:DM274),ROW(DM78:DM274),"")))</f>
        <v>4.4871794871794863</v>
      </c>
      <c r="DO78" s="13">
        <f>IF('Données projet'!$A$166&gt;35,DO77+DN78-DW77,IF(A78&lt;'Données projet'!$A$166,$DL$205^A78,IF(A78='Données projet'!$A$166,'Données projet'!$B$166,DO77+DN78-DW77)))</f>
        <v>257.69230769230751</v>
      </c>
      <c r="DP78" s="18">
        <f>DO78*VLOOKUP('Données projet'!$B$14,Paramètres!$A$1:$I$89,3,0)*VLOOKUP('Données projet'!$B$14,Paramètres!$A$1:$I$89,5,0)</f>
        <v>269.33999999999986</v>
      </c>
      <c r="DQ78" s="14">
        <f t="shared" si="97"/>
        <v>64.709180685305114</v>
      </c>
      <c r="DR78" s="22">
        <f t="shared" si="70"/>
        <v>581.80232302690615</v>
      </c>
      <c r="DS78" s="62">
        <f t="shared" si="71"/>
        <v>875.13565636023941</v>
      </c>
      <c r="DT78" s="62">
        <f ca="1">AVERAGE(OFFSET($DS$3,0,0,'Données projet'!$E$14+1,1))-AVERAGE(OFFSET($H$3,0,0,'Données projet'!$E$14+1,1))</f>
        <v>493.70175665335978</v>
      </c>
      <c r="DU78" s="62">
        <f t="shared" si="98"/>
        <v>325.12357781685949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155</v>
      </c>
      <c r="EH78" s="13">
        <f>VLOOKUP(A78,'Données projet'!$A$191:$I$211,9,0)</f>
        <v>2.2000000000000002</v>
      </c>
      <c r="EI78" s="13">
        <f t="array" ref="EI78">INDEX(EH:EH,MIN(IF(ISNUMBER(EH78:EH274),ROW(EH78:EH274),"")))</f>
        <v>2.2000000000000002</v>
      </c>
      <c r="EJ78" s="13">
        <f>IF('Données projet'!$A$192&gt;35,EJ77+EI78-ER77,IF(A78&lt;'Données projet'!$A$192,$EG$205^A78,IF(A78='Données projet'!$A$192,'Données projet'!$B$192,EJ77+EI78-ER77)))</f>
        <v>154.99999999999977</v>
      </c>
      <c r="EK78" s="18">
        <f>EJ78*VLOOKUP('Données projet'!$B$15,Paramètres!$A$1:$I$89,3,0)*VLOOKUP('Données projet'!$B$15,Paramètres!$A$1:$I$89,5,0)</f>
        <v>135.40799999999982</v>
      </c>
      <c r="EL78" s="14">
        <f t="shared" si="99"/>
        <v>35.243009677478696</v>
      </c>
      <c r="EM78" s="22">
        <f t="shared" si="73"/>
        <v>297.21717518827501</v>
      </c>
      <c r="EN78" s="62">
        <f t="shared" si="74"/>
        <v>590.55050852160832</v>
      </c>
      <c r="EO78" s="62">
        <f ca="1">AVERAGE(OFFSET($EN$3,0,0,'Données projet'!$E$15+1,1))-AVERAGE(OFFSET($H$3,0,0,'Données projet'!$E$15+1,1))</f>
        <v>202.86354781280403</v>
      </c>
      <c r="EP78" s="62">
        <f t="shared" si="100"/>
        <v>217.25323885665131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214.10256410256409</v>
      </c>
      <c r="FC78" s="13">
        <f>VLOOKUP(A78,'Données projet'!$A$217:$I$237,9,0)</f>
        <v>3.9743589743589722</v>
      </c>
      <c r="FD78" s="13">
        <f t="array" ref="FD78">INDEX(FC:FC,MIN(IF(ISNUMBER(FC78:FC274),ROW(FC78:FC274),"")))</f>
        <v>3.9743589743589722</v>
      </c>
      <c r="FE78" s="13">
        <f>IF('Données projet'!$A$218&gt;35,FE77+FD78-FM77,IF(A78&lt;'Données projet'!$A$218,$FB$205^A78,IF(A78='Données projet'!$A$218,'Données projet'!$B$218,FE77+FD78-FM77)))</f>
        <v>214.10256410256403</v>
      </c>
      <c r="FF78" s="18">
        <f>FE78*VLOOKUP('Données projet'!$B$16,Paramètres!$A$1:$I$89,3,0)*VLOOKUP('Données projet'!$B$16,Paramètres!$A$1:$I$89,5,0)</f>
        <v>203.73999999999995</v>
      </c>
      <c r="FG78" s="14">
        <f t="shared" si="101"/>
        <v>50.565218142155274</v>
      </c>
      <c r="FH78" s="22">
        <f t="shared" si="76"/>
        <v>442.91492159758701</v>
      </c>
      <c r="FI78" s="62">
        <f t="shared" si="77"/>
        <v>736.24825493092033</v>
      </c>
      <c r="FJ78" s="62">
        <f ca="1">AVERAGE(OFFSET($FI$3,0,0,'Données projet'!$E$16+1,1))-AVERAGE(OFFSET($H$3,0,0,'Données projet'!$E$16+1,1))</f>
        <v>353.61481736740694</v>
      </c>
      <c r="FK78" s="62">
        <f t="shared" si="102"/>
        <v>244.7141066773861</v>
      </c>
      <c r="FL78" s="16">
        <f>IF(ISNA(VLOOKUP(A78,'Données projet'!$A$217:$I$237,3,0)),0,VLOOKUP(A78,'Données projet'!$A$217:$I$237,3,0))</f>
        <v>6</v>
      </c>
      <c r="FM78" s="16">
        <f>IF(ISNA(VLOOKUP(A78,'Données projet'!$A$217:$I$237,4,0)),0,VLOOKUP(A78,'Données projet'!$A$217:$I$237,4,0))</f>
        <v>26.923076923076923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149</v>
      </c>
      <c r="FX78" s="13">
        <f>VLOOKUP(A78,'Données projet'!$A$243:$I$263,9,0)</f>
        <v>3.4</v>
      </c>
      <c r="FY78" s="13">
        <f t="array" ref="FY78">INDEX(FX:FX,MIN(IF(ISNUMBER(FX78:FX274),ROW(FX78:FX274),"")))</f>
        <v>3.4</v>
      </c>
      <c r="FZ78" s="13">
        <f>IF('Données projet'!$A$244&gt;35,FZ77+FY78-GH77,IF(A78&lt;'Données projet'!$A$244,$FW$205^A78,IF(A78='Données projet'!$A$244,'Données projet'!$B$244,FZ77+FY78-GH77)))</f>
        <v>148.99999999999997</v>
      </c>
      <c r="GA78" s="18">
        <f>FZ78*VLOOKUP('Données projet'!$B$17,Paramètres!$A$1:$I$89,3,0)*VLOOKUP('Données projet'!$B$17,Paramètres!$A$1:$I$89,5,0)</f>
        <v>160.38359999999997</v>
      </c>
      <c r="GB78" s="14">
        <f t="shared" si="103"/>
        <v>40.929025395397851</v>
      </c>
      <c r="GC78" s="22">
        <f t="shared" si="79"/>
        <v>350.61948923031787</v>
      </c>
      <c r="GD78" s="62">
        <f t="shared" si="80"/>
        <v>643.95282256365113</v>
      </c>
      <c r="GE78" s="62">
        <f ca="1">AVERAGE(OFFSET($GD$3,0,0,'Données projet'!$E$17+1,1))-AVERAGE(OFFSET($H$3,0,0,'Données projet'!$E$17+1,1))</f>
        <v>280.20599015000306</v>
      </c>
      <c r="GF78" s="62">
        <f t="shared" si="104"/>
        <v>166.97658184507787</v>
      </c>
      <c r="GG78" s="16">
        <f>IF(ISNA(VLOOKUP(A78,'Données projet'!$A$243:$I$263,3,0)),0,VLOOKUP(A78,'Données projet'!$A$243:$I$263,3,0))</f>
        <v>5</v>
      </c>
      <c r="GH78" s="16">
        <f>IF(ISNA(VLOOKUP(A78,'Données projet'!$A$243:$I$263,4,0)),0,VLOOKUP(A78,'Données projet'!$A$243:$I$263,4,0))</f>
        <v>20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253.2051282051282</v>
      </c>
      <c r="GS78" s="13">
        <f>VLOOKUP(A78,'Données projet'!$A$269:$I$289,9,0)</f>
        <v>4.2307692307692317</v>
      </c>
      <c r="GT78" s="13">
        <f t="array" ref="GT78">INDEX(GS:GS,MIN(IF(ISNUMBER(GS78:GS274),ROW(GS78:GS274),"")))</f>
        <v>4.2307692307692317</v>
      </c>
      <c r="GU78" s="13">
        <f>IF('Données projet'!$A$270&gt;35,GU77+GT78-HC77,IF(A78&lt;'Données projet'!$A$270,$GR$205^A78,IF(A78='Données projet'!$A$270,'Données projet'!$B$270,GU77+GT78-HC77)))</f>
        <v>253.20512820512806</v>
      </c>
      <c r="GV78" s="18">
        <f>GU78*VLOOKUP('Données projet'!$B$18,Paramètres!$A$1:$I$89,3,0)*VLOOKUP('Données projet'!$B$18,Paramètres!$A$1:$I$89,5,0)</f>
        <v>169.84999999999991</v>
      </c>
      <c r="GW78" s="14">
        <f t="shared" si="105"/>
        <v>43.056426849389865</v>
      </c>
      <c r="GX78" s="22">
        <f t="shared" si="82"/>
        <v>370.81202676268725</v>
      </c>
      <c r="GY78" s="62">
        <f t="shared" si="83"/>
        <v>664.14536009602057</v>
      </c>
      <c r="GZ78" s="62">
        <f ca="1">AVERAGE(OFFSET($GY$3,0,0,'Données projet'!$E$18+1,1))-AVERAGE(OFFSET($H$3,0,0,'Données projet'!$E$18+1,1))</f>
        <v>291.18686311753402</v>
      </c>
      <c r="HA78" s="62">
        <f t="shared" si="106"/>
        <v>215.44422413249839</v>
      </c>
      <c r="HB78" s="16">
        <f>IF(ISNA(VLOOKUP(A78,'Données projet'!$A$269:$I$289,3,0)),0,VLOOKUP(A78,'Données projet'!$A$269:$I$289,3,0))</f>
        <v>6</v>
      </c>
      <c r="HC78" s="16">
        <f>IF(ISNA(VLOOKUP(A78,'Données projet'!$A$269:$I$289,4,0)),0,VLOOKUP(A78,'Données projet'!$A$269:$I$289,4,0))</f>
        <v>24.358974358974358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9">
        <f t="shared" si="56"/>
        <v>256.66666666666669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260.02504691866199</v>
      </c>
      <c r="T79" s="62">
        <f t="shared" si="88"/>
        <v>270.11268336406368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4.024584789339797</v>
      </c>
      <c r="AA79" s="23">
        <f>EXP(-LN(2)/25)*AA78+(1-EXP(-LN(2)/25))/(LN(2)/25)*Calculateur!V79*Calculateur!X79*VLOOKUP('Données projet'!$B$9,Paramètres!$A$1:$I$89,3,0)*0.475*44/12</f>
        <v>4.5909433093238823</v>
      </c>
      <c r="AB79" s="23">
        <f>EXP(-LN(2)/2)*AB78+(1-EXP(-LN(2)/2))/(LN(2)/2)*V79*Y79*VLOOKUP('Données projet'!$B$9,Paramètres!$A$1:$I$89,3,0)*0.475*44/12</f>
        <v>7.5578224014328047E-7</v>
      </c>
      <c r="AC79" s="24">
        <f t="shared" si="57"/>
        <v>8.6155288544459196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2">
        <f t="shared" si="59"/>
        <v>858.81395257903955</v>
      </c>
      <c r="AN79" s="62">
        <f ca="1">AVERAGE(OFFSET($AM$3,0,0,'Données projet'!$E$10+1,1))-AVERAGE(OFFSET($H$3,0,0,'Données projet'!$E$10+1,1))</f>
        <v>475.47920969424894</v>
      </c>
      <c r="AO79" s="62">
        <f t="shared" si="90"/>
        <v>271.73544012419364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233.43839999999989</v>
      </c>
      <c r="BF79" s="14">
        <f t="shared" si="91"/>
        <v>57.025500710931624</v>
      </c>
      <c r="BG79" s="22">
        <f t="shared" si="61"/>
        <v>505.89129373820577</v>
      </c>
      <c r="BH79" s="62">
        <f t="shared" si="62"/>
        <v>799.22462707153909</v>
      </c>
      <c r="BI79" s="62">
        <f ca="1">AVERAGE(OFFSET($BH$3,0,0,'Données projet'!$E$11+1,1))-AVERAGE(OFFSET($H$3,0,0,'Données projet'!$E$11+1,1))</f>
        <v>428.8489304403459</v>
      </c>
      <c r="BJ79" s="62">
        <f t="shared" si="92"/>
        <v>247.01165577562966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3.6</v>
      </c>
      <c r="BY79" s="13">
        <f>IF('Données projet'!$A$114&gt;35,BY78+BX79-CG78,IF(A79&lt;'Données projet'!$A$114,$BV$205^A79,IF(A79='Données projet'!$A$114,'Données projet'!$B$114,BY78+BX79-CG78)))</f>
        <v>177.59999999999988</v>
      </c>
      <c r="BZ79" s="14">
        <f>BY79*VLOOKUP('Données projet'!$B$12,Paramètres!$A$1:$I$89,3,0)*VLOOKUP('Données projet'!$B$12,Paramètres!$A$1:$I$89,5,0)</f>
        <v>144.06911999999991</v>
      </c>
      <c r="CA79" s="14">
        <f t="shared" si="93"/>
        <v>37.22762367982471</v>
      </c>
      <c r="CB79" s="22">
        <f t="shared" si="64"/>
        <v>315.75849524236122</v>
      </c>
      <c r="CC79" s="62">
        <f t="shared" si="65"/>
        <v>609.09182857569454</v>
      </c>
      <c r="CD79" s="62">
        <f ca="1">AVERAGE(OFFSET($CC$3,0,0,'Données projet'!$E$12+1,1))-AVERAGE(OFFSET($H$3,0,0,'Données projet'!$E$12+1,1))</f>
        <v>236.22643401787644</v>
      </c>
      <c r="CE79" s="62">
        <f t="shared" si="94"/>
        <v>188.80444043778022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9.001923076923072</v>
      </c>
      <c r="CT79" s="13">
        <f>IF('Données projet'!$A$140&gt;35,CT78+CS79-DB78,IF(A79&lt;'Données projet'!$A$140,$CQ$205^A79,IF(A79='Données projet'!$A$140,'Données projet'!$B$140,CT78+CS79-DB78)))</f>
        <v>284.11730769230792</v>
      </c>
      <c r="CU79" s="18">
        <f>CT79*VLOOKUP('Données projet'!$B$13,Paramètres!$A$1:$I$89,3,0)*VLOOKUP('Données projet'!$B$13,Paramètres!$A$1:$I$89,5,0)</f>
        <v>132.96690000000012</v>
      </c>
      <c r="CV79" s="14">
        <f t="shared" si="95"/>
        <v>34.681019848273969</v>
      </c>
      <c r="CW79" s="22">
        <f t="shared" si="67"/>
        <v>291.98679373574402</v>
      </c>
      <c r="CX79" s="62">
        <f t="shared" si="68"/>
        <v>585.32012706907733</v>
      </c>
      <c r="CY79" s="62">
        <f ca="1">AVERAGE(OFFSET($CX$3,0,0,'Données projet'!$E$13+1,1))-AVERAGE(OFFSET($H$3,0,0,'Données projet'!$E$13+1,1))</f>
        <v>246.73711856758143</v>
      </c>
      <c r="CZ79" s="62">
        <f t="shared" si="96"/>
        <v>145.54897745089966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4.3589743589743648</v>
      </c>
      <c r="DO79" s="13">
        <f>IF('Données projet'!$A$166&gt;35,DO78+DN79-DW78,IF(A79&lt;'Données projet'!$A$166,$DL$205^A79,IF(A79='Données projet'!$A$166,'Données projet'!$B$166,DO78+DN79-DW78)))</f>
        <v>262.05128205128187</v>
      </c>
      <c r="DP79" s="18">
        <f>DO79*VLOOKUP('Données projet'!$B$14,Paramètres!$A$1:$I$89,3,0)*VLOOKUP('Données projet'!$B$14,Paramètres!$A$1:$I$89,5,0)</f>
        <v>273.89599999999984</v>
      </c>
      <c r="DQ79" s="14">
        <f t="shared" si="97"/>
        <v>65.675408141572404</v>
      </c>
      <c r="DR79" s="22">
        <f t="shared" si="70"/>
        <v>591.42020251323834</v>
      </c>
      <c r="DS79" s="62">
        <f t="shared" si="71"/>
        <v>884.75353584657159</v>
      </c>
      <c r="DT79" s="62">
        <f ca="1">AVERAGE(OFFSET($DS$3,0,0,'Données projet'!$E$14+1,1))-AVERAGE(OFFSET($H$3,0,0,'Données projet'!$E$14+1,1))</f>
        <v>493.70175665335978</v>
      </c>
      <c r="DU79" s="62">
        <f t="shared" si="98"/>
        <v>325.12357781685949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1.8</v>
      </c>
      <c r="EJ79" s="13">
        <f>IF('Données projet'!$A$192&gt;35,EJ78+EI79-ER78,IF(A79&lt;'Données projet'!$A$192,$EG$205^A79,IF(A79='Données projet'!$A$192,'Données projet'!$B$192,EJ78+EI79-ER78)))</f>
        <v>156.79999999999978</v>
      </c>
      <c r="EK79" s="18">
        <f>EJ79*VLOOKUP('Données projet'!$B$15,Paramètres!$A$1:$I$89,3,0)*VLOOKUP('Données projet'!$B$15,Paramètres!$A$1:$I$89,5,0)</f>
        <v>136.98047999999983</v>
      </c>
      <c r="EL79" s="14">
        <f t="shared" si="99"/>
        <v>35.604400515895449</v>
      </c>
      <c r="EM79" s="22">
        <f t="shared" si="73"/>
        <v>300.58533356518427</v>
      </c>
      <c r="EN79" s="62">
        <f t="shared" si="74"/>
        <v>593.91866689851759</v>
      </c>
      <c r="EO79" s="62">
        <f ca="1">AVERAGE(OFFSET($EN$3,0,0,'Données projet'!$E$15+1,1))-AVERAGE(OFFSET($H$3,0,0,'Données projet'!$E$15+1,1))</f>
        <v>202.86354781280403</v>
      </c>
      <c r="EP79" s="62">
        <f t="shared" si="100"/>
        <v>217.25323885665131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3.8461538461538511</v>
      </c>
      <c r="FE79" s="13">
        <f>IF('Données projet'!$A$218&gt;35,FE78+FD79-FM78,IF(A79&lt;'Données projet'!$A$218,$FB$205^A79,IF(A79='Données projet'!$A$218,'Données projet'!$B$218,FE78+FD79-FM78)))</f>
        <v>191.02564102564094</v>
      </c>
      <c r="FF79" s="18">
        <f>FE79*VLOOKUP('Données projet'!$B$16,Paramètres!$A$1:$I$89,3,0)*VLOOKUP('Données projet'!$B$16,Paramètres!$A$1:$I$89,5,0)</f>
        <v>181.77999999999992</v>
      </c>
      <c r="FG79" s="14">
        <f t="shared" si="101"/>
        <v>45.717976285292259</v>
      </c>
      <c r="FH79" s="22">
        <f t="shared" si="76"/>
        <v>396.22564203021716</v>
      </c>
      <c r="FI79" s="62">
        <f t="shared" si="77"/>
        <v>689.55897536355042</v>
      </c>
      <c r="FJ79" s="62">
        <f ca="1">AVERAGE(OFFSET($FI$3,0,0,'Données projet'!$E$16+1,1))-AVERAGE(OFFSET($H$3,0,0,'Données projet'!$E$16+1,1))</f>
        <v>353.61481736740694</v>
      </c>
      <c r="FK79" s="62">
        <f t="shared" si="102"/>
        <v>244.7141066773861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3.4</v>
      </c>
      <c r="FZ79" s="13">
        <f>IF('Données projet'!$A$244&gt;35,FZ78+FY79-GH78,IF(A79&lt;'Données projet'!$A$244,$FW$205^A79,IF(A79='Données projet'!$A$244,'Données projet'!$B$244,FZ78+FY79-GH78)))</f>
        <v>132.39999999999998</v>
      </c>
      <c r="GA79" s="18">
        <f>FZ79*VLOOKUP('Données projet'!$B$17,Paramètres!$A$1:$I$89,3,0)*VLOOKUP('Données projet'!$B$17,Paramètres!$A$1:$I$89,5,0)</f>
        <v>142.51535999999999</v>
      </c>
      <c r="GB79" s="14">
        <f t="shared" si="103"/>
        <v>36.87264058911223</v>
      </c>
      <c r="GC79" s="22">
        <f t="shared" si="79"/>
        <v>312.43410102603713</v>
      </c>
      <c r="GD79" s="62">
        <f t="shared" si="80"/>
        <v>605.76743435937044</v>
      </c>
      <c r="GE79" s="62">
        <f ca="1">AVERAGE(OFFSET($GD$3,0,0,'Données projet'!$E$17+1,1))-AVERAGE(OFFSET($H$3,0,0,'Données projet'!$E$17+1,1))</f>
        <v>280.20599015000306</v>
      </c>
      <c r="GF79" s="62">
        <f t="shared" si="104"/>
        <v>166.97658184507787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4.2307692307692317</v>
      </c>
      <c r="GU79" s="13">
        <f>IF('Données projet'!$A$270&gt;35,GU78+GT79-HC78,IF(A79&lt;'Données projet'!$A$270,$GR$205^A79,IF(A79='Données projet'!$A$270,'Données projet'!$B$270,GU78+GT79-HC78)))</f>
        <v>233.07692307692292</v>
      </c>
      <c r="GV79" s="18">
        <f>GU79*VLOOKUP('Données projet'!$B$18,Paramètres!$A$1:$I$89,3,0)*VLOOKUP('Données projet'!$B$18,Paramètres!$A$1:$I$89,5,0)</f>
        <v>156.3479999999999</v>
      </c>
      <c r="GW79" s="14">
        <f t="shared" si="105"/>
        <v>40.017692964060089</v>
      </c>
      <c r="GX79" s="22">
        <f t="shared" si="82"/>
        <v>342.0035819124044</v>
      </c>
      <c r="GY79" s="62">
        <f t="shared" si="83"/>
        <v>635.33691524573771</v>
      </c>
      <c r="GZ79" s="62">
        <f ca="1">AVERAGE(OFFSET($GY$3,0,0,'Données projet'!$E$18+1,1))-AVERAGE(OFFSET($H$3,0,0,'Données projet'!$E$18+1,1))</f>
        <v>291.18686311753402</v>
      </c>
      <c r="HA79" s="62">
        <f t="shared" si="106"/>
        <v>215.44422413249839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9">
        <f t="shared" si="56"/>
        <v>256.66666666666669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260.02504691866199</v>
      </c>
      <c r="T80" s="62">
        <f t="shared" si="88"/>
        <v>270.11268336406368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3.9456651363751782</v>
      </c>
      <c r="AA80" s="23">
        <f>EXP(-LN(2)/25)*AA79+(1-EXP(-LN(2)/25))/(LN(2)/25)*Calculateur!V80*Calculateur!X80*VLOOKUP('Données projet'!$B$9,Paramètres!$A$1:$I$89,3,0)*0.475*44/12</f>
        <v>4.4654037231032051</v>
      </c>
      <c r="AB80" s="23">
        <f>EXP(-LN(2)/2)*AB79+(1-EXP(-LN(2)/2))/(LN(2)/2)*V80*Y80*VLOOKUP('Données projet'!$B$9,Paramètres!$A$1:$I$89,3,0)*0.475*44/12</f>
        <v>5.3441874710567334E-7</v>
      </c>
      <c r="AC80" s="24">
        <f t="shared" si="57"/>
        <v>8.4110693938971313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2">
        <f t="shared" si="59"/>
        <v>871.66430227691103</v>
      </c>
      <c r="AN80" s="62">
        <f ca="1">AVERAGE(OFFSET($AM$3,0,0,'Données projet'!$E$10+1,1))-AVERAGE(OFFSET($H$3,0,0,'Données projet'!$E$10+1,1))</f>
        <v>475.47920969424894</v>
      </c>
      <c r="AO80" s="62">
        <f t="shared" si="90"/>
        <v>271.73544012419364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238.86719999999988</v>
      </c>
      <c r="BF80" s="14">
        <f t="shared" si="91"/>
        <v>58.195735973104156</v>
      </c>
      <c r="BG80" s="22">
        <f t="shared" si="61"/>
        <v>517.38461348648957</v>
      </c>
      <c r="BH80" s="62">
        <f t="shared" si="62"/>
        <v>810.71794681982283</v>
      </c>
      <c r="BI80" s="62">
        <f ca="1">AVERAGE(OFFSET($BH$3,0,0,'Données projet'!$E$11+1,1))-AVERAGE(OFFSET($H$3,0,0,'Données projet'!$E$11+1,1))</f>
        <v>428.8489304403459</v>
      </c>
      <c r="BJ80" s="62">
        <f t="shared" si="92"/>
        <v>247.01165577562966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3.6</v>
      </c>
      <c r="BY80" s="13">
        <f>IF('Données projet'!$A$114&gt;35,BY79+BX80-CG79,IF(A80&lt;'Données projet'!$A$114,$BV$205^A80,IF(A80='Données projet'!$A$114,'Données projet'!$B$114,BY79+BX80-CG79)))</f>
        <v>181.19999999999987</v>
      </c>
      <c r="BZ80" s="14">
        <f>BY80*VLOOKUP('Données projet'!$B$12,Paramètres!$A$1:$I$89,3,0)*VLOOKUP('Données projet'!$B$12,Paramètres!$A$1:$I$89,5,0)</f>
        <v>146.98943999999989</v>
      </c>
      <c r="CA80" s="14">
        <f t="shared" si="93"/>
        <v>37.89361985872371</v>
      </c>
      <c r="CB80" s="22">
        <f t="shared" si="64"/>
        <v>322.00466258727687</v>
      </c>
      <c r="CC80" s="62">
        <f t="shared" si="65"/>
        <v>615.33799592061018</v>
      </c>
      <c r="CD80" s="62">
        <f ca="1">AVERAGE(OFFSET($CC$3,0,0,'Données projet'!$E$12+1,1))-AVERAGE(OFFSET($H$3,0,0,'Données projet'!$E$12+1,1))</f>
        <v>236.22643401787644</v>
      </c>
      <c r="CE80" s="62">
        <f t="shared" si="94"/>
        <v>188.80444043778022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9.001923076923072</v>
      </c>
      <c r="CT80" s="13">
        <f>IF('Données projet'!$A$140&gt;35,CT79+CS80-DB79,IF(A80&lt;'Données projet'!$A$140,$CQ$205^A80,IF(A80='Données projet'!$A$140,'Données projet'!$B$140,CT79+CS80-DB79)))</f>
        <v>293.11923076923097</v>
      </c>
      <c r="CU80" s="18">
        <f>CT80*VLOOKUP('Données projet'!$B$13,Paramètres!$A$1:$I$89,3,0)*VLOOKUP('Données projet'!$B$13,Paramètres!$A$1:$I$89,5,0)</f>
        <v>137.17980000000009</v>
      </c>
      <c r="CV80" s="14">
        <f t="shared" si="95"/>
        <v>35.65017408944302</v>
      </c>
      <c r="CW80" s="22">
        <f t="shared" si="67"/>
        <v>301.01220487244677</v>
      </c>
      <c r="CX80" s="62">
        <f t="shared" si="68"/>
        <v>594.34553820578003</v>
      </c>
      <c r="CY80" s="62">
        <f ca="1">AVERAGE(OFFSET($CX$3,0,0,'Données projet'!$E$13+1,1))-AVERAGE(OFFSET($H$3,0,0,'Données projet'!$E$13+1,1))</f>
        <v>246.73711856758143</v>
      </c>
      <c r="CZ80" s="62">
        <f t="shared" si="96"/>
        <v>145.54897745089966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4.3589743589743648</v>
      </c>
      <c r="DO80" s="13">
        <f>IF('Données projet'!$A$166&gt;35,DO79+DN80-DW79,IF(A80&lt;'Données projet'!$A$166,$DL$205^A80,IF(A80='Données projet'!$A$166,'Données projet'!$B$166,DO79+DN80-DW79)))</f>
        <v>266.41025641025624</v>
      </c>
      <c r="DP80" s="18">
        <f>DO80*VLOOKUP('Données projet'!$B$14,Paramètres!$A$1:$I$89,3,0)*VLOOKUP('Données projet'!$B$14,Paramètres!$A$1:$I$89,5,0)</f>
        <v>278.45199999999988</v>
      </c>
      <c r="DQ80" s="14">
        <f t="shared" si="97"/>
        <v>66.639766503676199</v>
      </c>
      <c r="DR80" s="22">
        <f t="shared" si="70"/>
        <v>601.03482666056914</v>
      </c>
      <c r="DS80" s="62">
        <f t="shared" si="71"/>
        <v>894.36815999390251</v>
      </c>
      <c r="DT80" s="62">
        <f ca="1">AVERAGE(OFFSET($DS$3,0,0,'Données projet'!$E$14+1,1))-AVERAGE(OFFSET($H$3,0,0,'Données projet'!$E$14+1,1))</f>
        <v>493.70175665335978</v>
      </c>
      <c r="DU80" s="62">
        <f t="shared" si="98"/>
        <v>325.12357781685949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1.8</v>
      </c>
      <c r="EJ80" s="13">
        <f>IF('Données projet'!$A$192&gt;35,EJ79+EI80-ER79,IF(A80&lt;'Données projet'!$A$192,$EG$205^A80,IF(A80='Données projet'!$A$192,'Données projet'!$B$192,EJ79+EI80-ER79)))</f>
        <v>158.5999999999998</v>
      </c>
      <c r="EK80" s="18">
        <f>EJ80*VLOOKUP('Données projet'!$B$15,Paramètres!$A$1:$I$89,3,0)*VLOOKUP('Données projet'!$B$15,Paramètres!$A$1:$I$89,5,0)</f>
        <v>138.55295999999984</v>
      </c>
      <c r="EL80" s="14">
        <f t="shared" si="99"/>
        <v>35.965308766301767</v>
      </c>
      <c r="EM80" s="22">
        <f t="shared" si="73"/>
        <v>303.95265143464201</v>
      </c>
      <c r="EN80" s="62">
        <f t="shared" si="74"/>
        <v>597.28598476797538</v>
      </c>
      <c r="EO80" s="62">
        <f ca="1">AVERAGE(OFFSET($EN$3,0,0,'Données projet'!$E$15+1,1))-AVERAGE(OFFSET($H$3,0,0,'Données projet'!$E$15+1,1))</f>
        <v>202.86354781280403</v>
      </c>
      <c r="EP80" s="62">
        <f t="shared" si="100"/>
        <v>217.25323885665131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3.8461538461538511</v>
      </c>
      <c r="FE80" s="13">
        <f>IF('Données projet'!$A$218&gt;35,FE79+FD80-FM79,IF(A80&lt;'Données projet'!$A$218,$FB$205^A80,IF(A80='Données projet'!$A$218,'Données projet'!$B$218,FE79+FD80-FM79)))</f>
        <v>194.87179487179478</v>
      </c>
      <c r="FF80" s="18">
        <f>FE80*VLOOKUP('Données projet'!$B$16,Paramètres!$A$1:$I$89,3,0)*VLOOKUP('Données projet'!$B$16,Paramètres!$A$1:$I$89,5,0)</f>
        <v>185.43999999999991</v>
      </c>
      <c r="FG80" s="14">
        <f t="shared" si="101"/>
        <v>46.530380670487169</v>
      </c>
      <c r="FH80" s="22">
        <f t="shared" si="76"/>
        <v>404.01507966776506</v>
      </c>
      <c r="FI80" s="62">
        <f t="shared" si="77"/>
        <v>697.34841300109838</v>
      </c>
      <c r="FJ80" s="62">
        <f ca="1">AVERAGE(OFFSET($FI$3,0,0,'Données projet'!$E$16+1,1))-AVERAGE(OFFSET($H$3,0,0,'Données projet'!$E$16+1,1))</f>
        <v>353.61481736740694</v>
      </c>
      <c r="FK80" s="62">
        <f t="shared" si="102"/>
        <v>244.7141066773861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3.4</v>
      </c>
      <c r="FZ80" s="13">
        <f>IF('Données projet'!$A$244&gt;35,FZ79+FY80-GH79,IF(A80&lt;'Données projet'!$A$244,$FW$205^A80,IF(A80='Données projet'!$A$244,'Données projet'!$B$244,FZ79+FY80-GH79)))</f>
        <v>135.79999999999998</v>
      </c>
      <c r="GA80" s="18">
        <f>FZ80*VLOOKUP('Données projet'!$B$17,Paramètres!$A$1:$I$89,3,0)*VLOOKUP('Données projet'!$B$17,Paramètres!$A$1:$I$89,5,0)</f>
        <v>146.17511999999999</v>
      </c>
      <c r="GB80" s="14">
        <f t="shared" si="103"/>
        <v>37.708065541834948</v>
      </c>
      <c r="GC80" s="22">
        <f t="shared" si="79"/>
        <v>320.26321481869581</v>
      </c>
      <c r="GD80" s="62">
        <f t="shared" si="80"/>
        <v>613.59654815202907</v>
      </c>
      <c r="GE80" s="62">
        <f ca="1">AVERAGE(OFFSET($GD$3,0,0,'Données projet'!$E$17+1,1))-AVERAGE(OFFSET($H$3,0,0,'Données projet'!$E$17+1,1))</f>
        <v>280.20599015000306</v>
      </c>
      <c r="GF80" s="62">
        <f t="shared" si="104"/>
        <v>166.97658184507787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4.2307692307692317</v>
      </c>
      <c r="GU80" s="13">
        <f>IF('Données projet'!$A$270&gt;35,GU79+GT80-HC79,IF(A80&lt;'Données projet'!$A$270,$GR$205^A80,IF(A80='Données projet'!$A$270,'Données projet'!$B$270,GU79+GT80-HC79)))</f>
        <v>237.30769230769215</v>
      </c>
      <c r="GV80" s="18">
        <f>GU80*VLOOKUP('Données projet'!$B$18,Paramètres!$A$1:$I$89,3,0)*VLOOKUP('Données projet'!$B$18,Paramètres!$A$1:$I$89,5,0)</f>
        <v>159.18599999999989</v>
      </c>
      <c r="GW80" s="14">
        <f t="shared" si="105"/>
        <v>40.658860968776935</v>
      </c>
      <c r="GX80" s="22">
        <f t="shared" si="82"/>
        <v>348.06313285395299</v>
      </c>
      <c r="GY80" s="62">
        <f t="shared" si="83"/>
        <v>641.39646618728625</v>
      </c>
      <c r="GZ80" s="62">
        <f ca="1">AVERAGE(OFFSET($GY$3,0,0,'Données projet'!$E$18+1,1))-AVERAGE(OFFSET($H$3,0,0,'Données projet'!$E$18+1,1))</f>
        <v>291.18686311753402</v>
      </c>
      <c r="HA80" s="62">
        <f t="shared" si="106"/>
        <v>215.44422413249839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9">
        <f t="shared" si="56"/>
        <v>256.66666666666669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260.02504691866199</v>
      </c>
      <c r="T81" s="62">
        <f t="shared" si="88"/>
        <v>270.11268336406368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3.8682930496689605</v>
      </c>
      <c r="AA81" s="23">
        <f>EXP(-LN(2)/25)*AA80+(1-EXP(-LN(2)/25))/(LN(2)/25)*Calculateur!V81*Calculateur!X81*VLOOKUP('Données projet'!$B$9,Paramètres!$A$1:$I$89,3,0)*0.475*44/12</f>
        <v>4.3432970234695718</v>
      </c>
      <c r="AB81" s="23">
        <f>EXP(-LN(2)/2)*AB80+(1-EXP(-LN(2)/2))/(LN(2)/2)*V81*Y81*VLOOKUP('Données projet'!$B$9,Paramètres!$A$1:$I$89,3,0)*0.475*44/12</f>
        <v>3.7789112007164024E-7</v>
      </c>
      <c r="AC81" s="24">
        <f t="shared" si="57"/>
        <v>8.211590451029652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2">
        <f t="shared" si="59"/>
        <v>884.50869632731633</v>
      </c>
      <c r="AN81" s="62">
        <f ca="1">AVERAGE(OFFSET($AM$3,0,0,'Données projet'!$E$10+1,1))-AVERAGE(OFFSET($H$3,0,0,'Données projet'!$E$10+1,1))</f>
        <v>475.47920969424894</v>
      </c>
      <c r="AO81" s="62">
        <f t="shared" si="90"/>
        <v>271.73544012419364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244.29599999999991</v>
      </c>
      <c r="BF81" s="14">
        <f t="shared" si="91"/>
        <v>59.362879241040318</v>
      </c>
      <c r="BG81" s="22">
        <f t="shared" si="61"/>
        <v>528.87254801147833</v>
      </c>
      <c r="BH81" s="62">
        <f t="shared" si="62"/>
        <v>822.20588134481159</v>
      </c>
      <c r="BI81" s="62">
        <f ca="1">AVERAGE(OFFSET($BH$3,0,0,'Données projet'!$E$11+1,1))-AVERAGE(OFFSET($H$3,0,0,'Données projet'!$E$11+1,1))</f>
        <v>428.8489304403459</v>
      </c>
      <c r="BJ81" s="62">
        <f t="shared" si="92"/>
        <v>247.01165577562966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3.6</v>
      </c>
      <c r="BY81" s="13">
        <f>IF('Données projet'!$A$114&gt;35,BY80+BX81-CG80,IF(A81&lt;'Données projet'!$A$114,$BV$205^A81,IF(A81='Données projet'!$A$114,'Données projet'!$B$114,BY80+BX81-CG80)))</f>
        <v>184.79999999999987</v>
      </c>
      <c r="BZ81" s="14">
        <f>BY81*VLOOKUP('Données projet'!$B$12,Paramètres!$A$1:$I$89,3,0)*VLOOKUP('Données projet'!$B$12,Paramètres!$A$1:$I$89,5,0)</f>
        <v>149.90975999999989</v>
      </c>
      <c r="CA81" s="14">
        <f t="shared" si="93"/>
        <v>38.558077538852132</v>
      </c>
      <c r="CB81" s="22">
        <f t="shared" si="64"/>
        <v>328.24815038016726</v>
      </c>
      <c r="CC81" s="62">
        <f t="shared" si="65"/>
        <v>621.58148371350057</v>
      </c>
      <c r="CD81" s="62">
        <f ca="1">AVERAGE(OFFSET($CC$3,0,0,'Données projet'!$E$12+1,1))-AVERAGE(OFFSET($H$3,0,0,'Données projet'!$E$12+1,1))</f>
        <v>236.22643401787644</v>
      </c>
      <c r="CE81" s="62">
        <f t="shared" si="94"/>
        <v>188.80444043778022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9.001923076923072</v>
      </c>
      <c r="CT81" s="13">
        <f>IF('Données projet'!$A$140&gt;35,CT80+CS81-DB80,IF(A81&lt;'Données projet'!$A$140,$CQ$205^A81,IF(A81='Données projet'!$A$140,'Données projet'!$B$140,CT80+CS81-DB80)))</f>
        <v>302.12115384615402</v>
      </c>
      <c r="CU81" s="18">
        <f>CT81*VLOOKUP('Données projet'!$B$13,Paramètres!$A$1:$I$89,3,0)*VLOOKUP('Données projet'!$B$13,Paramètres!$A$1:$I$89,5,0)</f>
        <v>141.39270000000008</v>
      </c>
      <c r="CV81" s="14">
        <f t="shared" si="95"/>
        <v>36.615869470582759</v>
      </c>
      <c r="CW81" s="22">
        <f t="shared" si="67"/>
        <v>310.03159182793178</v>
      </c>
      <c r="CX81" s="62">
        <f t="shared" si="68"/>
        <v>603.36492516126509</v>
      </c>
      <c r="CY81" s="62">
        <f ca="1">AVERAGE(OFFSET($CX$3,0,0,'Données projet'!$E$13+1,1))-AVERAGE(OFFSET($H$3,0,0,'Données projet'!$E$13+1,1))</f>
        <v>246.73711856758143</v>
      </c>
      <c r="CZ81" s="62">
        <f t="shared" si="96"/>
        <v>145.54897745089966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4.3589743589743648</v>
      </c>
      <c r="DO81" s="13">
        <f>IF('Données projet'!$A$166&gt;35,DO80+DN81-DW80,IF(A81&lt;'Données projet'!$A$166,$DL$205^A81,IF(A81='Données projet'!$A$166,'Données projet'!$B$166,DO80+DN81-DW80)))</f>
        <v>270.7692307692306</v>
      </c>
      <c r="DP81" s="18">
        <f>DO81*VLOOKUP('Données projet'!$B$14,Paramètres!$A$1:$I$89,3,0)*VLOOKUP('Données projet'!$B$14,Paramètres!$A$1:$I$89,5,0)</f>
        <v>283.00799999999987</v>
      </c>
      <c r="DQ81" s="14">
        <f t="shared" si="97"/>
        <v>67.602289883832427</v>
      </c>
      <c r="DR81" s="22">
        <f t="shared" si="70"/>
        <v>610.64625488100796</v>
      </c>
      <c r="DS81" s="62">
        <f t="shared" si="71"/>
        <v>903.97958821434122</v>
      </c>
      <c r="DT81" s="62">
        <f ca="1">AVERAGE(OFFSET($DS$3,0,0,'Données projet'!$E$14+1,1))-AVERAGE(OFFSET($H$3,0,0,'Données projet'!$E$14+1,1))</f>
        <v>493.70175665335978</v>
      </c>
      <c r="DU81" s="62">
        <f t="shared" si="98"/>
        <v>325.12357781685949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1.8</v>
      </c>
      <c r="EJ81" s="13">
        <f>IF('Données projet'!$A$192&gt;35,EJ80+EI81-ER80,IF(A81&lt;'Données projet'!$A$192,$EG$205^A81,IF(A81='Données projet'!$A$192,'Données projet'!$B$192,EJ80+EI81-ER80)))</f>
        <v>160.39999999999981</v>
      </c>
      <c r="EK81" s="18">
        <f>EJ81*VLOOKUP('Données projet'!$B$15,Paramètres!$A$1:$I$89,3,0)*VLOOKUP('Données projet'!$B$15,Paramètres!$A$1:$I$89,5,0)</f>
        <v>140.12543999999986</v>
      </c>
      <c r="EL81" s="14">
        <f t="shared" si="99"/>
        <v>36.325740539490781</v>
      </c>
      <c r="EM81" s="22">
        <f t="shared" si="73"/>
        <v>307.3191394396128</v>
      </c>
      <c r="EN81" s="62">
        <f t="shared" si="74"/>
        <v>600.65247277294611</v>
      </c>
      <c r="EO81" s="62">
        <f ca="1">AVERAGE(OFFSET($EN$3,0,0,'Données projet'!$E$15+1,1))-AVERAGE(OFFSET($H$3,0,0,'Données projet'!$E$15+1,1))</f>
        <v>202.86354781280403</v>
      </c>
      <c r="EP81" s="62">
        <f t="shared" si="100"/>
        <v>217.25323885665131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3.8461538461538511</v>
      </c>
      <c r="FE81" s="13">
        <f>IF('Données projet'!$A$218&gt;35,FE80+FD81-FM80,IF(A81&lt;'Données projet'!$A$218,$FB$205^A81,IF(A81='Données projet'!$A$218,'Données projet'!$B$218,FE80+FD81-FM80)))</f>
        <v>198.71794871794862</v>
      </c>
      <c r="FF81" s="18">
        <f>FE81*VLOOKUP('Données projet'!$B$16,Paramètres!$A$1:$I$89,3,0)*VLOOKUP('Données projet'!$B$16,Paramètres!$A$1:$I$89,5,0)</f>
        <v>189.09999999999991</v>
      </c>
      <c r="FG81" s="14">
        <f t="shared" si="101"/>
        <v>47.340920677804583</v>
      </c>
      <c r="FH81" s="22">
        <f t="shared" si="76"/>
        <v>411.80127018050945</v>
      </c>
      <c r="FI81" s="62">
        <f t="shared" si="77"/>
        <v>705.13460351384276</v>
      </c>
      <c r="FJ81" s="62">
        <f ca="1">AVERAGE(OFFSET($FI$3,0,0,'Données projet'!$E$16+1,1))-AVERAGE(OFFSET($H$3,0,0,'Données projet'!$E$16+1,1))</f>
        <v>353.61481736740694</v>
      </c>
      <c r="FK81" s="62">
        <f t="shared" si="102"/>
        <v>244.7141066773861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3.4</v>
      </c>
      <c r="FZ81" s="13">
        <f>IF('Données projet'!$A$244&gt;35,FZ80+FY81-GH80,IF(A81&lt;'Données projet'!$A$244,$FW$205^A81,IF(A81='Données projet'!$A$244,'Données projet'!$B$244,FZ80+FY81-GH80)))</f>
        <v>139.19999999999999</v>
      </c>
      <c r="GA81" s="18">
        <f>FZ81*VLOOKUP('Données projet'!$B$17,Paramètres!$A$1:$I$89,3,0)*VLOOKUP('Données projet'!$B$17,Paramètres!$A$1:$I$89,5,0)</f>
        <v>149.83488</v>
      </c>
      <c r="GB81" s="14">
        <f t="shared" si="103"/>
        <v>38.541059103316854</v>
      </c>
      <c r="GC81" s="22">
        <f t="shared" si="79"/>
        <v>328.08809393827681</v>
      </c>
      <c r="GD81" s="62">
        <f t="shared" si="80"/>
        <v>621.42142727161013</v>
      </c>
      <c r="GE81" s="62">
        <f ca="1">AVERAGE(OFFSET($GD$3,0,0,'Données projet'!$E$17+1,1))-AVERAGE(OFFSET($H$3,0,0,'Données projet'!$E$17+1,1))</f>
        <v>280.20599015000306</v>
      </c>
      <c r="GF81" s="62">
        <f t="shared" si="104"/>
        <v>166.97658184507787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4.2307692307692317</v>
      </c>
      <c r="GU81" s="13">
        <f>IF('Données projet'!$A$270&gt;35,GU80+GT81-HC80,IF(A81&lt;'Données projet'!$A$270,$GR$205^A81,IF(A81='Données projet'!$A$270,'Données projet'!$B$270,GU80+GT81-HC80)))</f>
        <v>241.53846153846138</v>
      </c>
      <c r="GV81" s="18">
        <f>GU81*VLOOKUP('Données projet'!$B$18,Paramètres!$A$1:$I$89,3,0)*VLOOKUP('Données projet'!$B$18,Paramètres!$A$1:$I$89,5,0)</f>
        <v>162.02399999999989</v>
      </c>
      <c r="GW81" s="14">
        <f t="shared" si="105"/>
        <v>41.298699725174792</v>
      </c>
      <c r="GX81" s="22">
        <f t="shared" si="82"/>
        <v>354.12036868801255</v>
      </c>
      <c r="GY81" s="62">
        <f t="shared" si="83"/>
        <v>647.45370202134586</v>
      </c>
      <c r="GZ81" s="62">
        <f ca="1">AVERAGE(OFFSET($GY$3,0,0,'Données projet'!$E$18+1,1))-AVERAGE(OFFSET($H$3,0,0,'Données projet'!$E$18+1,1))</f>
        <v>291.18686311753402</v>
      </c>
      <c r="HA81" s="62">
        <f t="shared" si="106"/>
        <v>215.44422413249839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9">
        <f t="shared" si="56"/>
        <v>256.66666666666669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260.02504691866199</v>
      </c>
      <c r="T82" s="62">
        <f t="shared" si="88"/>
        <v>270.11268336406368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3.7924381823907387</v>
      </c>
      <c r="AA82" s="23">
        <f>EXP(-LN(2)/25)*AA81+(1-EXP(-LN(2)/25))/(LN(2)/25)*Calculateur!V82*Calculateur!X82*VLOOKUP('Données projet'!$B$9,Paramètres!$A$1:$I$89,3,0)*0.475*44/12</f>
        <v>4.2245293379587325</v>
      </c>
      <c r="AB82" s="23">
        <f>EXP(-LN(2)/2)*AB81+(1-EXP(-LN(2)/2))/(LN(2)/2)*V82*Y82*VLOOKUP('Données projet'!$B$9,Paramètres!$A$1:$I$89,3,0)*0.475*44/12</f>
        <v>2.6720937355283667E-7</v>
      </c>
      <c r="AC82" s="24">
        <f t="shared" si="57"/>
        <v>8.0169677875588441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2">
        <f t="shared" si="59"/>
        <v>897.34728231686381</v>
      </c>
      <c r="AN82" s="62">
        <f ca="1">AVERAGE(OFFSET($AM$3,0,0,'Données projet'!$E$10+1,1))-AVERAGE(OFFSET($H$3,0,0,'Données projet'!$E$10+1,1))</f>
        <v>475.47920969424894</v>
      </c>
      <c r="AO82" s="62">
        <f t="shared" si="90"/>
        <v>271.73544012419364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249.7247999999999</v>
      </c>
      <c r="BF82" s="14">
        <f t="shared" si="91"/>
        <v>60.527007137298092</v>
      </c>
      <c r="BG82" s="22">
        <f t="shared" si="61"/>
        <v>540.35523076412733</v>
      </c>
      <c r="BH82" s="62">
        <f t="shared" si="62"/>
        <v>833.68856409746058</v>
      </c>
      <c r="BI82" s="62">
        <f ca="1">AVERAGE(OFFSET($BH$3,0,0,'Données projet'!$E$11+1,1))-AVERAGE(OFFSET($H$3,0,0,'Données projet'!$E$11+1,1))</f>
        <v>428.8489304403459</v>
      </c>
      <c r="BJ82" s="62">
        <f t="shared" si="92"/>
        <v>247.01165577562966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3.6</v>
      </c>
      <c r="BY82" s="13">
        <f>IF('Données projet'!$A$114&gt;35,BY81+BX82-CG81,IF(A82&lt;'Données projet'!$A$114,$BV$205^A82,IF(A82='Données projet'!$A$114,'Données projet'!$B$114,BY81+BX82-CG81)))</f>
        <v>188.39999999999986</v>
      </c>
      <c r="BZ82" s="14">
        <f>BY82*VLOOKUP('Données projet'!$B$12,Paramètres!$A$1:$I$89,3,0)*VLOOKUP('Données projet'!$B$12,Paramètres!$A$1:$I$89,5,0)</f>
        <v>152.8300799999999</v>
      </c>
      <c r="CA82" s="14">
        <f t="shared" si="93"/>
        <v>39.221030145920402</v>
      </c>
      <c r="CB82" s="22">
        <f t="shared" si="64"/>
        <v>334.48901683747783</v>
      </c>
      <c r="CC82" s="62">
        <f t="shared" si="65"/>
        <v>627.82235017081121</v>
      </c>
      <c r="CD82" s="62">
        <f ca="1">AVERAGE(OFFSET($CC$3,0,0,'Données projet'!$E$12+1,1))-AVERAGE(OFFSET($H$3,0,0,'Données projet'!$E$12+1,1))</f>
        <v>236.22643401787644</v>
      </c>
      <c r="CE82" s="62">
        <f t="shared" si="94"/>
        <v>188.80444043778022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9.001923076923072</v>
      </c>
      <c r="CT82" s="13">
        <f>IF('Données projet'!$A$140&gt;35,CT81+CS82-DB81,IF(A82&lt;'Données projet'!$A$140,$CQ$205^A82,IF(A82='Données projet'!$A$140,'Données projet'!$B$140,CT81+CS82-DB81)))</f>
        <v>311.12307692307706</v>
      </c>
      <c r="CU82" s="18">
        <f>CT82*VLOOKUP('Données projet'!$B$13,Paramètres!$A$1:$I$89,3,0)*VLOOKUP('Données projet'!$B$13,Paramètres!$A$1:$I$89,5,0)</f>
        <v>145.60560000000007</v>
      </c>
      <c r="CV82" s="14">
        <f t="shared" si="95"/>
        <v>37.578220882267097</v>
      </c>
      <c r="CW82" s="22">
        <f t="shared" si="67"/>
        <v>319.04515470328198</v>
      </c>
      <c r="CX82" s="62">
        <f t="shared" si="68"/>
        <v>612.37848803661529</v>
      </c>
      <c r="CY82" s="62">
        <f ca="1">AVERAGE(OFFSET($CX$3,0,0,'Données projet'!$E$13+1,1))-AVERAGE(OFFSET($H$3,0,0,'Données projet'!$E$13+1,1))</f>
        <v>246.73711856758143</v>
      </c>
      <c r="CZ82" s="62">
        <f t="shared" si="96"/>
        <v>145.54897745089966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4.3589743589743648</v>
      </c>
      <c r="DO82" s="13">
        <f>IF('Données projet'!$A$166&gt;35,DO81+DN82-DW81,IF(A82&lt;'Données projet'!$A$166,$DL$205^A82,IF(A82='Données projet'!$A$166,'Données projet'!$B$166,DO81+DN82-DW81)))</f>
        <v>275.12820512820497</v>
      </c>
      <c r="DP82" s="18">
        <f>DO82*VLOOKUP('Données projet'!$B$14,Paramètres!$A$1:$I$89,3,0)*VLOOKUP('Données projet'!$B$14,Paramètres!$A$1:$I$89,5,0)</f>
        <v>287.56399999999985</v>
      </c>
      <c r="DQ82" s="14">
        <f t="shared" si="97"/>
        <v>68.563011232963589</v>
      </c>
      <c r="DR82" s="22">
        <f t="shared" si="70"/>
        <v>620.25454456407806</v>
      </c>
      <c r="DS82" s="62">
        <f t="shared" si="71"/>
        <v>913.58787789741132</v>
      </c>
      <c r="DT82" s="62">
        <f ca="1">AVERAGE(OFFSET($DS$3,0,0,'Données projet'!$E$14+1,1))-AVERAGE(OFFSET($H$3,0,0,'Données projet'!$E$14+1,1))</f>
        <v>493.70175665335978</v>
      </c>
      <c r="DU82" s="62">
        <f t="shared" si="98"/>
        <v>325.12357781685949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1.8</v>
      </c>
      <c r="EJ82" s="13">
        <f>IF('Données projet'!$A$192&gt;35,EJ81+EI82-ER81,IF(A82&lt;'Données projet'!$A$192,$EG$205^A82,IF(A82='Données projet'!$A$192,'Données projet'!$B$192,EJ81+EI82-ER81)))</f>
        <v>162.19999999999982</v>
      </c>
      <c r="EK82" s="18">
        <f>EJ82*VLOOKUP('Données projet'!$B$15,Paramètres!$A$1:$I$89,3,0)*VLOOKUP('Données projet'!$B$15,Paramètres!$A$1:$I$89,5,0)</f>
        <v>141.69791999999987</v>
      </c>
      <c r="EL82" s="14">
        <f t="shared" si="99"/>
        <v>36.685701801209326</v>
      </c>
      <c r="EM82" s="22">
        <f t="shared" si="73"/>
        <v>310.68480797043929</v>
      </c>
      <c r="EN82" s="62">
        <f t="shared" si="74"/>
        <v>604.01814130377261</v>
      </c>
      <c r="EO82" s="62">
        <f ca="1">AVERAGE(OFFSET($EN$3,0,0,'Données projet'!$E$15+1,1))-AVERAGE(OFFSET($H$3,0,0,'Données projet'!$E$15+1,1))</f>
        <v>202.86354781280403</v>
      </c>
      <c r="EP82" s="62">
        <f t="shared" si="100"/>
        <v>217.25323885665131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3.8461538461538511</v>
      </c>
      <c r="FE82" s="13">
        <f>IF('Données projet'!$A$218&gt;35,FE81+FD82-FM81,IF(A82&lt;'Données projet'!$A$218,$FB$205^A82,IF(A82='Données projet'!$A$218,'Données projet'!$B$218,FE81+FD82-FM81)))</f>
        <v>202.56410256410246</v>
      </c>
      <c r="FF82" s="18">
        <f>FE82*VLOOKUP('Données projet'!$B$16,Paramètres!$A$1:$I$89,3,0)*VLOOKUP('Données projet'!$B$16,Paramètres!$A$1:$I$89,5,0)</f>
        <v>192.75999999999991</v>
      </c>
      <c r="FG82" s="14">
        <f t="shared" si="101"/>
        <v>48.149636551965187</v>
      </c>
      <c r="FH82" s="22">
        <f t="shared" si="76"/>
        <v>419.58428366133921</v>
      </c>
      <c r="FI82" s="62">
        <f t="shared" si="77"/>
        <v>712.91761699467247</v>
      </c>
      <c r="FJ82" s="62">
        <f ca="1">AVERAGE(OFFSET($FI$3,0,0,'Données projet'!$E$16+1,1))-AVERAGE(OFFSET($H$3,0,0,'Données projet'!$E$16+1,1))</f>
        <v>353.61481736740694</v>
      </c>
      <c r="FK82" s="62">
        <f t="shared" si="102"/>
        <v>244.7141066773861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3.4</v>
      </c>
      <c r="FZ82" s="13">
        <f>IF('Données projet'!$A$244&gt;35,FZ81+FY82-GH81,IF(A82&lt;'Données projet'!$A$244,$FW$205^A82,IF(A82='Données projet'!$A$244,'Données projet'!$B$244,FZ81+FY82-GH81)))</f>
        <v>142.6</v>
      </c>
      <c r="GA82" s="18">
        <f>FZ82*VLOOKUP('Données projet'!$B$17,Paramètres!$A$1:$I$89,3,0)*VLOOKUP('Données projet'!$B$17,Paramètres!$A$1:$I$89,5,0)</f>
        <v>153.49464</v>
      </c>
      <c r="GB82" s="14">
        <f t="shared" si="103"/>
        <v>39.371687492841382</v>
      </c>
      <c r="GC82" s="22">
        <f t="shared" si="79"/>
        <v>335.90885371669873</v>
      </c>
      <c r="GD82" s="62">
        <f t="shared" si="80"/>
        <v>629.24218705003204</v>
      </c>
      <c r="GE82" s="62">
        <f ca="1">AVERAGE(OFFSET($GD$3,0,0,'Données projet'!$E$17+1,1))-AVERAGE(OFFSET($H$3,0,0,'Données projet'!$E$17+1,1))</f>
        <v>280.20599015000306</v>
      </c>
      <c r="GF82" s="62">
        <f t="shared" si="104"/>
        <v>166.97658184507787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4.2307692307692317</v>
      </c>
      <c r="GU82" s="13">
        <f>IF('Données projet'!$A$270&gt;35,GU81+GT82-HC81,IF(A82&lt;'Données projet'!$A$270,$GR$205^A82,IF(A82='Données projet'!$A$270,'Données projet'!$B$270,GU81+GT82-HC81)))</f>
        <v>245.7692307692306</v>
      </c>
      <c r="GV82" s="18">
        <f>GU82*VLOOKUP('Données projet'!$B$18,Paramètres!$A$1:$I$89,3,0)*VLOOKUP('Données projet'!$B$18,Paramètres!$A$1:$I$89,5,0)</f>
        <v>164.86199999999988</v>
      </c>
      <c r="GW82" s="14">
        <f t="shared" si="105"/>
        <v>41.937235202605173</v>
      </c>
      <c r="GX82" s="22">
        <f t="shared" si="82"/>
        <v>360.17533464453709</v>
      </c>
      <c r="GY82" s="62">
        <f t="shared" si="83"/>
        <v>653.50866797787035</v>
      </c>
      <c r="GZ82" s="62">
        <f ca="1">AVERAGE(OFFSET($GY$3,0,0,'Données projet'!$E$18+1,1))-AVERAGE(OFFSET($H$3,0,0,'Données projet'!$E$18+1,1))</f>
        <v>291.18686311753402</v>
      </c>
      <c r="HA82" s="62">
        <f t="shared" si="106"/>
        <v>215.44422413249839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9">
        <f t="shared" si="56"/>
        <v>256.66666666666669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260.02504691866199</v>
      </c>
      <c r="T83" s="62">
        <f t="shared" si="88"/>
        <v>270.11268336406368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3.718070782792942</v>
      </c>
      <c r="AA83" s="23">
        <f>EXP(-LN(2)/25)*AA82+(1-EXP(-LN(2)/25))/(LN(2)/25)*Calculateur!V83*Calculateur!X83*VLOOKUP('Données projet'!$B$9,Paramètres!$A$1:$I$89,3,0)*0.475*44/12</f>
        <v>4.109009361053908</v>
      </c>
      <c r="AB83" s="23">
        <f>EXP(-LN(2)/2)*AB82+(1-EXP(-LN(2)/2))/(LN(2)/2)*V83*Y83*VLOOKUP('Données projet'!$B$9,Paramètres!$A$1:$I$89,3,0)*0.475*44/12</f>
        <v>1.8894556003582012E-7</v>
      </c>
      <c r="AC83" s="24">
        <f t="shared" si="57"/>
        <v>7.8270803327924092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2">
        <f t="shared" si="59"/>
        <v>910.18020104887296</v>
      </c>
      <c r="AN83" s="62">
        <f ca="1">AVERAGE(OFFSET($AM$3,0,0,'Données projet'!$E$10+1,1))-AVERAGE(OFFSET($H$3,0,0,'Données projet'!$E$10+1,1))</f>
        <v>475.47920969424894</v>
      </c>
      <c r="AO83" s="62">
        <f t="shared" si="90"/>
        <v>271.73544012419364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255.15359999999987</v>
      </c>
      <c r="BF83" s="14">
        <f t="shared" si="91"/>
        <v>61.688192762754376</v>
      </c>
      <c r="BG83" s="22">
        <f t="shared" si="61"/>
        <v>551.83278906179692</v>
      </c>
      <c r="BH83" s="62">
        <f t="shared" si="62"/>
        <v>845.16612239513029</v>
      </c>
      <c r="BI83" s="62">
        <f ca="1">AVERAGE(OFFSET($BH$3,0,0,'Données projet'!$E$11+1,1))-AVERAGE(OFFSET($H$3,0,0,'Données projet'!$E$11+1,1))</f>
        <v>428.8489304403459</v>
      </c>
      <c r="BJ83" s="62">
        <f t="shared" si="92"/>
        <v>247.01165577562966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192</v>
      </c>
      <c r="BW83" s="13">
        <f>VLOOKUP(A83,'Données projet'!$A$113:$I$133,9,0)</f>
        <v>3.6</v>
      </c>
      <c r="BX83" s="13">
        <f t="array" ref="BX83">INDEX(BW:BW,MIN(IF(ISNUMBER(BW83:BW279),ROW(BW83:BW279),"")))</f>
        <v>3.6</v>
      </c>
      <c r="BY83" s="13">
        <f>IF('Données projet'!$A$114&gt;35,BY82+BX83-CG82,IF(A83&lt;'Données projet'!$A$114,$BV$205^A83,IF(A83='Données projet'!$A$114,'Données projet'!$B$114,BY82+BX83-CG82)))</f>
        <v>191.99999999999986</v>
      </c>
      <c r="BZ83" s="14">
        <f>BY83*VLOOKUP('Données projet'!$B$12,Paramètres!$A$1:$I$89,3,0)*VLOOKUP('Données projet'!$B$12,Paramètres!$A$1:$I$89,5,0)</f>
        <v>155.7503999999999</v>
      </c>
      <c r="CA83" s="14">
        <f t="shared" si="93"/>
        <v>39.882509755133754</v>
      </c>
      <c r="CB83" s="22">
        <f t="shared" si="64"/>
        <v>340.7273178235244</v>
      </c>
      <c r="CC83" s="62">
        <f t="shared" si="65"/>
        <v>634.06065115685772</v>
      </c>
      <c r="CD83" s="62">
        <f ca="1">AVERAGE(OFFSET($CC$3,0,0,'Données projet'!$E$12+1,1))-AVERAGE(OFFSET($H$3,0,0,'Données projet'!$E$12+1,1))</f>
        <v>236.22643401787644</v>
      </c>
      <c r="CE83" s="62">
        <f t="shared" si="94"/>
        <v>188.80444043778022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9.001923076923072</v>
      </c>
      <c r="CT83" s="13">
        <f>IF('Données projet'!$A$140&gt;35,CT82+CS83-DB82,IF(A83&lt;'Données projet'!$A$140,$CQ$205^A83,IF(A83='Données projet'!$A$140,'Données projet'!$B$140,CT82+CS83-DB82)))</f>
        <v>320.12500000000011</v>
      </c>
      <c r="CU83" s="18">
        <f>CT83*VLOOKUP('Données projet'!$B$13,Paramètres!$A$1:$I$89,3,0)*VLOOKUP('Données projet'!$B$13,Paramètres!$A$1:$I$89,5,0)</f>
        <v>149.81850000000006</v>
      </c>
      <c r="CV83" s="14">
        <f t="shared" si="95"/>
        <v>38.537336188594026</v>
      </c>
      <c r="CW83" s="22">
        <f t="shared" si="67"/>
        <v>328.05308136180139</v>
      </c>
      <c r="CX83" s="62">
        <f t="shared" si="68"/>
        <v>621.3864146951347</v>
      </c>
      <c r="CY83" s="62">
        <f ca="1">AVERAGE(OFFSET($CX$3,0,0,'Données projet'!$E$13+1,1))-AVERAGE(OFFSET($H$3,0,0,'Données projet'!$E$13+1,1))</f>
        <v>246.73711856758143</v>
      </c>
      <c r="CZ83" s="62">
        <f t="shared" si="96"/>
        <v>145.54897745089966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279.4871794871795</v>
      </c>
      <c r="DM83" s="13">
        <f>VLOOKUP(A83,'Données projet'!$A$165:$I$185,9,0)</f>
        <v>4.3589743589743648</v>
      </c>
      <c r="DN83" s="13">
        <f t="array" ref="DN83">INDEX(DM:DM,MIN(IF(ISNUMBER(DM83:DM279),ROW(DM83:DM279),"")))</f>
        <v>4.3589743589743648</v>
      </c>
      <c r="DO83" s="13">
        <f>IF('Données projet'!$A$166&gt;35,DO82+DN83-DW82,IF(A83&lt;'Données projet'!$A$166,$DL$205^A83,IF(A83='Données projet'!$A$166,'Données projet'!$B$166,DO82+DN83-DW82)))</f>
        <v>279.48717948717933</v>
      </c>
      <c r="DP83" s="18">
        <f>DO83*VLOOKUP('Données projet'!$B$14,Paramètres!$A$1:$I$89,3,0)*VLOOKUP('Données projet'!$B$14,Paramètres!$A$1:$I$89,5,0)</f>
        <v>292.11999999999989</v>
      </c>
      <c r="DQ83" s="14">
        <f t="shared" si="97"/>
        <v>69.521962397994116</v>
      </c>
      <c r="DR83" s="22">
        <f t="shared" si="70"/>
        <v>629.85975117650617</v>
      </c>
      <c r="DS83" s="62">
        <f t="shared" si="71"/>
        <v>923.19308450983954</v>
      </c>
      <c r="DT83" s="62">
        <f ca="1">AVERAGE(OFFSET($DS$3,0,0,'Données projet'!$E$14+1,1))-AVERAGE(OFFSET($H$3,0,0,'Données projet'!$E$14+1,1))</f>
        <v>493.70175665335978</v>
      </c>
      <c r="DU83" s="62">
        <f t="shared" si="98"/>
        <v>325.12357781685949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22.435897435897434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164</v>
      </c>
      <c r="EH83" s="13">
        <f>VLOOKUP(A83,'Données projet'!$A$191:$I$211,9,0)</f>
        <v>1.8</v>
      </c>
      <c r="EI83" s="13">
        <f t="array" ref="EI83">INDEX(EH:EH,MIN(IF(ISNUMBER(EH83:EH279),ROW(EH83:EH279),"")))</f>
        <v>1.8</v>
      </c>
      <c r="EJ83" s="13">
        <f>IF('Données projet'!$A$192&gt;35,EJ82+EI83-ER82,IF(A83&lt;'Données projet'!$A$192,$EG$205^A83,IF(A83='Données projet'!$A$192,'Données projet'!$B$192,EJ82+EI83-ER82)))</f>
        <v>163.99999999999983</v>
      </c>
      <c r="EK83" s="18">
        <f>EJ83*VLOOKUP('Données projet'!$B$15,Paramètres!$A$1:$I$89,3,0)*VLOOKUP('Données projet'!$B$15,Paramètres!$A$1:$I$89,5,0)</f>
        <v>143.27039999999988</v>
      </c>
      <c r="EL83" s="14">
        <f t="shared" si="99"/>
        <v>37.045198377171275</v>
      </c>
      <c r="EM83" s="22">
        <f t="shared" si="73"/>
        <v>314.04966717357314</v>
      </c>
      <c r="EN83" s="62">
        <f t="shared" si="74"/>
        <v>607.38300050690646</v>
      </c>
      <c r="EO83" s="62">
        <f ca="1">AVERAGE(OFFSET($EN$3,0,0,'Données projet'!$E$15+1,1))-AVERAGE(OFFSET($H$3,0,0,'Données projet'!$E$15+1,1))</f>
        <v>202.86354781280403</v>
      </c>
      <c r="EP83" s="62">
        <f t="shared" si="100"/>
        <v>217.25323885665131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164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206.41025641025641</v>
      </c>
      <c r="FC83" s="13">
        <f>VLOOKUP(A83,'Données projet'!$A$217:$I$237,9,0)</f>
        <v>3.8461538461538511</v>
      </c>
      <c r="FD83" s="13">
        <f t="array" ref="FD83">INDEX(FC:FC,MIN(IF(ISNUMBER(FC83:FC279),ROW(FC83:FC279),"")))</f>
        <v>3.8461538461538511</v>
      </c>
      <c r="FE83" s="13">
        <f>IF('Données projet'!$A$218&gt;35,FE82+FD83-FM82,IF(A83&lt;'Données projet'!$A$218,$FB$205^A83,IF(A83='Données projet'!$A$218,'Données projet'!$B$218,FE82+FD83-FM82)))</f>
        <v>206.4102564102563</v>
      </c>
      <c r="FF83" s="18">
        <f>FE83*VLOOKUP('Données projet'!$B$16,Paramètres!$A$1:$I$89,3,0)*VLOOKUP('Données projet'!$B$16,Paramètres!$A$1:$I$89,5,0)</f>
        <v>196.4199999999999</v>
      </c>
      <c r="FG83" s="14">
        <f t="shared" si="101"/>
        <v>48.956566921958114</v>
      </c>
      <c r="FH83" s="22">
        <f t="shared" si="76"/>
        <v>427.3641873890769</v>
      </c>
      <c r="FI83" s="62">
        <f t="shared" si="77"/>
        <v>720.69752072241022</v>
      </c>
      <c r="FJ83" s="62">
        <f ca="1">AVERAGE(OFFSET($FI$3,0,0,'Données projet'!$E$16+1,1))-AVERAGE(OFFSET($H$3,0,0,'Données projet'!$E$16+1,1))</f>
        <v>353.61481736740694</v>
      </c>
      <c r="FK83" s="62">
        <f t="shared" si="102"/>
        <v>244.7141066773861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146</v>
      </c>
      <c r="FX83" s="13">
        <f>VLOOKUP(A83,'Données projet'!$A$243:$I$263,9,0)</f>
        <v>3.4</v>
      </c>
      <c r="FY83" s="13">
        <f t="array" ref="FY83">INDEX(FX:FX,MIN(IF(ISNUMBER(FX83:FX279),ROW(FX83:FX279),"")))</f>
        <v>3.4</v>
      </c>
      <c r="FZ83" s="13">
        <f>IF('Données projet'!$A$244&gt;35,FZ82+FY83-GH82,IF(A83&lt;'Données projet'!$A$244,$FW$205^A83,IF(A83='Données projet'!$A$244,'Données projet'!$B$244,FZ82+FY83-GH82)))</f>
        <v>146</v>
      </c>
      <c r="GA83" s="18">
        <f>FZ83*VLOOKUP('Données projet'!$B$17,Paramètres!$A$1:$I$89,3,0)*VLOOKUP('Données projet'!$B$17,Paramètres!$A$1:$I$89,5,0)</f>
        <v>157.15440000000001</v>
      </c>
      <c r="GB83" s="14">
        <f t="shared" si="103"/>
        <v>40.200013591870956</v>
      </c>
      <c r="GC83" s="22">
        <f t="shared" si="79"/>
        <v>343.72560367250861</v>
      </c>
      <c r="GD83" s="62">
        <f t="shared" si="80"/>
        <v>637.05893700584193</v>
      </c>
      <c r="GE83" s="62">
        <f ca="1">AVERAGE(OFFSET($GD$3,0,0,'Données projet'!$E$17+1,1))-AVERAGE(OFFSET($H$3,0,0,'Données projet'!$E$17+1,1))</f>
        <v>280.20599015000306</v>
      </c>
      <c r="GF83" s="62">
        <f t="shared" si="104"/>
        <v>166.97658184507787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250</v>
      </c>
      <c r="GS83" s="13">
        <f>VLOOKUP(A83,'Données projet'!$A$269:$I$289,9,0)</f>
        <v>4.2307692307692317</v>
      </c>
      <c r="GT83" s="13">
        <f t="array" ref="GT83">INDEX(GS:GS,MIN(IF(ISNUMBER(GS83:GS279),ROW(GS83:GS279),"")))</f>
        <v>4.2307692307692317</v>
      </c>
      <c r="GU83" s="13">
        <f>IF('Données projet'!$A$270&gt;35,GU82+GT83-HC82,IF(A83&lt;'Données projet'!$A$270,$GR$205^A83,IF(A83='Données projet'!$A$270,'Données projet'!$B$270,GU82+GT83-HC82)))</f>
        <v>249.99999999999983</v>
      </c>
      <c r="GV83" s="18">
        <f>GU83*VLOOKUP('Données projet'!$B$18,Paramètres!$A$1:$I$89,3,0)*VLOOKUP('Données projet'!$B$18,Paramètres!$A$1:$I$89,5,0)</f>
        <v>167.6999999999999</v>
      </c>
      <c r="GW83" s="14">
        <f t="shared" si="105"/>
        <v>42.57449242509739</v>
      </c>
      <c r="GX83" s="22">
        <f t="shared" si="82"/>
        <v>366.22807430704444</v>
      </c>
      <c r="GY83" s="62">
        <f t="shared" si="83"/>
        <v>659.56140764037775</v>
      </c>
      <c r="GZ83" s="62">
        <f ca="1">AVERAGE(OFFSET($GY$3,0,0,'Données projet'!$E$18+1,1))-AVERAGE(OFFSET($H$3,0,0,'Données projet'!$E$18+1,1))</f>
        <v>291.18686311753402</v>
      </c>
      <c r="HA83" s="62">
        <f t="shared" si="106"/>
        <v>215.44422413249839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9">
        <f t="shared" si="56"/>
        <v>256.66666666666669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260.02504691866199</v>
      </c>
      <c r="T84" s="62">
        <f t="shared" si="88"/>
        <v>270.11268336406368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3.6451616825416235</v>
      </c>
      <c r="AA84" s="23">
        <f>EXP(-LN(2)/25)*AA83+(1-EXP(-LN(2)/25))/(LN(2)/25)*Calculateur!V84*Calculateur!X84*VLOOKUP('Données projet'!$B$9,Paramètres!$A$1:$I$89,3,0)*0.475*44/12</f>
        <v>3.996648283992478</v>
      </c>
      <c r="AB84" s="23">
        <f>EXP(-LN(2)/2)*AB83+(1-EXP(-LN(2)/2))/(LN(2)/2)*V84*Y84*VLOOKUP('Données projet'!$B$9,Paramètres!$A$1:$I$89,3,0)*0.475*44/12</f>
        <v>1.3360468677641834E-7</v>
      </c>
      <c r="AC84" s="24">
        <f t="shared" si="57"/>
        <v>7.6418101001387875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2">
        <f t="shared" si="59"/>
        <v>832.2370162281502</v>
      </c>
      <c r="AN84" s="62">
        <f ca="1">AVERAGE(OFFSET($AM$3,0,0,'Données projet'!$E$10+1,1))-AVERAGE(OFFSET($H$3,0,0,'Données projet'!$E$10+1,1))</f>
        <v>475.47920969424894</v>
      </c>
      <c r="AO84" s="62">
        <f t="shared" si="90"/>
        <v>271.73544012419364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222.21887999999993</v>
      </c>
      <c r="BF84" s="14">
        <f t="shared" si="91"/>
        <v>54.596866296848852</v>
      </c>
      <c r="BG84" s="22">
        <f t="shared" si="61"/>
        <v>482.12075813367829</v>
      </c>
      <c r="BH84" s="62">
        <f t="shared" si="62"/>
        <v>775.45409146701161</v>
      </c>
      <c r="BI84" s="62">
        <f ca="1">AVERAGE(OFFSET($BH$3,0,0,'Données projet'!$E$11+1,1))-AVERAGE(OFFSET($H$3,0,0,'Données projet'!$E$11+1,1))</f>
        <v>428.8489304403459</v>
      </c>
      <c r="BJ84" s="62">
        <f t="shared" si="92"/>
        <v>247.01165577562966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3.2</v>
      </c>
      <c r="BY84" s="13">
        <f>IF('Données projet'!$A$114&gt;35,BY83+BX84-CG83,IF(A84&lt;'Données projet'!$A$114,$BV$205^A84,IF(A84='Données projet'!$A$114,'Données projet'!$B$114,BY83+BX84-CG83)))</f>
        <v>195.19999999999985</v>
      </c>
      <c r="BZ84" s="14">
        <f>BY84*VLOOKUP('Données projet'!$B$12,Paramètres!$A$1:$I$89,3,0)*VLOOKUP('Données projet'!$B$12,Paramètres!$A$1:$I$89,5,0)</f>
        <v>158.34623999999988</v>
      </c>
      <c r="CA84" s="14">
        <f t="shared" si="93"/>
        <v>40.469279968461166</v>
      </c>
      <c r="CB84" s="22">
        <f t="shared" si="64"/>
        <v>346.27036394506968</v>
      </c>
      <c r="CC84" s="62">
        <f t="shared" si="65"/>
        <v>639.60369727840293</v>
      </c>
      <c r="CD84" s="62">
        <f ca="1">AVERAGE(OFFSET($CC$3,0,0,'Données projet'!$E$12+1,1))-AVERAGE(OFFSET($H$3,0,0,'Données projet'!$E$12+1,1))</f>
        <v>236.22643401787644</v>
      </c>
      <c r="CE84" s="62">
        <f t="shared" si="94"/>
        <v>188.80444043778022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9.001923076923072</v>
      </c>
      <c r="CT84" s="13">
        <f>IF('Données projet'!$A$140&gt;35,CT83+CS84-DB83,IF(A84&lt;'Données projet'!$A$140,$CQ$205^A84,IF(A84='Données projet'!$A$140,'Données projet'!$B$140,CT83+CS84-DB83)))</f>
        <v>329.12692307692316</v>
      </c>
      <c r="CU84" s="18">
        <f>CT84*VLOOKUP('Données projet'!$B$13,Paramètres!$A$1:$I$89,3,0)*VLOOKUP('Données projet'!$B$13,Paramètres!$A$1:$I$89,5,0)</f>
        <v>154.03140000000005</v>
      </c>
      <c r="CV84" s="14">
        <f t="shared" si="95"/>
        <v>39.493316842260505</v>
      </c>
      <c r="CW84" s="22">
        <f t="shared" si="67"/>
        <v>337.05554850027039</v>
      </c>
      <c r="CX84" s="62">
        <f t="shared" si="68"/>
        <v>630.3888818336037</v>
      </c>
      <c r="CY84" s="62">
        <f ca="1">AVERAGE(OFFSET($CX$3,0,0,'Données projet'!$E$13+1,1))-AVERAGE(OFFSET($H$3,0,0,'Données projet'!$E$13+1,1))</f>
        <v>246.73711856758143</v>
      </c>
      <c r="CZ84" s="62">
        <f t="shared" si="96"/>
        <v>145.54897745089966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3.9743589743589722</v>
      </c>
      <c r="DO84" s="13">
        <f>IF('Données projet'!$A$166&gt;35,DO83+DN84-DW83,IF(A84&lt;'Données projet'!$A$166,$DL$205^A84,IF(A84='Données projet'!$A$166,'Données projet'!$B$166,DO83+DN84-DW83)))</f>
        <v>261.02564102564082</v>
      </c>
      <c r="DP84" s="18">
        <f>DO84*VLOOKUP('Données projet'!$B$14,Paramètres!$A$1:$I$89,3,0)*VLOOKUP('Données projet'!$B$14,Paramètres!$A$1:$I$89,5,0)</f>
        <v>272.82399999999984</v>
      </c>
      <c r="DQ84" s="14">
        <f t="shared" si="97"/>
        <v>65.448229947121135</v>
      </c>
      <c r="DR84" s="22">
        <f t="shared" si="70"/>
        <v>589.15746715790237</v>
      </c>
      <c r="DS84" s="62">
        <f t="shared" si="71"/>
        <v>882.49080049123563</v>
      </c>
      <c r="DT84" s="62">
        <f ca="1">AVERAGE(OFFSET($DS$3,0,0,'Données projet'!$E$14+1,1))-AVERAGE(OFFSET($H$3,0,0,'Données projet'!$E$14+1,1))</f>
        <v>493.70175665335978</v>
      </c>
      <c r="DU84" s="62">
        <f t="shared" si="98"/>
        <v>325.12357781685949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-1.7053025658242404E-13</v>
      </c>
      <c r="EK84" s="18">
        <f>EJ84*VLOOKUP('Données projet'!$B$15,Paramètres!$A$1:$I$89,3,0)*VLOOKUP('Données projet'!$B$15,Paramètres!$A$1:$I$89,5,0)</f>
        <v>-1.4897523215040567E-13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202.86354781280403</v>
      </c>
      <c r="EP84" s="62">
        <f t="shared" si="100"/>
        <v>217.25323885665131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3.7179487179487181</v>
      </c>
      <c r="FE84" s="13">
        <f>IF('Données projet'!$A$218&gt;35,FE83+FD84-FM83,IF(A84&lt;'Données projet'!$A$218,$FB$205^A84,IF(A84='Données projet'!$A$218,'Données projet'!$B$218,FE83+FD84-FM83)))</f>
        <v>210.12820512820502</v>
      </c>
      <c r="FF84" s="18">
        <f>FE84*VLOOKUP('Données projet'!$B$16,Paramètres!$A$1:$I$89,3,0)*VLOOKUP('Données projet'!$B$16,Paramètres!$A$1:$I$89,5,0)</f>
        <v>199.95799999999991</v>
      </c>
      <c r="FG84" s="14">
        <f t="shared" si="101"/>
        <v>49.734937283774826</v>
      </c>
      <c r="FH84" s="22">
        <f t="shared" si="76"/>
        <v>434.88186576924096</v>
      </c>
      <c r="FI84" s="62">
        <f t="shared" si="77"/>
        <v>728.21519910257427</v>
      </c>
      <c r="FJ84" s="62">
        <f ca="1">AVERAGE(OFFSET($FI$3,0,0,'Données projet'!$E$16+1,1))-AVERAGE(OFFSET($H$3,0,0,'Données projet'!$E$16+1,1))</f>
        <v>353.61481736740694</v>
      </c>
      <c r="FK84" s="62">
        <f t="shared" si="102"/>
        <v>244.7141066773861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3</v>
      </c>
      <c r="FZ84" s="13">
        <f>IF('Données projet'!$A$244&gt;35,FZ83+FY84-GH83,IF(A84&lt;'Données projet'!$A$244,$FW$205^A84,IF(A84='Données projet'!$A$244,'Données projet'!$B$244,FZ83+FY84-GH83)))</f>
        <v>149</v>
      </c>
      <c r="GA84" s="18">
        <f>FZ84*VLOOKUP('Données projet'!$B$17,Paramètres!$A$1:$I$89,3,0)*VLOOKUP('Données projet'!$B$17,Paramètres!$A$1:$I$89,5,0)</f>
        <v>160.38359999999997</v>
      </c>
      <c r="GB84" s="14">
        <f t="shared" si="103"/>
        <v>40.929025395397851</v>
      </c>
      <c r="GC84" s="22">
        <f t="shared" si="79"/>
        <v>350.61948923031787</v>
      </c>
      <c r="GD84" s="62">
        <f t="shared" si="80"/>
        <v>643.95282256365113</v>
      </c>
      <c r="GE84" s="62">
        <f ca="1">AVERAGE(OFFSET($GD$3,0,0,'Données projet'!$E$17+1,1))-AVERAGE(OFFSET($H$3,0,0,'Données projet'!$E$17+1,1))</f>
        <v>280.20599015000306</v>
      </c>
      <c r="GF84" s="62">
        <f t="shared" si="104"/>
        <v>166.97658184507787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3.8461538461538454</v>
      </c>
      <c r="GU84" s="13">
        <f>IF('Données projet'!$A$270&gt;35,GU83+GT84-HC83,IF(A84&lt;'Données projet'!$A$270,$GR$205^A84,IF(A84='Données projet'!$A$270,'Données projet'!$B$270,GU83+GT84-HC83)))</f>
        <v>253.84615384615367</v>
      </c>
      <c r="GV84" s="18">
        <f>GU84*VLOOKUP('Données projet'!$B$18,Paramètres!$A$1:$I$89,3,0)*VLOOKUP('Données projet'!$B$18,Paramètres!$A$1:$I$89,5,0)</f>
        <v>170.27999999999989</v>
      </c>
      <c r="GW84" s="14">
        <f t="shared" si="105"/>
        <v>43.152728263239666</v>
      </c>
      <c r="GX84" s="22">
        <f t="shared" si="82"/>
        <v>371.72866839180887</v>
      </c>
      <c r="GY84" s="62">
        <f t="shared" si="83"/>
        <v>665.06200172514218</v>
      </c>
      <c r="GZ84" s="62">
        <f ca="1">AVERAGE(OFFSET($GY$3,0,0,'Données projet'!$E$18+1,1))-AVERAGE(OFFSET($H$3,0,0,'Données projet'!$E$18+1,1))</f>
        <v>291.18686311753402</v>
      </c>
      <c r="HA84" s="62">
        <f t="shared" si="106"/>
        <v>215.44422413249839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9">
        <f t="shared" si="56"/>
        <v>256.66666666666669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260.02504691866199</v>
      </c>
      <c r="T85" s="62">
        <f t="shared" si="88"/>
        <v>270.11268336406368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3.5736822852760732</v>
      </c>
      <c r="AA85" s="23">
        <f>EXP(-LN(2)/25)*AA84+(1-EXP(-LN(2)/25))/(LN(2)/25)*Calculateur!V85*Calculateur!X85*VLOOKUP('Données projet'!$B$9,Paramètres!$A$1:$I$89,3,0)*0.475*44/12</f>
        <v>3.8873597264921047</v>
      </c>
      <c r="AB85" s="23">
        <f>EXP(-LN(2)/2)*AB84+(1-EXP(-LN(2)/2))/(LN(2)/2)*V85*Y85*VLOOKUP('Données projet'!$B$9,Paramètres!$A$1:$I$89,3,0)*0.475*44/12</f>
        <v>9.4472780017910059E-8</v>
      </c>
      <c r="AC85" s="24">
        <f t="shared" si="57"/>
        <v>7.4610421062409582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2">
        <f t="shared" si="59"/>
        <v>844.24282734876306</v>
      </c>
      <c r="AN85" s="62">
        <f ca="1">AVERAGE(OFFSET($AM$3,0,0,'Données projet'!$E$10+1,1))-AVERAGE(OFFSET($H$3,0,0,'Données projet'!$E$10+1,1))</f>
        <v>475.47920969424894</v>
      </c>
      <c r="AO85" s="62">
        <f t="shared" si="90"/>
        <v>271.73544012419364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227.28575999999993</v>
      </c>
      <c r="BF85" s="14">
        <f t="shared" si="91"/>
        <v>55.695394520076327</v>
      </c>
      <c r="BG85" s="22">
        <f t="shared" si="61"/>
        <v>492.85884412246605</v>
      </c>
      <c r="BH85" s="62">
        <f t="shared" si="62"/>
        <v>786.19217745579931</v>
      </c>
      <c r="BI85" s="62">
        <f ca="1">AVERAGE(OFFSET($BH$3,0,0,'Données projet'!$E$11+1,1))-AVERAGE(OFFSET($H$3,0,0,'Données projet'!$E$11+1,1))</f>
        <v>428.8489304403459</v>
      </c>
      <c r="BJ85" s="62">
        <f t="shared" si="92"/>
        <v>247.01165577562966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3.2</v>
      </c>
      <c r="BY85" s="13">
        <f>IF('Données projet'!$A$114&gt;35,BY84+BX85-CG84,IF(A85&lt;'Données projet'!$A$114,$BV$205^A85,IF(A85='Données projet'!$A$114,'Données projet'!$B$114,BY84+BX85-CG84)))</f>
        <v>198.39999999999984</v>
      </c>
      <c r="BZ85" s="14">
        <f>BY85*VLOOKUP('Données projet'!$B$12,Paramètres!$A$1:$I$89,3,0)*VLOOKUP('Données projet'!$B$12,Paramètres!$A$1:$I$89,5,0)</f>
        <v>160.94207999999989</v>
      </c>
      <c r="CA85" s="14">
        <f t="shared" si="93"/>
        <v>41.054931523415746</v>
      </c>
      <c r="CB85" s="22">
        <f t="shared" si="64"/>
        <v>351.81146173661563</v>
      </c>
      <c r="CC85" s="62">
        <f t="shared" si="65"/>
        <v>645.14479506994894</v>
      </c>
      <c r="CD85" s="62">
        <f ca="1">AVERAGE(OFFSET($CC$3,0,0,'Données projet'!$E$12+1,1))-AVERAGE(OFFSET($H$3,0,0,'Données projet'!$E$12+1,1))</f>
        <v>236.22643401787644</v>
      </c>
      <c r="CE85" s="62">
        <f t="shared" si="94"/>
        <v>188.80444043778022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9.001923076923072</v>
      </c>
      <c r="CT85" s="13">
        <f>IF('Données projet'!$A$140&gt;35,CT84+CS85-DB84,IF(A85&lt;'Données projet'!$A$140,$CQ$205^A85,IF(A85='Données projet'!$A$140,'Données projet'!$B$140,CT84+CS85-DB84)))</f>
        <v>338.12884615384621</v>
      </c>
      <c r="CU85" s="18">
        <f>CT85*VLOOKUP('Données projet'!$B$13,Paramètres!$A$1:$I$89,3,0)*VLOOKUP('Données projet'!$B$13,Paramètres!$A$1:$I$89,5,0)</f>
        <v>158.24430000000004</v>
      </c>
      <c r="CV85" s="14">
        <f t="shared" si="95"/>
        <v>40.446258430453689</v>
      </c>
      <c r="CW85" s="22">
        <f t="shared" si="67"/>
        <v>346.0527225997069</v>
      </c>
      <c r="CX85" s="62">
        <f t="shared" si="68"/>
        <v>639.38605593304021</v>
      </c>
      <c r="CY85" s="62">
        <f ca="1">AVERAGE(OFFSET($CX$3,0,0,'Données projet'!$E$13+1,1))-AVERAGE(OFFSET($H$3,0,0,'Données projet'!$E$13+1,1))</f>
        <v>246.73711856758143</v>
      </c>
      <c r="CZ85" s="62">
        <f t="shared" si="96"/>
        <v>145.54897745089966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3.9743589743589722</v>
      </c>
      <c r="DO85" s="13">
        <f>IF('Données projet'!$A$166&gt;35,DO84+DN85-DW84,IF(A85&lt;'Données projet'!$A$166,$DL$205^A85,IF(A85='Données projet'!$A$166,'Données projet'!$B$166,DO84+DN85-DW84)))</f>
        <v>264.99999999999977</v>
      </c>
      <c r="DP85" s="18">
        <f>DO85*VLOOKUP('Données projet'!$B$14,Paramètres!$A$1:$I$89,3,0)*VLOOKUP('Données projet'!$B$14,Paramètres!$A$1:$I$89,5,0)</f>
        <v>276.97799999999978</v>
      </c>
      <c r="DQ85" s="14">
        <f t="shared" si="97"/>
        <v>66.327970633211649</v>
      </c>
      <c r="DR85" s="22">
        <f t="shared" si="70"/>
        <v>597.92456551950988</v>
      </c>
      <c r="DS85" s="62">
        <f t="shared" si="71"/>
        <v>891.25789885284325</v>
      </c>
      <c r="DT85" s="62">
        <f ca="1">AVERAGE(OFFSET($DS$3,0,0,'Données projet'!$E$14+1,1))-AVERAGE(OFFSET($H$3,0,0,'Données projet'!$E$14+1,1))</f>
        <v>493.70175665335978</v>
      </c>
      <c r="DU85" s="62">
        <f t="shared" si="98"/>
        <v>325.12357781685949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-1.7053025658242404E-13</v>
      </c>
      <c r="EK85" s="18">
        <f>EJ85*VLOOKUP('Données projet'!$B$15,Paramètres!$A$1:$I$89,3,0)*VLOOKUP('Données projet'!$B$15,Paramètres!$A$1:$I$89,5,0)</f>
        <v>-1.4897523215040567E-13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202.86354781280403</v>
      </c>
      <c r="EP85" s="62">
        <f t="shared" si="100"/>
        <v>217.25323885665131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3.7179487179487181</v>
      </c>
      <c r="FE85" s="13">
        <f>IF('Données projet'!$A$218&gt;35,FE84+FD85-FM84,IF(A85&lt;'Données projet'!$A$218,$FB$205^A85,IF(A85='Données projet'!$A$218,'Données projet'!$B$218,FE84+FD85-FM84)))</f>
        <v>213.84615384615375</v>
      </c>
      <c r="FF85" s="18">
        <f>FE85*VLOOKUP('Données projet'!$B$16,Paramètres!$A$1:$I$89,3,0)*VLOOKUP('Données projet'!$B$16,Paramètres!$A$1:$I$89,5,0)</f>
        <v>203.4959999999999</v>
      </c>
      <c r="FG85" s="14">
        <f t="shared" si="101"/>
        <v>50.511706115422356</v>
      </c>
      <c r="FH85" s="22">
        <f t="shared" si="76"/>
        <v>442.39675481769376</v>
      </c>
      <c r="FI85" s="62">
        <f t="shared" si="77"/>
        <v>735.73008815102708</v>
      </c>
      <c r="FJ85" s="62">
        <f ca="1">AVERAGE(OFFSET($FI$3,0,0,'Données projet'!$E$16+1,1))-AVERAGE(OFFSET($H$3,0,0,'Données projet'!$E$16+1,1))</f>
        <v>353.61481736740694</v>
      </c>
      <c r="FK85" s="62">
        <f t="shared" si="102"/>
        <v>244.7141066773861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3</v>
      </c>
      <c r="FZ85" s="13">
        <f>IF('Données projet'!$A$244&gt;35,FZ84+FY85-GH84,IF(A85&lt;'Données projet'!$A$244,$FW$205^A85,IF(A85='Données projet'!$A$244,'Données projet'!$B$244,FZ84+FY85-GH84)))</f>
        <v>152</v>
      </c>
      <c r="GA85" s="18">
        <f>FZ85*VLOOKUP('Données projet'!$B$17,Paramètres!$A$1:$I$89,3,0)*VLOOKUP('Données projet'!$B$17,Paramètres!$A$1:$I$89,5,0)</f>
        <v>163.61279999999999</v>
      </c>
      <c r="GB85" s="14">
        <f t="shared" si="103"/>
        <v>41.656330547871804</v>
      </c>
      <c r="GC85" s="22">
        <f t="shared" si="79"/>
        <v>357.51040237087665</v>
      </c>
      <c r="GD85" s="62">
        <f t="shared" si="80"/>
        <v>650.84373570420996</v>
      </c>
      <c r="GE85" s="62">
        <f ca="1">AVERAGE(OFFSET($GD$3,0,0,'Données projet'!$E$17+1,1))-AVERAGE(OFFSET($H$3,0,0,'Données projet'!$E$17+1,1))</f>
        <v>280.20599015000306</v>
      </c>
      <c r="GF85" s="62">
        <f t="shared" si="104"/>
        <v>166.97658184507787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3.8461538461538454</v>
      </c>
      <c r="GU85" s="13">
        <f>IF('Données projet'!$A$270&gt;35,GU84+GT85-HC84,IF(A85&lt;'Données projet'!$A$270,$GR$205^A85,IF(A85='Données projet'!$A$270,'Données projet'!$B$270,GU84+GT85-HC84)))</f>
        <v>257.69230769230751</v>
      </c>
      <c r="GV85" s="18">
        <f>GU85*VLOOKUP('Données projet'!$B$18,Paramètres!$A$1:$I$89,3,0)*VLOOKUP('Données projet'!$B$18,Paramètres!$A$1:$I$89,5,0)</f>
        <v>172.85999999999987</v>
      </c>
      <c r="GW85" s="14">
        <f t="shared" si="105"/>
        <v>43.729945161157801</v>
      </c>
      <c r="GX85" s="22">
        <f t="shared" si="82"/>
        <v>377.22748782234959</v>
      </c>
      <c r="GY85" s="62">
        <f t="shared" si="83"/>
        <v>670.5608211556829</v>
      </c>
      <c r="GZ85" s="62">
        <f ca="1">AVERAGE(OFFSET($GY$3,0,0,'Données projet'!$E$18+1,1))-AVERAGE(OFFSET($H$3,0,0,'Données projet'!$E$18+1,1))</f>
        <v>291.18686311753402</v>
      </c>
      <c r="HA85" s="62">
        <f t="shared" si="106"/>
        <v>215.44422413249839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9">
        <f t="shared" si="56"/>
        <v>256.66666666666669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260.02504691866199</v>
      </c>
      <c r="T86" s="62">
        <f t="shared" si="88"/>
        <v>270.11268336406368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3.5036045553927728</v>
      </c>
      <c r="AA86" s="23">
        <f>EXP(-LN(2)/25)*AA85+(1-EXP(-LN(2)/25))/(LN(2)/25)*Calculateur!V86*Calculateur!X86*VLOOKUP('Données projet'!$B$9,Paramètres!$A$1:$I$89,3,0)*0.475*44/12</f>
        <v>3.7810596703438146</v>
      </c>
      <c r="AB86" s="23">
        <f>EXP(-LN(2)/2)*AB85+(1-EXP(-LN(2)/2))/(LN(2)/2)*V86*Y86*VLOOKUP('Données projet'!$B$9,Paramètres!$A$1:$I$89,3,0)*0.475*44/12</f>
        <v>6.6802343388209168E-8</v>
      </c>
      <c r="AC86" s="24">
        <f t="shared" si="57"/>
        <v>7.2846642925389311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2">
        <f t="shared" si="59"/>
        <v>856.24315446785226</v>
      </c>
      <c r="AN86" s="62">
        <f ca="1">AVERAGE(OFFSET($AM$3,0,0,'Données projet'!$E$10+1,1))-AVERAGE(OFFSET($H$3,0,0,'Données projet'!$E$10+1,1))</f>
        <v>475.47920969424894</v>
      </c>
      <c r="AO86" s="62">
        <f t="shared" si="90"/>
        <v>271.73544012419364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232.35263999999989</v>
      </c>
      <c r="BF86" s="14">
        <f t="shared" si="91"/>
        <v>56.791075613550255</v>
      </c>
      <c r="BG86" s="22">
        <f t="shared" si="61"/>
        <v>503.59197136026643</v>
      </c>
      <c r="BH86" s="62">
        <f t="shared" si="62"/>
        <v>796.92530469359974</v>
      </c>
      <c r="BI86" s="62">
        <f ca="1">AVERAGE(OFFSET($BH$3,0,0,'Données projet'!$E$11+1,1))-AVERAGE(OFFSET($H$3,0,0,'Données projet'!$E$11+1,1))</f>
        <v>428.8489304403459</v>
      </c>
      <c r="BJ86" s="62">
        <f t="shared" si="92"/>
        <v>247.01165577562966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3.2</v>
      </c>
      <c r="BY86" s="13">
        <f>IF('Données projet'!$A$114&gt;35,BY85+BX86-CG85,IF(A86&lt;'Données projet'!$A$114,$BV$205^A86,IF(A86='Données projet'!$A$114,'Données projet'!$B$114,BY85+BX86-CG85)))</f>
        <v>201.59999999999982</v>
      </c>
      <c r="BZ86" s="14">
        <f>BY86*VLOOKUP('Données projet'!$B$12,Paramètres!$A$1:$I$89,3,0)*VLOOKUP('Données projet'!$B$12,Paramètres!$A$1:$I$89,5,0)</f>
        <v>163.53791999999987</v>
      </c>
      <c r="CA86" s="14">
        <f t="shared" si="93"/>
        <v>41.639484545926564</v>
      </c>
      <c r="CB86" s="22">
        <f t="shared" si="64"/>
        <v>357.35064625082185</v>
      </c>
      <c r="CC86" s="62">
        <f t="shared" si="65"/>
        <v>650.68397958415517</v>
      </c>
      <c r="CD86" s="62">
        <f ca="1">AVERAGE(OFFSET($CC$3,0,0,'Données projet'!$E$12+1,1))-AVERAGE(OFFSET($H$3,0,0,'Données projet'!$E$12+1,1))</f>
        <v>236.22643401787644</v>
      </c>
      <c r="CE86" s="62">
        <f t="shared" si="94"/>
        <v>188.80444043778022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9.001923076923072</v>
      </c>
      <c r="CT86" s="13">
        <f>IF('Données projet'!$A$140&gt;35,CT85+CS86-DB85,IF(A86&lt;'Données projet'!$A$140,$CQ$205^A86,IF(A86='Données projet'!$A$140,'Données projet'!$B$140,CT85+CS86-DB85)))</f>
        <v>347.13076923076926</v>
      </c>
      <c r="CU86" s="18">
        <f>CT86*VLOOKUP('Données projet'!$B$13,Paramètres!$A$1:$I$89,3,0)*VLOOKUP('Données projet'!$B$13,Paramètres!$A$1:$I$89,5,0)</f>
        <v>162.45720000000003</v>
      </c>
      <c r="CV86" s="14">
        <f t="shared" si="95"/>
        <v>41.396251160974799</v>
      </c>
      <c r="CW86" s="22">
        <f t="shared" si="67"/>
        <v>355.04476077203117</v>
      </c>
      <c r="CX86" s="62">
        <f t="shared" si="68"/>
        <v>648.37809410536443</v>
      </c>
      <c r="CY86" s="62">
        <f ca="1">AVERAGE(OFFSET($CX$3,0,0,'Données projet'!$E$13+1,1))-AVERAGE(OFFSET($H$3,0,0,'Données projet'!$E$13+1,1))</f>
        <v>246.73711856758143</v>
      </c>
      <c r="CZ86" s="62">
        <f t="shared" si="96"/>
        <v>145.54897745089966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3.9743589743589722</v>
      </c>
      <c r="DO86" s="13">
        <f>IF('Données projet'!$A$166&gt;35,DO85+DN86-DW85,IF(A86&lt;'Données projet'!$A$166,$DL$205^A86,IF(A86='Données projet'!$A$166,'Données projet'!$B$166,DO85+DN86-DW85)))</f>
        <v>268.97435897435872</v>
      </c>
      <c r="DP86" s="18">
        <f>DO86*VLOOKUP('Données projet'!$B$14,Paramètres!$A$1:$I$89,3,0)*VLOOKUP('Données projet'!$B$14,Paramètres!$A$1:$I$89,5,0)</f>
        <v>281.13199999999972</v>
      </c>
      <c r="DQ86" s="14">
        <f t="shared" si="97"/>
        <v>67.206176818686799</v>
      </c>
      <c r="DR86" s="22">
        <f t="shared" si="70"/>
        <v>606.68899129254567</v>
      </c>
      <c r="DS86" s="62">
        <f t="shared" si="71"/>
        <v>900.02232462587904</v>
      </c>
      <c r="DT86" s="62">
        <f ca="1">AVERAGE(OFFSET($DS$3,0,0,'Données projet'!$E$14+1,1))-AVERAGE(OFFSET($H$3,0,0,'Données projet'!$E$14+1,1))</f>
        <v>493.70175665335978</v>
      </c>
      <c r="DU86" s="62">
        <f t="shared" si="98"/>
        <v>325.12357781685949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-1.7053025658242404E-13</v>
      </c>
      <c r="EK86" s="18">
        <f>EJ86*VLOOKUP('Données projet'!$B$15,Paramètres!$A$1:$I$89,3,0)*VLOOKUP('Données projet'!$B$15,Paramètres!$A$1:$I$89,5,0)</f>
        <v>-1.4897523215040567E-13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202.86354781280403</v>
      </c>
      <c r="EP86" s="62">
        <f t="shared" si="100"/>
        <v>217.25323885665131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3.7179487179487181</v>
      </c>
      <c r="FE86" s="13">
        <f>IF('Données projet'!$A$218&gt;35,FE85+FD86-FM85,IF(A86&lt;'Données projet'!$A$218,$FB$205^A86,IF(A86='Données projet'!$A$218,'Données projet'!$B$218,FE85+FD86-FM85)))</f>
        <v>217.56410256410248</v>
      </c>
      <c r="FF86" s="18">
        <f>FE86*VLOOKUP('Données projet'!$B$16,Paramètres!$A$1:$I$89,3,0)*VLOOKUP('Données projet'!$B$16,Paramètres!$A$1:$I$89,5,0)</f>
        <v>207.03399999999993</v>
      </c>
      <c r="FG86" s="14">
        <f t="shared" si="101"/>
        <v>51.286904474053166</v>
      </c>
      <c r="FH86" s="22">
        <f t="shared" si="76"/>
        <v>449.90890862564248</v>
      </c>
      <c r="FI86" s="62">
        <f t="shared" si="77"/>
        <v>743.2422419589758</v>
      </c>
      <c r="FJ86" s="62">
        <f ca="1">AVERAGE(OFFSET($FI$3,0,0,'Données projet'!$E$16+1,1))-AVERAGE(OFFSET($H$3,0,0,'Données projet'!$E$16+1,1))</f>
        <v>353.61481736740694</v>
      </c>
      <c r="FK86" s="62">
        <f t="shared" si="102"/>
        <v>244.7141066773861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3</v>
      </c>
      <c r="FZ86" s="13">
        <f>IF('Données projet'!$A$244&gt;35,FZ85+FY86-GH85,IF(A86&lt;'Données projet'!$A$244,$FW$205^A86,IF(A86='Données projet'!$A$244,'Données projet'!$B$244,FZ85+FY86-GH85)))</f>
        <v>155</v>
      </c>
      <c r="GA86" s="18">
        <f>FZ86*VLOOKUP('Données projet'!$B$17,Paramètres!$A$1:$I$89,3,0)*VLOOKUP('Données projet'!$B$17,Paramètres!$A$1:$I$89,5,0)</f>
        <v>166.84199999999998</v>
      </c>
      <c r="GB86" s="14">
        <f t="shared" si="103"/>
        <v>42.381966615760334</v>
      </c>
      <c r="GC86" s="22">
        <f t="shared" si="79"/>
        <v>364.39840852244924</v>
      </c>
      <c r="GD86" s="62">
        <f t="shared" si="80"/>
        <v>657.7317418557825</v>
      </c>
      <c r="GE86" s="62">
        <f ca="1">AVERAGE(OFFSET($GD$3,0,0,'Données projet'!$E$17+1,1))-AVERAGE(OFFSET($H$3,0,0,'Données projet'!$E$17+1,1))</f>
        <v>280.20599015000306</v>
      </c>
      <c r="GF86" s="62">
        <f t="shared" si="104"/>
        <v>166.97658184507787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3.8461538461538454</v>
      </c>
      <c r="GU86" s="13">
        <f>IF('Données projet'!$A$270&gt;35,GU85+GT86-HC85,IF(A86&lt;'Données projet'!$A$270,$GR$205^A86,IF(A86='Données projet'!$A$270,'Données projet'!$B$270,GU85+GT86-HC85)))</f>
        <v>261.53846153846138</v>
      </c>
      <c r="GV86" s="18">
        <f>GU86*VLOOKUP('Données projet'!$B$18,Paramètres!$A$1:$I$89,3,0)*VLOOKUP('Données projet'!$B$18,Paramètres!$A$1:$I$89,5,0)</f>
        <v>175.43999999999991</v>
      </c>
      <c r="GW86" s="14">
        <f t="shared" si="105"/>
        <v>44.306160083661858</v>
      </c>
      <c r="GX86" s="22">
        <f t="shared" si="82"/>
        <v>382.72456214571093</v>
      </c>
      <c r="GY86" s="62">
        <f t="shared" si="83"/>
        <v>676.05789547904419</v>
      </c>
      <c r="GZ86" s="62">
        <f ca="1">AVERAGE(OFFSET($GY$3,0,0,'Données projet'!$E$18+1,1))-AVERAGE(OFFSET($H$3,0,0,'Données projet'!$E$18+1,1))</f>
        <v>291.18686311753402</v>
      </c>
      <c r="HA86" s="62">
        <f t="shared" si="106"/>
        <v>215.44422413249839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9">
        <f t="shared" si="56"/>
        <v>256.66666666666669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260.02504691866199</v>
      </c>
      <c r="T87" s="62">
        <f t="shared" si="88"/>
        <v>270.11268336406368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3.4349010070492891</v>
      </c>
      <c r="AA87" s="23">
        <f>EXP(-LN(2)/25)*AA86+(1-EXP(-LN(2)/25))/(LN(2)/25)*Calculateur!V87*Calculateur!X87*VLOOKUP('Données projet'!$B$9,Paramètres!$A$1:$I$89,3,0)*0.475*44/12</f>
        <v>3.6776663948209767</v>
      </c>
      <c r="AB87" s="23">
        <f>EXP(-LN(2)/2)*AB86+(1-EXP(-LN(2)/2))/(LN(2)/2)*V87*Y87*VLOOKUP('Données projet'!$B$9,Paramètres!$A$1:$I$89,3,0)*0.475*44/12</f>
        <v>4.723639000895503E-8</v>
      </c>
      <c r="AC87" s="24">
        <f t="shared" si="57"/>
        <v>7.1125674491066553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2">
        <f t="shared" si="59"/>
        <v>868.23813094642423</v>
      </c>
      <c r="AN87" s="62">
        <f ca="1">AVERAGE(OFFSET($AM$3,0,0,'Données projet'!$E$10+1,1))-AVERAGE(OFFSET($H$3,0,0,'Données projet'!$E$10+1,1))</f>
        <v>475.47920969424894</v>
      </c>
      <c r="AO87" s="62">
        <f t="shared" si="90"/>
        <v>271.73544012419364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237.41951999999992</v>
      </c>
      <c r="BF87" s="14">
        <f t="shared" si="91"/>
        <v>57.883978814320919</v>
      </c>
      <c r="BG87" s="22">
        <f t="shared" si="61"/>
        <v>514.32026043494204</v>
      </c>
      <c r="BH87" s="62">
        <f t="shared" si="62"/>
        <v>807.65359376827541</v>
      </c>
      <c r="BI87" s="62">
        <f ca="1">AVERAGE(OFFSET($BH$3,0,0,'Données projet'!$E$11+1,1))-AVERAGE(OFFSET($H$3,0,0,'Données projet'!$E$11+1,1))</f>
        <v>428.8489304403459</v>
      </c>
      <c r="BJ87" s="62">
        <f t="shared" si="92"/>
        <v>247.01165577562966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3.2</v>
      </c>
      <c r="BY87" s="13">
        <f>IF('Données projet'!$A$114&gt;35,BY86+BX87-CG86,IF(A87&lt;'Données projet'!$A$114,$BV$205^A87,IF(A87='Données projet'!$A$114,'Données projet'!$B$114,BY86+BX87-CG86)))</f>
        <v>204.79999999999981</v>
      </c>
      <c r="BZ87" s="14">
        <f>BY87*VLOOKUP('Données projet'!$B$12,Paramètres!$A$1:$I$89,3,0)*VLOOKUP('Données projet'!$B$12,Paramètres!$A$1:$I$89,5,0)</f>
        <v>166.13375999999985</v>
      </c>
      <c r="CA87" s="14">
        <f t="shared" si="93"/>
        <v>42.22295848635887</v>
      </c>
      <c r="CB87" s="22">
        <f t="shared" si="64"/>
        <v>362.88795136374142</v>
      </c>
      <c r="CC87" s="62">
        <f t="shared" si="65"/>
        <v>656.22128469707468</v>
      </c>
      <c r="CD87" s="62">
        <f ca="1">AVERAGE(OFFSET($CC$3,0,0,'Données projet'!$E$12+1,1))-AVERAGE(OFFSET($H$3,0,0,'Données projet'!$E$12+1,1))</f>
        <v>236.22643401787644</v>
      </c>
      <c r="CE87" s="62">
        <f t="shared" si="94"/>
        <v>188.80444043778022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9.001923076923072</v>
      </c>
      <c r="CT87" s="13">
        <f>IF('Données projet'!$A$140&gt;35,CT86+CS87-DB86,IF(A87&lt;'Données projet'!$A$140,$CQ$205^A87,IF(A87='Données projet'!$A$140,'Données projet'!$B$140,CT86+CS87-DB86)))</f>
        <v>356.13269230769231</v>
      </c>
      <c r="CU87" s="18">
        <f>CT87*VLOOKUP('Données projet'!$B$13,Paramètres!$A$1:$I$89,3,0)*VLOOKUP('Données projet'!$B$13,Paramètres!$A$1:$I$89,5,0)</f>
        <v>166.67010000000002</v>
      </c>
      <c r="CV87" s="14">
        <f t="shared" si="95"/>
        <v>42.34338029651839</v>
      </c>
      <c r="CW87" s="22">
        <f t="shared" si="67"/>
        <v>364.03181151643622</v>
      </c>
      <c r="CX87" s="62">
        <f t="shared" si="68"/>
        <v>657.36514484976954</v>
      </c>
      <c r="CY87" s="62">
        <f ca="1">AVERAGE(OFFSET($CX$3,0,0,'Données projet'!$E$13+1,1))-AVERAGE(OFFSET($H$3,0,0,'Données projet'!$E$13+1,1))</f>
        <v>246.73711856758143</v>
      </c>
      <c r="CZ87" s="62">
        <f t="shared" si="96"/>
        <v>145.54897745089966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3.9743589743589722</v>
      </c>
      <c r="DO87" s="13">
        <f>IF('Données projet'!$A$166&gt;35,DO86+DN87-DW86,IF(A87&lt;'Données projet'!$A$166,$DL$205^A87,IF(A87='Données projet'!$A$166,'Données projet'!$B$166,DO86+DN87-DW86)))</f>
        <v>272.94871794871767</v>
      </c>
      <c r="DP87" s="18">
        <f>DO87*VLOOKUP('Données projet'!$B$14,Paramètres!$A$1:$I$89,3,0)*VLOOKUP('Données projet'!$B$14,Paramètres!$A$1:$I$89,5,0)</f>
        <v>285.28599999999972</v>
      </c>
      <c r="DQ87" s="14">
        <f t="shared" si="97"/>
        <v>68.082873796613967</v>
      </c>
      <c r="DR87" s="22">
        <f t="shared" si="70"/>
        <v>615.45078852910217</v>
      </c>
      <c r="DS87" s="62">
        <f t="shared" si="71"/>
        <v>908.78412186243554</v>
      </c>
      <c r="DT87" s="62">
        <f ca="1">AVERAGE(OFFSET($DS$3,0,0,'Données projet'!$E$14+1,1))-AVERAGE(OFFSET($H$3,0,0,'Données projet'!$E$14+1,1))</f>
        <v>493.70175665335978</v>
      </c>
      <c r="DU87" s="62">
        <f t="shared" si="98"/>
        <v>325.12357781685949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-1.7053025658242404E-13</v>
      </c>
      <c r="EK87" s="18">
        <f>EJ87*VLOOKUP('Données projet'!$B$15,Paramètres!$A$1:$I$89,3,0)*VLOOKUP('Données projet'!$B$15,Paramètres!$A$1:$I$89,5,0)</f>
        <v>-1.4897523215040567E-13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202.86354781280403</v>
      </c>
      <c r="EP87" s="62">
        <f t="shared" si="100"/>
        <v>217.25323885665131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3.7179487179487181</v>
      </c>
      <c r="FE87" s="13">
        <f>IF('Données projet'!$A$218&gt;35,FE86+FD87-FM86,IF(A87&lt;'Données projet'!$A$218,$FB$205^A87,IF(A87='Données projet'!$A$218,'Données projet'!$B$218,FE86+FD87-FM86)))</f>
        <v>221.28205128205121</v>
      </c>
      <c r="FF87" s="18">
        <f>FE87*VLOOKUP('Données projet'!$B$16,Paramètres!$A$1:$I$89,3,0)*VLOOKUP('Données projet'!$B$16,Paramètres!$A$1:$I$89,5,0)</f>
        <v>210.57199999999992</v>
      </c>
      <c r="FG87" s="14">
        <f t="shared" si="101"/>
        <v>52.060562294525134</v>
      </c>
      <c r="FH87" s="22">
        <f t="shared" si="76"/>
        <v>457.41837932963108</v>
      </c>
      <c r="FI87" s="62">
        <f t="shared" si="77"/>
        <v>750.75171266296434</v>
      </c>
      <c r="FJ87" s="62">
        <f ca="1">AVERAGE(OFFSET($FI$3,0,0,'Données projet'!$E$16+1,1))-AVERAGE(OFFSET($H$3,0,0,'Données projet'!$E$16+1,1))</f>
        <v>353.61481736740694</v>
      </c>
      <c r="FK87" s="62">
        <f t="shared" si="102"/>
        <v>244.7141066773861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3</v>
      </c>
      <c r="FZ87" s="13">
        <f>IF('Données projet'!$A$244&gt;35,FZ86+FY87-GH86,IF(A87&lt;'Données projet'!$A$244,$FW$205^A87,IF(A87='Données projet'!$A$244,'Données projet'!$B$244,FZ86+FY87-GH86)))</f>
        <v>158</v>
      </c>
      <c r="GA87" s="18">
        <f>FZ87*VLOOKUP('Données projet'!$B$17,Paramètres!$A$1:$I$89,3,0)*VLOOKUP('Données projet'!$B$17,Paramètres!$A$1:$I$89,5,0)</f>
        <v>170.0712</v>
      </c>
      <c r="GB87" s="14">
        <f t="shared" si="103"/>
        <v>43.10596962815594</v>
      </c>
      <c r="GC87" s="22">
        <f t="shared" si="79"/>
        <v>371.28357043570492</v>
      </c>
      <c r="GD87" s="62">
        <f t="shared" si="80"/>
        <v>664.61690376903823</v>
      </c>
      <c r="GE87" s="62">
        <f ca="1">AVERAGE(OFFSET($GD$3,0,0,'Données projet'!$E$17+1,1))-AVERAGE(OFFSET($H$3,0,0,'Données projet'!$E$17+1,1))</f>
        <v>280.20599015000306</v>
      </c>
      <c r="GF87" s="62">
        <f t="shared" si="104"/>
        <v>166.97658184507787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3.8461538461538454</v>
      </c>
      <c r="GU87" s="13">
        <f>IF('Données projet'!$A$270&gt;35,GU86+GT87-HC86,IF(A87&lt;'Données projet'!$A$270,$GR$205^A87,IF(A87='Données projet'!$A$270,'Données projet'!$B$270,GU86+GT87-HC86)))</f>
        <v>265.38461538461524</v>
      </c>
      <c r="GV87" s="18">
        <f>GU87*VLOOKUP('Données projet'!$B$18,Paramètres!$A$1:$I$89,3,0)*VLOOKUP('Données projet'!$B$18,Paramètres!$A$1:$I$89,5,0)</f>
        <v>178.01999999999992</v>
      </c>
      <c r="GW87" s="14">
        <f t="shared" si="105"/>
        <v>44.881389467952083</v>
      </c>
      <c r="GX87" s="22">
        <f t="shared" si="82"/>
        <v>388.21991999001642</v>
      </c>
      <c r="GY87" s="62">
        <f t="shared" si="83"/>
        <v>681.55325332334974</v>
      </c>
      <c r="GZ87" s="62">
        <f ca="1">AVERAGE(OFFSET($GY$3,0,0,'Données projet'!$E$18+1,1))-AVERAGE(OFFSET($H$3,0,0,'Données projet'!$E$18+1,1))</f>
        <v>291.18686311753402</v>
      </c>
      <c r="HA87" s="62">
        <f t="shared" si="106"/>
        <v>215.44422413249839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9">
        <f t="shared" si="56"/>
        <v>256.66666666666669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260.02504691866199</v>
      </c>
      <c r="T88" s="62">
        <f t="shared" si="88"/>
        <v>270.11268336406368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3.3675446933837945</v>
      </c>
      <c r="AA88" s="23">
        <f>EXP(-LN(2)/25)*AA87+(1-EXP(-LN(2)/25))/(LN(2)/25)*Calculateur!V88*Calculateur!X88*VLOOKUP('Données projet'!$B$9,Paramètres!$A$1:$I$89,3,0)*0.475*44/12</f>
        <v>3.5771004138545268</v>
      </c>
      <c r="AB88" s="23">
        <f>EXP(-LN(2)/2)*AB87+(1-EXP(-LN(2)/2))/(LN(2)/2)*V88*Y88*VLOOKUP('Données projet'!$B$9,Paramètres!$A$1:$I$89,3,0)*0.475*44/12</f>
        <v>3.3401171694104584E-8</v>
      </c>
      <c r="AC88" s="24">
        <f t="shared" si="57"/>
        <v>6.9446451406394925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2">
        <f t="shared" si="59"/>
        <v>880.22788412806244</v>
      </c>
      <c r="AN88" s="62">
        <f ca="1">AVERAGE(OFFSET($AM$3,0,0,'Données projet'!$E$10+1,1))-AVERAGE(OFFSET($H$3,0,0,'Données projet'!$E$10+1,1))</f>
        <v>475.47920969424894</v>
      </c>
      <c r="AO88" s="62">
        <f t="shared" si="90"/>
        <v>271.73544012419364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242.48639999999995</v>
      </c>
      <c r="BF88" s="14">
        <f t="shared" si="91"/>
        <v>58.974170235372419</v>
      </c>
      <c r="BG88" s="22">
        <f t="shared" si="61"/>
        <v>525.04382649327351</v>
      </c>
      <c r="BH88" s="62">
        <f t="shared" si="62"/>
        <v>818.37715982660688</v>
      </c>
      <c r="BI88" s="62">
        <f ca="1">AVERAGE(OFFSET($BH$3,0,0,'Données projet'!$E$11+1,1))-AVERAGE(OFFSET($H$3,0,0,'Données projet'!$E$11+1,1))</f>
        <v>428.8489304403459</v>
      </c>
      <c r="BJ88" s="62">
        <f t="shared" si="92"/>
        <v>247.01165577562966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208</v>
      </c>
      <c r="BW88" s="13">
        <f>VLOOKUP(A88,'Données projet'!$A$113:$I$133,9,0)</f>
        <v>3.2</v>
      </c>
      <c r="BX88" s="13">
        <f t="array" ref="BX88">INDEX(BW:BW,MIN(IF(ISNUMBER(BW88:BW284),ROW(BW88:BW284),"")))</f>
        <v>3.2</v>
      </c>
      <c r="BY88" s="13">
        <f>IF('Données projet'!$A$114&gt;35,BY87+BX88-CG87,IF(A88&lt;'Données projet'!$A$114,$BV$205^A88,IF(A88='Données projet'!$A$114,'Données projet'!$B$114,BY87+BX88-CG87)))</f>
        <v>207.9999999999998</v>
      </c>
      <c r="BZ88" s="14">
        <f>BY88*VLOOKUP('Données projet'!$B$12,Paramètres!$A$1:$I$89,3,0)*VLOOKUP('Données projet'!$B$12,Paramètres!$A$1:$I$89,5,0)</f>
        <v>168.72959999999983</v>
      </c>
      <c r="CA88" s="14">
        <f t="shared" si="93"/>
        <v>42.805372152385033</v>
      </c>
      <c r="CB88" s="22">
        <f t="shared" si="64"/>
        <v>368.42340983207026</v>
      </c>
      <c r="CC88" s="62">
        <f t="shared" si="65"/>
        <v>661.75674316540358</v>
      </c>
      <c r="CD88" s="62">
        <f ca="1">AVERAGE(OFFSET($CC$3,0,0,'Données projet'!$E$12+1,1))-AVERAGE(OFFSET($H$3,0,0,'Données projet'!$E$12+1,1))</f>
        <v>236.22643401787644</v>
      </c>
      <c r="CE88" s="62">
        <f t="shared" si="94"/>
        <v>188.80444043778022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9.001923076923072</v>
      </c>
      <c r="CT88" s="13">
        <f>IF('Données projet'!$A$140&gt;35,CT87+CS88-DB87,IF(A88&lt;'Données projet'!$A$140,$CQ$205^A88,IF(A88='Données projet'!$A$140,'Données projet'!$B$140,CT87+CS88-DB87)))</f>
        <v>365.13461538461536</v>
      </c>
      <c r="CU88" s="18">
        <f>CT88*VLOOKUP('Données projet'!$B$13,Paramètres!$A$1:$I$89,3,0)*VLOOKUP('Données projet'!$B$13,Paramètres!$A$1:$I$89,5,0)</f>
        <v>170.88299999999998</v>
      </c>
      <c r="CV88" s="14">
        <f t="shared" si="95"/>
        <v>43.287726543807658</v>
      </c>
      <c r="CW88" s="22">
        <f t="shared" si="67"/>
        <v>373.01401539713157</v>
      </c>
      <c r="CX88" s="62">
        <f t="shared" si="68"/>
        <v>666.34734873046489</v>
      </c>
      <c r="CY88" s="62">
        <f ca="1">AVERAGE(OFFSET($CX$3,0,0,'Données projet'!$E$13+1,1))-AVERAGE(OFFSET($H$3,0,0,'Données projet'!$E$13+1,1))</f>
        <v>246.73711856758143</v>
      </c>
      <c r="CZ88" s="62">
        <f t="shared" si="96"/>
        <v>145.54897745089966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276.92307692307691</v>
      </c>
      <c r="DM88" s="13">
        <f>VLOOKUP(A88,'Données projet'!$A$165:$I$185,9,0)</f>
        <v>3.9743589743589722</v>
      </c>
      <c r="DN88" s="13">
        <f t="array" ref="DN88">INDEX(DM:DM,MIN(IF(ISNUMBER(DM88:DM284),ROW(DM88:DM284),"")))</f>
        <v>3.9743589743589722</v>
      </c>
      <c r="DO88" s="13">
        <f>IF('Données projet'!$A$166&gt;35,DO87+DN88-DW87,IF(A88&lt;'Données projet'!$A$166,$DL$205^A88,IF(A88='Données projet'!$A$166,'Données projet'!$B$166,DO87+DN88-DW87)))</f>
        <v>276.92307692307662</v>
      </c>
      <c r="DP88" s="18">
        <f>DO88*VLOOKUP('Données projet'!$B$14,Paramètres!$A$1:$I$89,3,0)*VLOOKUP('Données projet'!$B$14,Paramètres!$A$1:$I$89,5,0)</f>
        <v>289.43999999999971</v>
      </c>
      <c r="DQ88" s="14">
        <f t="shared" si="97"/>
        <v>68.958086081193898</v>
      </c>
      <c r="DR88" s="22">
        <f t="shared" si="70"/>
        <v>624.20999992474549</v>
      </c>
      <c r="DS88" s="62">
        <f t="shared" si="71"/>
        <v>917.54333325807875</v>
      </c>
      <c r="DT88" s="62">
        <f ca="1">AVERAGE(OFFSET($DS$3,0,0,'Données projet'!$E$14+1,1))-AVERAGE(OFFSET($H$3,0,0,'Données projet'!$E$14+1,1))</f>
        <v>493.70175665335978</v>
      </c>
      <c r="DU88" s="62">
        <f t="shared" si="98"/>
        <v>325.12357781685949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-1.7053025658242404E-13</v>
      </c>
      <c r="EK88" s="18">
        <f>EJ88*VLOOKUP('Données projet'!$B$15,Paramètres!$A$1:$I$89,3,0)*VLOOKUP('Données projet'!$B$15,Paramètres!$A$1:$I$89,5,0)</f>
        <v>-1.4897523215040567E-13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202.86354781280403</v>
      </c>
      <c r="EP88" s="62">
        <f t="shared" si="100"/>
        <v>217.25323885665131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225</v>
      </c>
      <c r="FC88" s="13">
        <f>VLOOKUP(A88,'Données projet'!$A$217:$I$237,9,0)</f>
        <v>3.7179487179487181</v>
      </c>
      <c r="FD88" s="13">
        <f t="array" ref="FD88">INDEX(FC:FC,MIN(IF(ISNUMBER(FC88:FC284),ROW(FC88:FC284),"")))</f>
        <v>3.7179487179487181</v>
      </c>
      <c r="FE88" s="13">
        <f>IF('Données projet'!$A$218&gt;35,FE87+FD88-FM87,IF(A88&lt;'Données projet'!$A$218,$FB$205^A88,IF(A88='Données projet'!$A$218,'Données projet'!$B$218,FE87+FD88-FM87)))</f>
        <v>224.99999999999994</v>
      </c>
      <c r="FF88" s="18">
        <f>FE88*VLOOKUP('Données projet'!$B$16,Paramètres!$A$1:$I$89,3,0)*VLOOKUP('Données projet'!$B$16,Paramètres!$A$1:$I$89,5,0)</f>
        <v>214.10999999999996</v>
      </c>
      <c r="FG88" s="14">
        <f t="shared" si="101"/>
        <v>52.832708448119902</v>
      </c>
      <c r="FH88" s="22">
        <f t="shared" si="76"/>
        <v>464.92521721380871</v>
      </c>
      <c r="FI88" s="62">
        <f t="shared" si="77"/>
        <v>758.25855054714202</v>
      </c>
      <c r="FJ88" s="62">
        <f ca="1">AVERAGE(OFFSET($FI$3,0,0,'Données projet'!$E$16+1,1))-AVERAGE(OFFSET($H$3,0,0,'Données projet'!$E$16+1,1))</f>
        <v>353.61481736740694</v>
      </c>
      <c r="FK88" s="62">
        <f t="shared" si="102"/>
        <v>244.7141066773861</v>
      </c>
      <c r="FL88" s="16">
        <f>IF(ISNA(VLOOKUP(A88,'Données projet'!$A$217:$I$237,3,0)),0,VLOOKUP(A88,'Données projet'!$A$217:$I$237,3,0))</f>
        <v>7</v>
      </c>
      <c r="FM88" s="16">
        <f>IF(ISNA(VLOOKUP(A88,'Données projet'!$A$217:$I$237,4,0)),0,VLOOKUP(A88,'Données projet'!$A$217:$I$237,4,0))</f>
        <v>25.641025641025639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161</v>
      </c>
      <c r="FX88" s="13">
        <f>VLOOKUP(A88,'Données projet'!$A$243:$I$263,9,0)</f>
        <v>3</v>
      </c>
      <c r="FY88" s="13">
        <f t="array" ref="FY88">INDEX(FX:FX,MIN(IF(ISNUMBER(FX88:FX284),ROW(FX88:FX284),"")))</f>
        <v>3</v>
      </c>
      <c r="FZ88" s="13">
        <f>IF('Données projet'!$A$244&gt;35,FZ87+FY88-GH87,IF(A88&lt;'Données projet'!$A$244,$FW$205^A88,IF(A88='Données projet'!$A$244,'Données projet'!$B$244,FZ87+FY88-GH87)))</f>
        <v>161</v>
      </c>
      <c r="GA88" s="18">
        <f>FZ88*VLOOKUP('Données projet'!$B$17,Paramètres!$A$1:$I$89,3,0)*VLOOKUP('Données projet'!$B$17,Paramètres!$A$1:$I$89,5,0)</f>
        <v>173.3004</v>
      </c>
      <c r="GB88" s="14">
        <f t="shared" si="103"/>
        <v>43.82837416766705</v>
      </c>
      <c r="GC88" s="22">
        <f t="shared" si="79"/>
        <v>378.1659483420201</v>
      </c>
      <c r="GD88" s="62">
        <f t="shared" si="80"/>
        <v>671.49928167535336</v>
      </c>
      <c r="GE88" s="62">
        <f ca="1">AVERAGE(OFFSET($GD$3,0,0,'Données projet'!$E$17+1,1))-AVERAGE(OFFSET($H$3,0,0,'Données projet'!$E$17+1,1))</f>
        <v>280.20599015000306</v>
      </c>
      <c r="GF88" s="62">
        <f t="shared" si="104"/>
        <v>166.97658184507787</v>
      </c>
      <c r="GG88" s="16">
        <f>IF(ISNA(VLOOKUP(A88,'Données projet'!$A$243:$I$263,3,0)),0,VLOOKUP(A88,'Données projet'!$A$243:$I$263,3,0))</f>
        <v>6</v>
      </c>
      <c r="GH88" s="16">
        <f>IF(ISNA(VLOOKUP(A88,'Données projet'!$A$243:$I$263,4,0)),0,VLOOKUP(A88,'Données projet'!$A$243:$I$263,4,0))</f>
        <v>18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269.23076923076923</v>
      </c>
      <c r="GS88" s="13">
        <f>VLOOKUP(A88,'Données projet'!$A$269:$I$289,9,0)</f>
        <v>3.8461538461538454</v>
      </c>
      <c r="GT88" s="13">
        <f t="array" ref="GT88">INDEX(GS:GS,MIN(IF(ISNUMBER(GS88:GS284),ROW(GS88:GS284),"")))</f>
        <v>3.8461538461538454</v>
      </c>
      <c r="GU88" s="13">
        <f>IF('Données projet'!$A$270&gt;35,GU87+GT88-HC87,IF(A88&lt;'Données projet'!$A$270,$GR$205^A88,IF(A88='Données projet'!$A$270,'Données projet'!$B$270,GU87+GT88-HC87)))</f>
        <v>269.23076923076911</v>
      </c>
      <c r="GV88" s="18">
        <f>GU88*VLOOKUP('Données projet'!$B$18,Paramètres!$A$1:$I$89,3,0)*VLOOKUP('Données projet'!$B$18,Paramètres!$A$1:$I$89,5,0)</f>
        <v>180.59999999999994</v>
      </c>
      <c r="GW88" s="14">
        <f t="shared" si="105"/>
        <v>45.455649247431545</v>
      </c>
      <c r="GX88" s="22">
        <f t="shared" si="82"/>
        <v>393.71358910594313</v>
      </c>
      <c r="GY88" s="62">
        <f t="shared" si="83"/>
        <v>687.04692243927639</v>
      </c>
      <c r="GZ88" s="62">
        <f ca="1">AVERAGE(OFFSET($GY$3,0,0,'Données projet'!$E$18+1,1))-AVERAGE(OFFSET($H$3,0,0,'Données projet'!$E$18+1,1))</f>
        <v>291.18686311753402</v>
      </c>
      <c r="HA88" s="62">
        <f t="shared" si="106"/>
        <v>215.44422413249839</v>
      </c>
      <c r="HB88" s="16">
        <f>IF(ISNA(VLOOKUP(A88,'Données projet'!$A$269:$I$289,3,0)),0,VLOOKUP(A88,'Données projet'!$A$269:$I$289,3,0))</f>
        <v>7</v>
      </c>
      <c r="HC88" s="16">
        <f>IF(ISNA(VLOOKUP(A88,'Données projet'!$A$269:$I$289,4,0)),0,VLOOKUP(A88,'Données projet'!$A$269:$I$289,4,0))</f>
        <v>23.717948717948715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9">
        <f t="shared" si="56"/>
        <v>256.66666666666669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260.02504691866199</v>
      </c>
      <c r="T89" s="62">
        <f t="shared" si="88"/>
        <v>270.11268336406368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3.3015091959459855</v>
      </c>
      <c r="AA89" s="23">
        <f>EXP(-LN(2)/25)*AA88+(1-EXP(-LN(2)/25))/(LN(2)/25)*Calculateur!V89*Calculateur!X89*VLOOKUP('Données projet'!$B$9,Paramètres!$A$1:$I$89,3,0)*0.475*44/12</f>
        <v>3.4792844149261395</v>
      </c>
      <c r="AB89" s="23">
        <f>EXP(-LN(2)/2)*AB88+(1-EXP(-LN(2)/2))/(LN(2)/2)*V89*Y89*VLOOKUP('Données projet'!$B$9,Paramètres!$A$1:$I$89,3,0)*0.475*44/12</f>
        <v>2.3618195004477515E-8</v>
      </c>
      <c r="AC89" s="24">
        <f t="shared" si="57"/>
        <v>6.7807936344903208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2">
        <f t="shared" si="59"/>
        <v>892.21253573041304</v>
      </c>
      <c r="AN89" s="62">
        <f ca="1">AVERAGE(OFFSET($AM$3,0,0,'Données projet'!$E$10+1,1))-AVERAGE(OFFSET($H$3,0,0,'Données projet'!$E$10+1,1))</f>
        <v>475.47920969424894</v>
      </c>
      <c r="AO89" s="62">
        <f t="shared" si="90"/>
        <v>271.73544012419364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247.55327999999994</v>
      </c>
      <c r="BF89" s="14">
        <f t="shared" si="91"/>
        <v>60.061713068870255</v>
      </c>
      <c r="BG89" s="22">
        <f t="shared" si="61"/>
        <v>535.76277959494894</v>
      </c>
      <c r="BH89" s="62">
        <f t="shared" si="62"/>
        <v>829.09611292828231</v>
      </c>
      <c r="BI89" s="62">
        <f ca="1">AVERAGE(OFFSET($BH$3,0,0,'Données projet'!$E$11+1,1))-AVERAGE(OFFSET($H$3,0,0,'Données projet'!$E$11+1,1))</f>
        <v>428.8489304403459</v>
      </c>
      <c r="BJ89" s="62">
        <f t="shared" si="92"/>
        <v>247.01165577562966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</v>
      </c>
      <c r="BY89" s="13">
        <f>IF('Données projet'!$A$114&gt;35,BY88+BX89-CG88,IF(A89&lt;'Données projet'!$A$114,$BV$205^A89,IF(A89='Données projet'!$A$114,'Données projet'!$B$114,BY88+BX89-CG88)))</f>
        <v>189.9999999999998</v>
      </c>
      <c r="BZ89" s="14">
        <f>BY89*VLOOKUP('Données projet'!$B$12,Paramètres!$A$1:$I$89,3,0)*VLOOKUP('Données projet'!$B$12,Paramètres!$A$1:$I$89,5,0)</f>
        <v>154.12799999999984</v>
      </c>
      <c r="CA89" s="14">
        <f t="shared" si="93"/>
        <v>39.515201075361119</v>
      </c>
      <c r="CB89" s="22">
        <f t="shared" si="64"/>
        <v>337.26190853958701</v>
      </c>
      <c r="CC89" s="62">
        <f t="shared" si="65"/>
        <v>630.59524187292027</v>
      </c>
      <c r="CD89" s="62">
        <f ca="1">AVERAGE(OFFSET($CC$3,0,0,'Données projet'!$E$12+1,1))-AVERAGE(OFFSET($H$3,0,0,'Données projet'!$E$12+1,1))</f>
        <v>236.22643401787644</v>
      </c>
      <c r="CE89" s="62">
        <f t="shared" si="94"/>
        <v>188.80444043778022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9.001923076923072</v>
      </c>
      <c r="CT89" s="13">
        <f>IF('Données projet'!$A$140&gt;35,CT88+CS89-DB88,IF(A89&lt;'Données projet'!$A$140,$CQ$205^A89,IF(A89='Données projet'!$A$140,'Données projet'!$B$140,CT88+CS89-DB88)))</f>
        <v>374.13653846153841</v>
      </c>
      <c r="CU89" s="18">
        <f>CT89*VLOOKUP('Données projet'!$B$13,Paramètres!$A$1:$I$89,3,0)*VLOOKUP('Données projet'!$B$13,Paramètres!$A$1:$I$89,5,0)</f>
        <v>175.09589999999997</v>
      </c>
      <c r="CV89" s="14">
        <f t="shared" si="95"/>
        <v>44.229366403274206</v>
      </c>
      <c r="CW89" s="22">
        <f t="shared" si="67"/>
        <v>381.9915056523692</v>
      </c>
      <c r="CX89" s="62">
        <f t="shared" si="68"/>
        <v>675.32483898570251</v>
      </c>
      <c r="CY89" s="62">
        <f ca="1">AVERAGE(OFFSET($CX$3,0,0,'Données projet'!$E$13+1,1))-AVERAGE(OFFSET($H$3,0,0,'Données projet'!$E$13+1,1))</f>
        <v>246.73711856758143</v>
      </c>
      <c r="CZ89" s="62">
        <f t="shared" si="96"/>
        <v>145.54897745089966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3.8461538461538454</v>
      </c>
      <c r="DO89" s="13">
        <f>IF('Données projet'!$A$166&gt;35,DO88+DN89-DW88,IF(A89&lt;'Données projet'!$A$166,$DL$205^A89,IF(A89='Données projet'!$A$166,'Données projet'!$B$166,DO88+DN89-DW88)))</f>
        <v>280.76923076923049</v>
      </c>
      <c r="DP89" s="18">
        <f>DO89*VLOOKUP('Données projet'!$B$14,Paramètres!$A$1:$I$89,3,0)*VLOOKUP('Données projet'!$B$14,Paramètres!$A$1:$I$89,5,0)</f>
        <v>293.45999999999975</v>
      </c>
      <c r="DQ89" s="14">
        <f t="shared" si="97"/>
        <v>69.803674480051043</v>
      </c>
      <c r="DR89" s="22">
        <f t="shared" si="70"/>
        <v>632.68423305275508</v>
      </c>
      <c r="DS89" s="62">
        <f t="shared" si="71"/>
        <v>926.01756638608845</v>
      </c>
      <c r="DT89" s="62">
        <f ca="1">AVERAGE(OFFSET($DS$3,0,0,'Données projet'!$E$14+1,1))-AVERAGE(OFFSET($H$3,0,0,'Données projet'!$E$14+1,1))</f>
        <v>493.70175665335978</v>
      </c>
      <c r="DU89" s="62">
        <f t="shared" si="98"/>
        <v>325.12357781685949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-1.7053025658242404E-13</v>
      </c>
      <c r="EK89" s="18">
        <f>EJ89*VLOOKUP('Données projet'!$B$15,Paramètres!$A$1:$I$89,3,0)*VLOOKUP('Données projet'!$B$15,Paramètres!$A$1:$I$89,5,0)</f>
        <v>-1.4897523215040567E-13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202.86354781280403</v>
      </c>
      <c r="EP89" s="62">
        <f t="shared" si="100"/>
        <v>217.25323885665131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3.5897435897435854</v>
      </c>
      <c r="FE89" s="13">
        <f>IF('Données projet'!$A$218&gt;35,FE88+FD89-FM88,IF(A89&lt;'Données projet'!$A$218,$FB$205^A89,IF(A89='Données projet'!$A$218,'Données projet'!$B$218,FE88+FD89-FM88)))</f>
        <v>202.9487179487179</v>
      </c>
      <c r="FF89" s="18">
        <f>FE89*VLOOKUP('Données projet'!$B$16,Paramètres!$A$1:$I$89,3,0)*VLOOKUP('Données projet'!$B$16,Paramètres!$A$1:$I$89,5,0)</f>
        <v>193.12599999999998</v>
      </c>
      <c r="FG89" s="14">
        <f t="shared" si="101"/>
        <v>48.230409312753999</v>
      </c>
      <c r="FH89" s="22">
        <f t="shared" si="76"/>
        <v>420.36241288637984</v>
      </c>
      <c r="FI89" s="62">
        <f t="shared" si="77"/>
        <v>713.6957462197131</v>
      </c>
      <c r="FJ89" s="62">
        <f ca="1">AVERAGE(OFFSET($FI$3,0,0,'Données projet'!$E$16+1,1))-AVERAGE(OFFSET($H$3,0,0,'Données projet'!$E$16+1,1))</f>
        <v>353.61481736740694</v>
      </c>
      <c r="FK89" s="62">
        <f t="shared" si="102"/>
        <v>244.7141066773861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3.2</v>
      </c>
      <c r="FZ89" s="13">
        <f>IF('Données projet'!$A$244&gt;35,FZ88+FY89-GH88,IF(A89&lt;'Données projet'!$A$244,$FW$205^A89,IF(A89='Données projet'!$A$244,'Données projet'!$B$244,FZ88+FY89-GH88)))</f>
        <v>146.19999999999999</v>
      </c>
      <c r="GA89" s="18">
        <f>FZ89*VLOOKUP('Données projet'!$B$17,Paramètres!$A$1:$I$89,3,0)*VLOOKUP('Données projet'!$B$17,Paramètres!$A$1:$I$89,5,0)</f>
        <v>157.36967999999999</v>
      </c>
      <c r="GB89" s="14">
        <f t="shared" si="103"/>
        <v>40.248668251494934</v>
      </c>
      <c r="GC89" s="22">
        <f t="shared" si="79"/>
        <v>344.18528987135369</v>
      </c>
      <c r="GD89" s="62">
        <f t="shared" si="80"/>
        <v>637.51862320468695</v>
      </c>
      <c r="GE89" s="62">
        <f ca="1">AVERAGE(OFFSET($GD$3,0,0,'Données projet'!$E$17+1,1))-AVERAGE(OFFSET($H$3,0,0,'Données projet'!$E$17+1,1))</f>
        <v>280.20599015000306</v>
      </c>
      <c r="GF89" s="62">
        <f t="shared" si="104"/>
        <v>166.97658184507787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3.5897435897435912</v>
      </c>
      <c r="GU89" s="13">
        <f>IF('Données projet'!$A$270&gt;35,GU88+GT89-HC88,IF(A89&lt;'Données projet'!$A$270,$GR$205^A89,IF(A89='Données projet'!$A$270,'Données projet'!$B$270,GU88+GT89-HC88)))</f>
        <v>249.10256410256397</v>
      </c>
      <c r="GV89" s="18">
        <f>GU89*VLOOKUP('Données projet'!$B$18,Paramètres!$A$1:$I$89,3,0)*VLOOKUP('Données projet'!$B$18,Paramètres!$A$1:$I$89,5,0)</f>
        <v>167.09799999999993</v>
      </c>
      <c r="GW89" s="14">
        <f t="shared" si="105"/>
        <v>42.439422250604494</v>
      </c>
      <c r="GX89" s="22">
        <f t="shared" si="82"/>
        <v>364.94434375313602</v>
      </c>
      <c r="GY89" s="62">
        <f t="shared" si="83"/>
        <v>658.27767708646934</v>
      </c>
      <c r="GZ89" s="62">
        <f ca="1">AVERAGE(OFFSET($GY$3,0,0,'Données projet'!$E$18+1,1))-AVERAGE(OFFSET($H$3,0,0,'Données projet'!$E$18+1,1))</f>
        <v>291.18686311753402</v>
      </c>
      <c r="HA89" s="62">
        <f t="shared" si="106"/>
        <v>215.44422413249839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9">
        <f t="shared" si="56"/>
        <v>256.66666666666669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260.02504691866199</v>
      </c>
      <c r="T90" s="62">
        <f t="shared" si="88"/>
        <v>270.11268336406368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3.2367686143352556</v>
      </c>
      <c r="AA90" s="23">
        <f>EXP(-LN(2)/25)*AA89+(1-EXP(-LN(2)/25))/(LN(2)/25)*Calculateur!V90*Calculateur!X90*VLOOKUP('Données projet'!$B$9,Paramètres!$A$1:$I$89,3,0)*0.475*44/12</f>
        <v>3.3841431996323688</v>
      </c>
      <c r="AB90" s="23">
        <f>EXP(-LN(2)/2)*AB89+(1-EXP(-LN(2)/2))/(LN(2)/2)*V90*Y90*VLOOKUP('Données projet'!$B$9,Paramètres!$A$1:$I$89,3,0)*0.475*44/12</f>
        <v>1.6700585847052292E-8</v>
      </c>
      <c r="AC90" s="24">
        <f t="shared" si="57"/>
        <v>6.6209118306682102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2">
        <f t="shared" si="59"/>
        <v>904.19220220371358</v>
      </c>
      <c r="AN90" s="62">
        <f ca="1">AVERAGE(OFFSET($AM$3,0,0,'Données projet'!$E$10+1,1))-AVERAGE(OFFSET($H$3,0,0,'Données projet'!$E$10+1,1))</f>
        <v>475.47920969424894</v>
      </c>
      <c r="AO90" s="62">
        <f t="shared" si="90"/>
        <v>271.73544012419364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252.62015999999997</v>
      </c>
      <c r="BF90" s="14">
        <f t="shared" si="91"/>
        <v>61.14666777229877</v>
      </c>
      <c r="BG90" s="22">
        <f t="shared" si="61"/>
        <v>546.47722503675357</v>
      </c>
      <c r="BH90" s="62">
        <f t="shared" si="62"/>
        <v>839.81055837008694</v>
      </c>
      <c r="BI90" s="62">
        <f ca="1">AVERAGE(OFFSET($BH$3,0,0,'Données projet'!$E$11+1,1))-AVERAGE(OFFSET($H$3,0,0,'Données projet'!$E$11+1,1))</f>
        <v>428.8489304403459</v>
      </c>
      <c r="BJ90" s="62">
        <f t="shared" si="92"/>
        <v>247.01165577562966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</v>
      </c>
      <c r="BY90" s="13">
        <f>IF('Données projet'!$A$114&gt;35,BY89+BX90-CG89,IF(A90&lt;'Données projet'!$A$114,$BV$205^A90,IF(A90='Données projet'!$A$114,'Données projet'!$B$114,BY89+BX90-CG89)))</f>
        <v>192.9999999999998</v>
      </c>
      <c r="BZ90" s="14">
        <f>BY90*VLOOKUP('Données projet'!$B$12,Paramètres!$A$1:$I$89,3,0)*VLOOKUP('Données projet'!$B$12,Paramètres!$A$1:$I$89,5,0)</f>
        <v>156.56159999999986</v>
      </c>
      <c r="CA90" s="14">
        <f t="shared" si="93"/>
        <v>40.065996859746441</v>
      </c>
      <c r="CB90" s="22">
        <f t="shared" si="64"/>
        <v>342.45973119739142</v>
      </c>
      <c r="CC90" s="62">
        <f t="shared" si="65"/>
        <v>635.79306453072468</v>
      </c>
      <c r="CD90" s="62">
        <f ca="1">AVERAGE(OFFSET($CC$3,0,0,'Données projet'!$E$12+1,1))-AVERAGE(OFFSET($H$3,0,0,'Données projet'!$E$12+1,1))</f>
        <v>236.22643401787644</v>
      </c>
      <c r="CE90" s="62">
        <f t="shared" si="94"/>
        <v>188.80444043778022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>
        <f>VLOOKUP(A90,'Données projet'!$A$139:$I$159,2,0)</f>
        <v>383.13846153846151</v>
      </c>
      <c r="CR90" s="13">
        <f>VLOOKUP(A90,'Données projet'!$A$139:$I$159,9,0)</f>
        <v>9.001923076923072</v>
      </c>
      <c r="CS90" s="13">
        <f t="array" ref="CS90">INDEX(CR:CR,MIN(IF(ISNUMBER(CR90:CR286),ROW(CR90:CR286),"")))</f>
        <v>9.001923076923072</v>
      </c>
      <c r="CT90" s="13">
        <f>IF('Données projet'!$A$140&gt;35,CT89+CS90-DB89,IF(A90&lt;'Données projet'!$A$140,$CQ$205^A90,IF(A90='Données projet'!$A$140,'Données projet'!$B$140,CT89+CS90-DB89)))</f>
        <v>383.13846153846146</v>
      </c>
      <c r="CU90" s="18">
        <f>CT90*VLOOKUP('Données projet'!$B$13,Paramètres!$A$1:$I$89,3,0)*VLOOKUP('Données projet'!$B$13,Paramètres!$A$1:$I$89,5,0)</f>
        <v>179.30879999999996</v>
      </c>
      <c r="CV90" s="14">
        <f t="shared" si="95"/>
        <v>45.168372484136555</v>
      </c>
      <c r="CW90" s="22">
        <f t="shared" si="67"/>
        <v>390.9644087432045</v>
      </c>
      <c r="CX90" s="62">
        <f t="shared" si="68"/>
        <v>684.29774207653782</v>
      </c>
      <c r="CY90" s="62">
        <f ca="1">AVERAGE(OFFSET($CX$3,0,0,'Données projet'!$E$13+1,1))-AVERAGE(OFFSET($H$3,0,0,'Données projet'!$E$13+1,1))</f>
        <v>246.73711856758143</v>
      </c>
      <c r="CZ90" s="62">
        <f t="shared" si="96"/>
        <v>145.54897745089966</v>
      </c>
      <c r="DA90" s="16">
        <f>IF(ISNA(VLOOKUP(A90,'Données projet'!$A$139:$I$159,3,0)),0,VLOOKUP(A90,'Données projet'!$A$139:$I$159,3,0))</f>
        <v>4</v>
      </c>
      <c r="DB90" s="16">
        <f>IF(ISNA(VLOOKUP(A90,'Données projet'!$A$139:$I$159,4,0)),0,VLOOKUP(A90,'Données projet'!$A$139:$I$159,4,0))</f>
        <v>82.938461538461524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3.8461538461538454</v>
      </c>
      <c r="DO90" s="13">
        <f>IF('Données projet'!$A$166&gt;35,DO89+DN90-DW89,IF(A90&lt;'Données projet'!$A$166,$DL$205^A90,IF(A90='Données projet'!$A$166,'Données projet'!$B$166,DO89+DN90-DW89)))</f>
        <v>284.61538461538436</v>
      </c>
      <c r="DP90" s="18">
        <f>DO90*VLOOKUP('Données projet'!$B$14,Paramètres!$A$1:$I$89,3,0)*VLOOKUP('Données projet'!$B$14,Paramètres!$A$1:$I$89,5,0)</f>
        <v>297.47999999999979</v>
      </c>
      <c r="DQ90" s="14">
        <f t="shared" si="97"/>
        <v>70.647915600656845</v>
      </c>
      <c r="DR90" s="22">
        <f t="shared" si="70"/>
        <v>641.15611967114364</v>
      </c>
      <c r="DS90" s="62">
        <f t="shared" si="71"/>
        <v>934.4894530044769</v>
      </c>
      <c r="DT90" s="62">
        <f ca="1">AVERAGE(OFFSET($DS$3,0,0,'Données projet'!$E$14+1,1))-AVERAGE(OFFSET($H$3,0,0,'Données projet'!$E$14+1,1))</f>
        <v>493.70175665335978</v>
      </c>
      <c r="DU90" s="62">
        <f t="shared" si="98"/>
        <v>325.12357781685949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-1.7053025658242404E-13</v>
      </c>
      <c r="EK90" s="18">
        <f>EJ90*VLOOKUP('Données projet'!$B$15,Paramètres!$A$1:$I$89,3,0)*VLOOKUP('Données projet'!$B$15,Paramètres!$A$1:$I$89,5,0)</f>
        <v>-1.4897523215040567E-13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202.86354781280403</v>
      </c>
      <c r="EP90" s="62">
        <f t="shared" si="100"/>
        <v>217.25323885665131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3.5897435897435854</v>
      </c>
      <c r="FE90" s="13">
        <f>IF('Données projet'!$A$218&gt;35,FE89+FD90-FM89,IF(A90&lt;'Données projet'!$A$218,$FB$205^A90,IF(A90='Données projet'!$A$218,'Données projet'!$B$218,FE89+FD90-FM89)))</f>
        <v>206.53846153846149</v>
      </c>
      <c r="FF90" s="18">
        <f>FE90*VLOOKUP('Données projet'!$B$16,Paramètres!$A$1:$I$89,3,0)*VLOOKUP('Données projet'!$B$16,Paramètres!$A$1:$I$89,5,0)</f>
        <v>196.54199999999994</v>
      </c>
      <c r="FG90" s="14">
        <f t="shared" si="101"/>
        <v>48.983434287893736</v>
      </c>
      <c r="FH90" s="22">
        <f t="shared" si="76"/>
        <v>427.62346471808149</v>
      </c>
      <c r="FI90" s="62">
        <f t="shared" si="77"/>
        <v>720.95679805141481</v>
      </c>
      <c r="FJ90" s="62">
        <f ca="1">AVERAGE(OFFSET($FI$3,0,0,'Données projet'!$E$16+1,1))-AVERAGE(OFFSET($H$3,0,0,'Données projet'!$E$16+1,1))</f>
        <v>353.61481736740694</v>
      </c>
      <c r="FK90" s="62">
        <f t="shared" si="102"/>
        <v>244.7141066773861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3.2</v>
      </c>
      <c r="FZ90" s="13">
        <f>IF('Données projet'!$A$244&gt;35,FZ89+FY90-GH89,IF(A90&lt;'Données projet'!$A$244,$FW$205^A90,IF(A90='Données projet'!$A$244,'Données projet'!$B$244,FZ89+FY90-GH89)))</f>
        <v>149.39999999999998</v>
      </c>
      <c r="GA90" s="18">
        <f>FZ90*VLOOKUP('Données projet'!$B$17,Paramètres!$A$1:$I$89,3,0)*VLOOKUP('Données projet'!$B$17,Paramètres!$A$1:$I$89,5,0)</f>
        <v>160.81415999999996</v>
      </c>
      <c r="GB90" s="14">
        <f t="shared" si="103"/>
        <v>41.026097186045085</v>
      </c>
      <c r="GC90" s="22">
        <f t="shared" si="79"/>
        <v>351.53844793236181</v>
      </c>
      <c r="GD90" s="62">
        <f t="shared" si="80"/>
        <v>644.87178126569506</v>
      </c>
      <c r="GE90" s="62">
        <f ca="1">AVERAGE(OFFSET($GD$3,0,0,'Données projet'!$E$17+1,1))-AVERAGE(OFFSET($H$3,0,0,'Données projet'!$E$17+1,1))</f>
        <v>280.20599015000306</v>
      </c>
      <c r="GF90" s="62">
        <f t="shared" si="104"/>
        <v>166.97658184507787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3.5897435897435912</v>
      </c>
      <c r="GU90" s="13">
        <f>IF('Données projet'!$A$270&gt;35,GU89+GT90-HC89,IF(A90&lt;'Données projet'!$A$270,$GR$205^A90,IF(A90='Données projet'!$A$270,'Données projet'!$B$270,GU89+GT90-HC89)))</f>
        <v>252.69230769230757</v>
      </c>
      <c r="GV90" s="18">
        <f>GU90*VLOOKUP('Données projet'!$B$18,Paramètres!$A$1:$I$89,3,0)*VLOOKUP('Données projet'!$B$18,Paramètres!$A$1:$I$89,5,0)</f>
        <v>169.50599999999991</v>
      </c>
      <c r="GW90" s="14">
        <f t="shared" si="105"/>
        <v>42.979365286652502</v>
      </c>
      <c r="GX90" s="22">
        <f t="shared" si="82"/>
        <v>370.07867787425289</v>
      </c>
      <c r="GY90" s="62">
        <f t="shared" si="83"/>
        <v>663.41201120758615</v>
      </c>
      <c r="GZ90" s="62">
        <f ca="1">AVERAGE(OFFSET($GY$3,0,0,'Données projet'!$E$18+1,1))-AVERAGE(OFFSET($H$3,0,0,'Données projet'!$E$18+1,1))</f>
        <v>291.18686311753402</v>
      </c>
      <c r="HA90" s="62">
        <f t="shared" si="106"/>
        <v>215.44422413249839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9">
        <f t="shared" si="56"/>
        <v>256.66666666666669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260.02504691866199</v>
      </c>
      <c r="T91" s="62">
        <f t="shared" si="88"/>
        <v>270.11268336406368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3.1732975560420567</v>
      </c>
      <c r="AA91" s="23">
        <f>EXP(-LN(2)/25)*AA90+(1-EXP(-LN(2)/25))/(LN(2)/25)*Calculateur!V91*Calculateur!X91*VLOOKUP('Données projet'!$B$9,Paramètres!$A$1:$I$89,3,0)*0.475*44/12</f>
        <v>3.2916036258740653</v>
      </c>
      <c r="AB91" s="23">
        <f>EXP(-LN(2)/2)*AB90+(1-EXP(-LN(2)/2))/(LN(2)/2)*V91*Y91*VLOOKUP('Données projet'!$B$9,Paramètres!$A$1:$I$89,3,0)*0.475*44/12</f>
        <v>1.1809097502238757E-8</v>
      </c>
      <c r="AC91" s="24">
        <f t="shared" si="57"/>
        <v>6.4649011937252201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2">
        <f t="shared" si="59"/>
        <v>916.16699505974566</v>
      </c>
      <c r="AN91" s="62">
        <f ca="1">AVERAGE(OFFSET($AM$3,0,0,'Données projet'!$E$10+1,1))-AVERAGE(OFFSET($H$3,0,0,'Données projet'!$E$10+1,1))</f>
        <v>475.47920969424894</v>
      </c>
      <c r="AO91" s="62">
        <f t="shared" si="90"/>
        <v>271.73544012419364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257.68704000000002</v>
      </c>
      <c r="BF91" s="14">
        <f t="shared" si="91"/>
        <v>62.229092239243343</v>
      </c>
      <c r="BG91" s="22">
        <f t="shared" si="61"/>
        <v>557.18726365001555</v>
      </c>
      <c r="BH91" s="62">
        <f t="shared" si="62"/>
        <v>850.52059698334892</v>
      </c>
      <c r="BI91" s="62">
        <f ca="1">AVERAGE(OFFSET($BH$3,0,0,'Données projet'!$E$11+1,1))-AVERAGE(OFFSET($H$3,0,0,'Données projet'!$E$11+1,1))</f>
        <v>428.8489304403459</v>
      </c>
      <c r="BJ91" s="62">
        <f t="shared" si="92"/>
        <v>247.01165577562966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</v>
      </c>
      <c r="BY91" s="13">
        <f>IF('Données projet'!$A$114&gt;35,BY90+BX91-CG90,IF(A91&lt;'Données projet'!$A$114,$BV$205^A91,IF(A91='Données projet'!$A$114,'Données projet'!$B$114,BY90+BX91-CG90)))</f>
        <v>195.9999999999998</v>
      </c>
      <c r="BZ91" s="14">
        <f>BY91*VLOOKUP('Données projet'!$B$12,Paramètres!$A$1:$I$89,3,0)*VLOOKUP('Données projet'!$B$12,Paramètres!$A$1:$I$89,5,0)</f>
        <v>158.99519999999984</v>
      </c>
      <c r="CA91" s="14">
        <f t="shared" si="93"/>
        <v>40.615796933386008</v>
      </c>
      <c r="CB91" s="22">
        <f t="shared" si="64"/>
        <v>347.65581965898036</v>
      </c>
      <c r="CC91" s="62">
        <f t="shared" si="65"/>
        <v>640.98915299231362</v>
      </c>
      <c r="CD91" s="62">
        <f ca="1">AVERAGE(OFFSET($CC$3,0,0,'Données projet'!$E$12+1,1))-AVERAGE(OFFSET($H$3,0,0,'Données projet'!$E$12+1,1))</f>
        <v>236.22643401787644</v>
      </c>
      <c r="CE91" s="62">
        <f t="shared" si="94"/>
        <v>188.80444043778022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8.1391025641025667</v>
      </c>
      <c r="CT91" s="13">
        <f>IF('Données projet'!$A$140&gt;35,CT90+CS91-DB90,IF(A91&lt;'Données projet'!$A$140,$CQ$205^A91,IF(A91='Données projet'!$A$140,'Données projet'!$B$140,CT90+CS91-DB90)))</f>
        <v>308.33910256410252</v>
      </c>
      <c r="CU91" s="18">
        <f>CT91*VLOOKUP('Données projet'!$B$13,Paramètres!$A$1:$I$89,3,0)*VLOOKUP('Données projet'!$B$13,Paramètres!$A$1:$I$89,5,0)</f>
        <v>144.30269999999999</v>
      </c>
      <c r="CV91" s="14">
        <f t="shared" si="95"/>
        <v>37.280950392910881</v>
      </c>
      <c r="CW91" s="22">
        <f t="shared" si="67"/>
        <v>316.25819110098644</v>
      </c>
      <c r="CX91" s="62">
        <f t="shared" si="68"/>
        <v>609.59152443431981</v>
      </c>
      <c r="CY91" s="62">
        <f ca="1">AVERAGE(OFFSET($CX$3,0,0,'Données projet'!$E$13+1,1))-AVERAGE(OFFSET($H$3,0,0,'Données projet'!$E$13+1,1))</f>
        <v>246.73711856758143</v>
      </c>
      <c r="CZ91" s="62">
        <f t="shared" si="96"/>
        <v>145.54897745089966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3.8461538461538454</v>
      </c>
      <c r="DO91" s="13">
        <f>IF('Données projet'!$A$166&gt;35,DO90+DN91-DW90,IF(A91&lt;'Données projet'!$A$166,$DL$205^A91,IF(A91='Données projet'!$A$166,'Données projet'!$B$166,DO90+DN91-DW90)))</f>
        <v>288.46153846153823</v>
      </c>
      <c r="DP91" s="18">
        <f>DO91*VLOOKUP('Données projet'!$B$14,Paramètres!$A$1:$I$89,3,0)*VLOOKUP('Données projet'!$B$14,Paramètres!$A$1:$I$89,5,0)</f>
        <v>301.49999999999977</v>
      </c>
      <c r="DQ91" s="14">
        <f t="shared" si="97"/>
        <v>71.490829753972974</v>
      </c>
      <c r="DR91" s="22">
        <f t="shared" si="70"/>
        <v>649.62569515483597</v>
      </c>
      <c r="DS91" s="62">
        <f t="shared" si="71"/>
        <v>942.95902848816922</v>
      </c>
      <c r="DT91" s="62">
        <f ca="1">AVERAGE(OFFSET($DS$3,0,0,'Données projet'!$E$14+1,1))-AVERAGE(OFFSET($H$3,0,0,'Données projet'!$E$14+1,1))</f>
        <v>493.70175665335978</v>
      </c>
      <c r="DU91" s="62">
        <f t="shared" si="98"/>
        <v>325.12357781685949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-1.7053025658242404E-13</v>
      </c>
      <c r="EK91" s="18">
        <f>EJ91*VLOOKUP('Données projet'!$B$15,Paramètres!$A$1:$I$89,3,0)*VLOOKUP('Données projet'!$B$15,Paramètres!$A$1:$I$89,5,0)</f>
        <v>-1.4897523215040567E-13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202.86354781280403</v>
      </c>
      <c r="EP91" s="62">
        <f t="shared" si="100"/>
        <v>217.25323885665131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3.5897435897435854</v>
      </c>
      <c r="FE91" s="13">
        <f>IF('Données projet'!$A$218&gt;35,FE90+FD91-FM90,IF(A91&lt;'Données projet'!$A$218,$FB$205^A91,IF(A91='Données projet'!$A$218,'Données projet'!$B$218,FE90+FD91-FM90)))</f>
        <v>210.12820512820508</v>
      </c>
      <c r="FF91" s="18">
        <f>FE91*VLOOKUP('Données projet'!$B$16,Paramètres!$A$1:$I$89,3,0)*VLOOKUP('Données projet'!$B$16,Paramètres!$A$1:$I$89,5,0)</f>
        <v>199.95799999999994</v>
      </c>
      <c r="FG91" s="14">
        <f t="shared" si="101"/>
        <v>49.734937283774826</v>
      </c>
      <c r="FH91" s="22">
        <f t="shared" si="76"/>
        <v>434.88186576924096</v>
      </c>
      <c r="FI91" s="62">
        <f t="shared" si="77"/>
        <v>728.21519910257427</v>
      </c>
      <c r="FJ91" s="62">
        <f ca="1">AVERAGE(OFFSET($FI$3,0,0,'Données projet'!$E$16+1,1))-AVERAGE(OFFSET($H$3,0,0,'Données projet'!$E$16+1,1))</f>
        <v>353.61481736740694</v>
      </c>
      <c r="FK91" s="62">
        <f t="shared" si="102"/>
        <v>244.7141066773861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3.2</v>
      </c>
      <c r="FZ91" s="13">
        <f>IF('Données projet'!$A$244&gt;35,FZ90+FY91-GH90,IF(A91&lt;'Données projet'!$A$244,$FW$205^A91,IF(A91='Données projet'!$A$244,'Données projet'!$B$244,FZ90+FY91-GH90)))</f>
        <v>152.59999999999997</v>
      </c>
      <c r="GA91" s="18">
        <f>FZ91*VLOOKUP('Données projet'!$B$17,Paramètres!$A$1:$I$89,3,0)*VLOOKUP('Données projet'!$B$17,Paramètres!$A$1:$I$89,5,0)</f>
        <v>164.25863999999996</v>
      </c>
      <c r="GB91" s="14">
        <f t="shared" si="103"/>
        <v>41.80159011374478</v>
      </c>
      <c r="GC91" s="22">
        <f t="shared" si="79"/>
        <v>358.8882341147721</v>
      </c>
      <c r="GD91" s="62">
        <f t="shared" si="80"/>
        <v>652.22156744810536</v>
      </c>
      <c r="GE91" s="62">
        <f ca="1">AVERAGE(OFFSET($GD$3,0,0,'Données projet'!$E$17+1,1))-AVERAGE(OFFSET($H$3,0,0,'Données projet'!$E$17+1,1))</f>
        <v>280.20599015000306</v>
      </c>
      <c r="GF91" s="62">
        <f t="shared" si="104"/>
        <v>166.97658184507787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3.5897435897435912</v>
      </c>
      <c r="GU91" s="13">
        <f>IF('Données projet'!$A$270&gt;35,GU90+GT91-HC90,IF(A91&lt;'Données projet'!$A$270,$GR$205^A91,IF(A91='Données projet'!$A$270,'Données projet'!$B$270,GU90+GT91-HC90)))</f>
        <v>256.28205128205116</v>
      </c>
      <c r="GV91" s="18">
        <f>GU91*VLOOKUP('Données projet'!$B$18,Paramètres!$A$1:$I$89,3,0)*VLOOKUP('Données projet'!$B$18,Paramètres!$A$1:$I$89,5,0)</f>
        <v>171.9139999999999</v>
      </c>
      <c r="GW91" s="14">
        <f t="shared" si="105"/>
        <v>43.518416191440188</v>
      </c>
      <c r="GX91" s="22">
        <f t="shared" si="82"/>
        <v>375.2114582000915</v>
      </c>
      <c r="GY91" s="62">
        <f t="shared" si="83"/>
        <v>668.54479153342481</v>
      </c>
      <c r="GZ91" s="62">
        <f ca="1">AVERAGE(OFFSET($GY$3,0,0,'Données projet'!$E$18+1,1))-AVERAGE(OFFSET($H$3,0,0,'Données projet'!$E$18+1,1))</f>
        <v>291.18686311753402</v>
      </c>
      <c r="HA91" s="62">
        <f t="shared" si="106"/>
        <v>215.44422413249839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9">
        <f t="shared" si="56"/>
        <v>256.66666666666669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260.02504691866199</v>
      </c>
      <c r="T92" s="62">
        <f t="shared" si="88"/>
        <v>270.11268336406368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3.1110711264884645</v>
      </c>
      <c r="AA92" s="23">
        <f>EXP(-LN(2)/25)*AA91+(1-EXP(-LN(2)/25))/(LN(2)/25)*Calculateur!V92*Calculateur!X92*VLOOKUP('Données projet'!$B$9,Paramètres!$A$1:$I$89,3,0)*0.475*44/12</f>
        <v>3.2015945516266275</v>
      </c>
      <c r="AB92" s="23">
        <f>EXP(-LN(2)/2)*AB91+(1-EXP(-LN(2)/2))/(LN(2)/2)*V92*Y92*VLOOKUP('Données projet'!$B$9,Paramètres!$A$1:$I$89,3,0)*0.475*44/12</f>
        <v>8.3502929235261459E-9</v>
      </c>
      <c r="AC92" s="24">
        <f t="shared" si="57"/>
        <v>6.312665686465385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2">
        <f t="shared" si="59"/>
        <v>928.13702117418165</v>
      </c>
      <c r="AN92" s="62">
        <f ca="1">AVERAGE(OFFSET($AM$3,0,0,'Données projet'!$E$10+1,1))-AVERAGE(OFFSET($H$3,0,0,'Données projet'!$E$10+1,1))</f>
        <v>475.47920969424894</v>
      </c>
      <c r="AO92" s="62">
        <f t="shared" si="90"/>
        <v>271.73544012419364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262.75392000000005</v>
      </c>
      <c r="BF92" s="14">
        <f t="shared" si="91"/>
        <v>63.309041956360382</v>
      </c>
      <c r="BG92" s="22">
        <f t="shared" si="61"/>
        <v>567.89299207399438</v>
      </c>
      <c r="BH92" s="62">
        <f t="shared" si="62"/>
        <v>861.22632540732775</v>
      </c>
      <c r="BI92" s="62">
        <f ca="1">AVERAGE(OFFSET($BH$3,0,0,'Données projet'!$E$11+1,1))-AVERAGE(OFFSET($H$3,0,0,'Données projet'!$E$11+1,1))</f>
        <v>428.8489304403459</v>
      </c>
      <c r="BJ92" s="62">
        <f t="shared" si="92"/>
        <v>247.01165577562966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</v>
      </c>
      <c r="BY92" s="13">
        <f>IF('Données projet'!$A$114&gt;35,BY91+BX92-CG91,IF(A92&lt;'Données projet'!$A$114,$BV$205^A92,IF(A92='Données projet'!$A$114,'Données projet'!$B$114,BY91+BX92-CG91)))</f>
        <v>198.9999999999998</v>
      </c>
      <c r="BZ92" s="14">
        <f>BY92*VLOOKUP('Données projet'!$B$12,Paramètres!$A$1:$I$89,3,0)*VLOOKUP('Données projet'!$B$12,Paramètres!$A$1:$I$89,5,0)</f>
        <v>161.42879999999985</v>
      </c>
      <c r="CA92" s="14">
        <f t="shared" si="93"/>
        <v>41.164618296930165</v>
      </c>
      <c r="CB92" s="22">
        <f t="shared" si="64"/>
        <v>352.85020353381975</v>
      </c>
      <c r="CC92" s="62">
        <f t="shared" si="65"/>
        <v>646.18353686715307</v>
      </c>
      <c r="CD92" s="62">
        <f ca="1">AVERAGE(OFFSET($CC$3,0,0,'Données projet'!$E$12+1,1))-AVERAGE(OFFSET($H$3,0,0,'Données projet'!$E$12+1,1))</f>
        <v>236.22643401787644</v>
      </c>
      <c r="CE92" s="62">
        <f t="shared" si="94"/>
        <v>188.80444043778022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8.1391025641025667</v>
      </c>
      <c r="CT92" s="13">
        <f>IF('Données projet'!$A$140&gt;35,CT91+CS92-DB91,IF(A92&lt;'Données projet'!$A$140,$CQ$205^A92,IF(A92='Données projet'!$A$140,'Données projet'!$B$140,CT91+CS92-DB91)))</f>
        <v>316.4782051282051</v>
      </c>
      <c r="CU92" s="18">
        <f>CT92*VLOOKUP('Données projet'!$B$13,Paramètres!$A$1:$I$89,3,0)*VLOOKUP('Données projet'!$B$13,Paramètres!$A$1:$I$89,5,0)</f>
        <v>148.11179999999999</v>
      </c>
      <c r="CV92" s="14">
        <f t="shared" si="95"/>
        <v>38.149169544694914</v>
      </c>
      <c r="CW92" s="22">
        <f t="shared" si="67"/>
        <v>324.40452195701022</v>
      </c>
      <c r="CX92" s="62">
        <f t="shared" si="68"/>
        <v>617.73785529034353</v>
      </c>
      <c r="CY92" s="62">
        <f ca="1">AVERAGE(OFFSET($CX$3,0,0,'Données projet'!$E$13+1,1))-AVERAGE(OFFSET($H$3,0,0,'Données projet'!$E$13+1,1))</f>
        <v>246.73711856758143</v>
      </c>
      <c r="CZ92" s="62">
        <f t="shared" si="96"/>
        <v>145.54897745089966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3.8461538461538454</v>
      </c>
      <c r="DO92" s="13">
        <f>IF('Données projet'!$A$166&gt;35,DO91+DN92-DW91,IF(A92&lt;'Données projet'!$A$166,$DL$205^A92,IF(A92='Données projet'!$A$166,'Données projet'!$B$166,DO91+DN92-DW91)))</f>
        <v>292.30769230769209</v>
      </c>
      <c r="DP92" s="18">
        <f>DO92*VLOOKUP('Données projet'!$B$14,Paramètres!$A$1:$I$89,3,0)*VLOOKUP('Données projet'!$B$14,Paramètres!$A$1:$I$89,5,0)</f>
        <v>305.51999999999981</v>
      </c>
      <c r="DQ92" s="14">
        <f t="shared" si="97"/>
        <v>72.332436678206648</v>
      </c>
      <c r="DR92" s="22">
        <f t="shared" si="70"/>
        <v>658.09299388120962</v>
      </c>
      <c r="DS92" s="62">
        <f t="shared" si="71"/>
        <v>951.42632721454288</v>
      </c>
      <c r="DT92" s="62">
        <f ca="1">AVERAGE(OFFSET($DS$3,0,0,'Données projet'!$E$14+1,1))-AVERAGE(OFFSET($H$3,0,0,'Données projet'!$E$14+1,1))</f>
        <v>493.70175665335978</v>
      </c>
      <c r="DU92" s="62">
        <f t="shared" si="98"/>
        <v>325.12357781685949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-1.7053025658242404E-13</v>
      </c>
      <c r="EK92" s="18">
        <f>EJ92*VLOOKUP('Données projet'!$B$15,Paramètres!$A$1:$I$89,3,0)*VLOOKUP('Données projet'!$B$15,Paramètres!$A$1:$I$89,5,0)</f>
        <v>-1.4897523215040567E-13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202.86354781280403</v>
      </c>
      <c r="EP92" s="62">
        <f t="shared" si="100"/>
        <v>217.25323885665131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3.5897435897435854</v>
      </c>
      <c r="FE92" s="13">
        <f>IF('Données projet'!$A$218&gt;35,FE91+FD92-FM91,IF(A92&lt;'Données projet'!$A$218,$FB$205^A92,IF(A92='Données projet'!$A$218,'Données projet'!$B$218,FE91+FD92-FM91)))</f>
        <v>213.71794871794867</v>
      </c>
      <c r="FF92" s="18">
        <f>FE92*VLOOKUP('Données projet'!$B$16,Paramètres!$A$1:$I$89,3,0)*VLOOKUP('Données projet'!$B$16,Paramètres!$A$1:$I$89,5,0)</f>
        <v>203.37399999999994</v>
      </c>
      <c r="FG92" s="14">
        <f t="shared" si="101"/>
        <v>50.48494730176543</v>
      </c>
      <c r="FH92" s="22">
        <f t="shared" si="76"/>
        <v>442.13766655057469</v>
      </c>
      <c r="FI92" s="62">
        <f t="shared" si="77"/>
        <v>735.47099988390801</v>
      </c>
      <c r="FJ92" s="62">
        <f ca="1">AVERAGE(OFFSET($FI$3,0,0,'Données projet'!$E$16+1,1))-AVERAGE(OFFSET($H$3,0,0,'Données projet'!$E$16+1,1))</f>
        <v>353.61481736740694</v>
      </c>
      <c r="FK92" s="62">
        <f t="shared" si="102"/>
        <v>244.7141066773861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3.2</v>
      </c>
      <c r="FZ92" s="13">
        <f>IF('Données projet'!$A$244&gt;35,FZ91+FY92-GH91,IF(A92&lt;'Données projet'!$A$244,$FW$205^A92,IF(A92='Données projet'!$A$244,'Données projet'!$B$244,FZ91+FY92-GH91)))</f>
        <v>155.79999999999995</v>
      </c>
      <c r="GA92" s="18">
        <f>FZ92*VLOOKUP('Données projet'!$B$17,Paramètres!$A$1:$I$89,3,0)*VLOOKUP('Données projet'!$B$17,Paramètres!$A$1:$I$89,5,0)</f>
        <v>167.70311999999996</v>
      </c>
      <c r="GB92" s="14">
        <f t="shared" si="103"/>
        <v>42.575192309390843</v>
      </c>
      <c r="GC92" s="22">
        <f t="shared" si="79"/>
        <v>366.23472727218899</v>
      </c>
      <c r="GD92" s="62">
        <f t="shared" si="80"/>
        <v>659.56806060552231</v>
      </c>
      <c r="GE92" s="62">
        <f ca="1">AVERAGE(OFFSET($GD$3,0,0,'Données projet'!$E$17+1,1))-AVERAGE(OFFSET($H$3,0,0,'Données projet'!$E$17+1,1))</f>
        <v>280.20599015000306</v>
      </c>
      <c r="GF92" s="62">
        <f t="shared" si="104"/>
        <v>166.97658184507787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3.5897435897435912</v>
      </c>
      <c r="GU92" s="13">
        <f>IF('Données projet'!$A$270&gt;35,GU91+GT92-HC91,IF(A92&lt;'Données projet'!$A$270,$GR$205^A92,IF(A92='Données projet'!$A$270,'Données projet'!$B$270,GU91+GT92-HC91)))</f>
        <v>259.87179487179475</v>
      </c>
      <c r="GV92" s="18">
        <f>GU92*VLOOKUP('Données projet'!$B$18,Paramètres!$A$1:$I$89,3,0)*VLOOKUP('Données projet'!$B$18,Paramètres!$A$1:$I$89,5,0)</f>
        <v>174.32199999999992</v>
      </c>
      <c r="GW92" s="14">
        <f t="shared" si="105"/>
        <v>44.056588905148629</v>
      </c>
      <c r="GX92" s="22">
        <f t="shared" si="82"/>
        <v>380.34270900980033</v>
      </c>
      <c r="GY92" s="62">
        <f t="shared" si="83"/>
        <v>673.67604234313364</v>
      </c>
      <c r="GZ92" s="62">
        <f ca="1">AVERAGE(OFFSET($GY$3,0,0,'Données projet'!$E$18+1,1))-AVERAGE(OFFSET($H$3,0,0,'Données projet'!$E$18+1,1))</f>
        <v>291.18686311753402</v>
      </c>
      <c r="HA92" s="62">
        <f t="shared" si="106"/>
        <v>215.44422413249839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9">
        <f t="shared" si="56"/>
        <v>256.66666666666669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260.02504691866199</v>
      </c>
      <c r="T93" s="62">
        <f t="shared" si="88"/>
        <v>270.11268336406368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3.0500649192640439</v>
      </c>
      <c r="AA93" s="23">
        <f>EXP(-LN(2)/25)*AA92+(1-EXP(-LN(2)/25))/(LN(2)/25)*Calculateur!V93*Calculateur!X93*VLOOKUP('Données projet'!$B$9,Paramètres!$A$1:$I$89,3,0)*0.475*44/12</f>
        <v>3.1140467802478571</v>
      </c>
      <c r="AB93" s="23">
        <f>EXP(-LN(2)/2)*AB92+(1-EXP(-LN(2)/2))/(LN(2)/2)*V93*Y93*VLOOKUP('Données projet'!$B$9,Paramètres!$A$1:$I$89,3,0)*0.475*44/12</f>
        <v>5.9045487511193787E-9</v>
      </c>
      <c r="AC93" s="24">
        <f t="shared" si="57"/>
        <v>6.1641117054164498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2">
        <f t="shared" si="59"/>
        <v>940.10238306495398</v>
      </c>
      <c r="AN93" s="62">
        <f ca="1">AVERAGE(OFFSET($AM$3,0,0,'Données projet'!$E$10+1,1))-AVERAGE(OFFSET($H$3,0,0,'Données projet'!$E$10+1,1))</f>
        <v>475.47920969424894</v>
      </c>
      <c r="AO93" s="62">
        <f t="shared" si="90"/>
        <v>271.73544012419364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267.82080000000008</v>
      </c>
      <c r="BF93" s="14">
        <f t="shared" si="91"/>
        <v>64.386570147897373</v>
      </c>
      <c r="BG93" s="22">
        <f t="shared" si="61"/>
        <v>578.59450300758806</v>
      </c>
      <c r="BH93" s="62">
        <f t="shared" si="62"/>
        <v>871.92783634092143</v>
      </c>
      <c r="BI93" s="62">
        <f ca="1">AVERAGE(OFFSET($BH$3,0,0,'Données projet'!$E$11+1,1))-AVERAGE(OFFSET($H$3,0,0,'Données projet'!$E$11+1,1))</f>
        <v>428.8489304403459</v>
      </c>
      <c r="BJ93" s="62">
        <f t="shared" si="92"/>
        <v>247.01165577562966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202</v>
      </c>
      <c r="BW93" s="13">
        <f>VLOOKUP(A93,'Données projet'!$A$113:$I$133,9,0)</f>
        <v>3</v>
      </c>
      <c r="BX93" s="13">
        <f t="array" ref="BX93">INDEX(BW:BW,MIN(IF(ISNUMBER(BW93:BW289),ROW(BW93:BW289),"")))</f>
        <v>3</v>
      </c>
      <c r="BY93" s="13">
        <f>IF('Données projet'!$A$114&gt;35,BY92+BX93-CG92,IF(A93&lt;'Données projet'!$A$114,$BV$205^A93,IF(A93='Données projet'!$A$114,'Données projet'!$B$114,BY92+BX93-CG92)))</f>
        <v>201.9999999999998</v>
      </c>
      <c r="BZ93" s="14">
        <f>BY93*VLOOKUP('Données projet'!$B$12,Paramètres!$A$1:$I$89,3,0)*VLOOKUP('Données projet'!$B$12,Paramètres!$A$1:$I$89,5,0)</f>
        <v>163.86239999999987</v>
      </c>
      <c r="CA93" s="14">
        <f t="shared" si="93"/>
        <v>41.712477409029042</v>
      </c>
      <c r="CB93" s="22">
        <f t="shared" si="64"/>
        <v>358.04291148739202</v>
      </c>
      <c r="CC93" s="62">
        <f t="shared" si="65"/>
        <v>651.37624482072533</v>
      </c>
      <c r="CD93" s="62">
        <f ca="1">AVERAGE(OFFSET($CC$3,0,0,'Données projet'!$E$12+1,1))-AVERAGE(OFFSET($H$3,0,0,'Données projet'!$E$12+1,1))</f>
        <v>236.22643401787644</v>
      </c>
      <c r="CE93" s="62">
        <f t="shared" si="94"/>
        <v>188.80444043778022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202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8.1391025641025667</v>
      </c>
      <c r="CT93" s="13">
        <f>IF('Données projet'!$A$140&gt;35,CT92+CS93-DB92,IF(A93&lt;'Données projet'!$A$140,$CQ$205^A93,IF(A93='Données projet'!$A$140,'Données projet'!$B$140,CT92+CS93-DB92)))</f>
        <v>324.61730769230769</v>
      </c>
      <c r="CU93" s="18">
        <f>CT93*VLOOKUP('Données projet'!$B$13,Paramètres!$A$1:$I$89,3,0)*VLOOKUP('Données projet'!$B$13,Paramètres!$A$1:$I$89,5,0)</f>
        <v>151.92089999999999</v>
      </c>
      <c r="CV93" s="14">
        <f t="shared" si="95"/>
        <v>39.014793227910189</v>
      </c>
      <c r="CW93" s="22">
        <f t="shared" si="67"/>
        <v>332.54633237194355</v>
      </c>
      <c r="CX93" s="62">
        <f t="shared" si="68"/>
        <v>625.87966570527692</v>
      </c>
      <c r="CY93" s="62">
        <f ca="1">AVERAGE(OFFSET($CX$3,0,0,'Données projet'!$E$13+1,1))-AVERAGE(OFFSET($H$3,0,0,'Données projet'!$E$13+1,1))</f>
        <v>246.73711856758143</v>
      </c>
      <c r="CZ93" s="62">
        <f t="shared" si="96"/>
        <v>145.54897745089966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296.15384615384613</v>
      </c>
      <c r="DM93" s="13">
        <f>VLOOKUP(A93,'Données projet'!$A$165:$I$185,9,0)</f>
        <v>3.8461538461538454</v>
      </c>
      <c r="DN93" s="13">
        <f t="array" ref="DN93">INDEX(DM:DM,MIN(IF(ISNUMBER(DM93:DM289),ROW(DM93:DM289),"")))</f>
        <v>3.8461538461538454</v>
      </c>
      <c r="DO93" s="13">
        <f>IF('Données projet'!$A$166&gt;35,DO92+DN93-DW92,IF(A93&lt;'Données projet'!$A$166,$DL$205^A93,IF(A93='Données projet'!$A$166,'Données projet'!$B$166,DO92+DN93-DW92)))</f>
        <v>296.15384615384596</v>
      </c>
      <c r="DP93" s="18">
        <f>DO93*VLOOKUP('Données projet'!$B$14,Paramètres!$A$1:$I$89,3,0)*VLOOKUP('Données projet'!$B$14,Paramètres!$A$1:$I$89,5,0)</f>
        <v>309.53999999999979</v>
      </c>
      <c r="DQ93" s="14">
        <f t="shared" si="97"/>
        <v>73.172755562281282</v>
      </c>
      <c r="DR93" s="22">
        <f t="shared" si="70"/>
        <v>666.5580492709729</v>
      </c>
      <c r="DS93" s="62">
        <f t="shared" si="71"/>
        <v>959.89138260430627</v>
      </c>
      <c r="DT93" s="62">
        <f ca="1">AVERAGE(OFFSET($DS$3,0,0,'Données projet'!$E$14+1,1))-AVERAGE(OFFSET($H$3,0,0,'Données projet'!$E$14+1,1))</f>
        <v>493.70175665335978</v>
      </c>
      <c r="DU93" s="62">
        <f t="shared" si="98"/>
        <v>325.12357781685949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21.153846153846153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-1.7053025658242404E-13</v>
      </c>
      <c r="EK93" s="18">
        <f>EJ93*VLOOKUP('Données projet'!$B$15,Paramètres!$A$1:$I$89,3,0)*VLOOKUP('Données projet'!$B$15,Paramètres!$A$1:$I$89,5,0)</f>
        <v>-1.4897523215040567E-13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202.86354781280403</v>
      </c>
      <c r="EP93" s="62">
        <f t="shared" si="100"/>
        <v>217.25323885665131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217.30769230769229</v>
      </c>
      <c r="FC93" s="13">
        <f>VLOOKUP(A93,'Données projet'!$A$217:$I$237,9,0)</f>
        <v>3.5897435897435854</v>
      </c>
      <c r="FD93" s="13">
        <f t="array" ref="FD93">INDEX(FC:FC,MIN(IF(ISNUMBER(FC93:FC289),ROW(FC93:FC289),"")))</f>
        <v>3.5897435897435854</v>
      </c>
      <c r="FE93" s="13">
        <f>IF('Données projet'!$A$218&gt;35,FE92+FD93-FM92,IF(A93&lt;'Données projet'!$A$218,$FB$205^A93,IF(A93='Données projet'!$A$218,'Données projet'!$B$218,FE92+FD93-FM92)))</f>
        <v>217.30769230769226</v>
      </c>
      <c r="FF93" s="18">
        <f>FE93*VLOOKUP('Données projet'!$B$16,Paramètres!$A$1:$I$89,3,0)*VLOOKUP('Données projet'!$B$16,Paramètres!$A$1:$I$89,5,0)</f>
        <v>206.78999999999994</v>
      </c>
      <c r="FG93" s="14">
        <f t="shared" si="101"/>
        <v>51.233492313143493</v>
      </c>
      <c r="FH93" s="22">
        <f t="shared" si="76"/>
        <v>449.39091577872478</v>
      </c>
      <c r="FI93" s="62">
        <f t="shared" si="77"/>
        <v>742.72424911205803</v>
      </c>
      <c r="FJ93" s="62">
        <f ca="1">AVERAGE(OFFSET($FI$3,0,0,'Données projet'!$E$16+1,1))-AVERAGE(OFFSET($H$3,0,0,'Données projet'!$E$16+1,1))</f>
        <v>353.61481736740694</v>
      </c>
      <c r="FK93" s="62">
        <f t="shared" si="102"/>
        <v>244.7141066773861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159</v>
      </c>
      <c r="FX93" s="13">
        <f>VLOOKUP(A93,'Données projet'!$A$243:$I$263,9,0)</f>
        <v>3.2</v>
      </c>
      <c r="FY93" s="13">
        <f t="array" ref="FY93">INDEX(FX:FX,MIN(IF(ISNUMBER(FX93:FX289),ROW(FX93:FX289),"")))</f>
        <v>3.2</v>
      </c>
      <c r="FZ93" s="13">
        <f>IF('Données projet'!$A$244&gt;35,FZ92+FY93-GH92,IF(A93&lt;'Données projet'!$A$244,$FW$205^A93,IF(A93='Données projet'!$A$244,'Données projet'!$B$244,FZ92+FY93-GH92)))</f>
        <v>158.99999999999994</v>
      </c>
      <c r="GA93" s="18">
        <f>FZ93*VLOOKUP('Données projet'!$B$17,Paramètres!$A$1:$I$89,3,0)*VLOOKUP('Données projet'!$B$17,Paramètres!$A$1:$I$89,5,0)</f>
        <v>171.14759999999993</v>
      </c>
      <c r="GB93" s="14">
        <f t="shared" si="103"/>
        <v>43.346947081663025</v>
      </c>
      <c r="GC93" s="22">
        <f t="shared" si="79"/>
        <v>373.57800283389633</v>
      </c>
      <c r="GD93" s="62">
        <f t="shared" si="80"/>
        <v>666.91133616722959</v>
      </c>
      <c r="GE93" s="62">
        <f ca="1">AVERAGE(OFFSET($GD$3,0,0,'Données projet'!$E$17+1,1))-AVERAGE(OFFSET($H$3,0,0,'Données projet'!$E$17+1,1))</f>
        <v>280.20599015000306</v>
      </c>
      <c r="GF93" s="62">
        <f t="shared" si="104"/>
        <v>166.97658184507787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263.46153846153845</v>
      </c>
      <c r="GS93" s="13">
        <f>VLOOKUP(A93,'Données projet'!$A$269:$I$289,9,0)</f>
        <v>3.5897435897435912</v>
      </c>
      <c r="GT93" s="13">
        <f t="array" ref="GT93">INDEX(GS:GS,MIN(IF(ISNUMBER(GS93:GS289),ROW(GS93:GS289),"")))</f>
        <v>3.5897435897435912</v>
      </c>
      <c r="GU93" s="13">
        <f>IF('Données projet'!$A$270&gt;35,GU92+GT93-HC92,IF(A93&lt;'Données projet'!$A$270,$GR$205^A93,IF(A93='Données projet'!$A$270,'Données projet'!$B$270,GU92+GT93-HC92)))</f>
        <v>263.46153846153834</v>
      </c>
      <c r="GV93" s="18">
        <f>GU93*VLOOKUP('Données projet'!$B$18,Paramètres!$A$1:$I$89,3,0)*VLOOKUP('Données projet'!$B$18,Paramètres!$A$1:$I$89,5,0)</f>
        <v>176.72999999999993</v>
      </c>
      <c r="GW93" s="14">
        <f t="shared" si="105"/>
        <v>44.593896960707511</v>
      </c>
      <c r="GX93" s="22">
        <f t="shared" si="82"/>
        <v>385.4724538732321</v>
      </c>
      <c r="GY93" s="62">
        <f t="shared" si="83"/>
        <v>678.80578720656536</v>
      </c>
      <c r="GZ93" s="62">
        <f ca="1">AVERAGE(OFFSET($GY$3,0,0,'Données projet'!$E$18+1,1))-AVERAGE(OFFSET($H$3,0,0,'Données projet'!$E$18+1,1))</f>
        <v>291.18686311753402</v>
      </c>
      <c r="HA93" s="62">
        <f t="shared" si="106"/>
        <v>215.44422413249839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9">
        <f t="shared" si="56"/>
        <v>256.66666666666669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260.02504691866199</v>
      </c>
      <c r="T94" s="62">
        <f t="shared" si="88"/>
        <v>270.11268336406368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2.9902550065531819</v>
      </c>
      <c r="AA94" s="23">
        <f>EXP(-LN(2)/25)*AA93+(1-EXP(-LN(2)/25))/(LN(2)/25)*Calculateur!V94*Calculateur!X94*VLOOKUP('Données projet'!$B$9,Paramètres!$A$1:$I$89,3,0)*0.475*44/12</f>
        <v>3.0288930072813764</v>
      </c>
      <c r="AB94" s="23">
        <f>EXP(-LN(2)/2)*AB93+(1-EXP(-LN(2)/2))/(LN(2)/2)*V94*Y94*VLOOKUP('Données projet'!$B$9,Paramètres!$A$1:$I$89,3,0)*0.475*44/12</f>
        <v>4.175146461763073E-9</v>
      </c>
      <c r="AC94" s="24">
        <f t="shared" si="57"/>
        <v>6.0191480180097043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2">
        <f t="shared" si="59"/>
        <v>860.74189070867442</v>
      </c>
      <c r="AN94" s="62">
        <f ca="1">AVERAGE(OFFSET($AM$3,0,0,'Données projet'!$E$10+1,1))-AVERAGE(OFFSET($H$3,0,0,'Données projet'!$E$10+1,1))</f>
        <v>475.47920969424894</v>
      </c>
      <c r="AO94" s="62">
        <f t="shared" si="90"/>
        <v>271.73544012419364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234.25272000000001</v>
      </c>
      <c r="BF94" s="14">
        <f t="shared" si="91"/>
        <v>57.201236231171301</v>
      </c>
      <c r="BG94" s="22">
        <f t="shared" si="61"/>
        <v>507.61564043595672</v>
      </c>
      <c r="BH94" s="62">
        <f t="shared" si="62"/>
        <v>800.94897376928998</v>
      </c>
      <c r="BI94" s="62">
        <f ca="1">AVERAGE(OFFSET($BH$3,0,0,'Données projet'!$E$11+1,1))-AVERAGE(OFFSET($H$3,0,0,'Données projet'!$E$11+1,1))</f>
        <v>428.8489304403459</v>
      </c>
      <c r="BJ94" s="62">
        <f t="shared" si="92"/>
        <v>247.01165577562966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-1.9895196601282805E-13</v>
      </c>
      <c r="BZ94" s="14">
        <f>BY94*VLOOKUP('Données projet'!$B$12,Paramètres!$A$1:$I$89,3,0)*VLOOKUP('Données projet'!$B$12,Paramètres!$A$1:$I$89,5,0)</f>
        <v>-1.6138983482960614E-13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236.22643401787644</v>
      </c>
      <c r="CE94" s="62">
        <f t="shared" si="94"/>
        <v>188.80444043778022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8.1391025641025667</v>
      </c>
      <c r="CT94" s="13">
        <f>IF('Données projet'!$A$140&gt;35,CT93+CS94-DB93,IF(A94&lt;'Données projet'!$A$140,$CQ$205^A94,IF(A94='Données projet'!$A$140,'Données projet'!$B$140,CT93+CS94-DB93)))</f>
        <v>332.75641025641028</v>
      </c>
      <c r="CU94" s="18">
        <f>CT94*VLOOKUP('Données projet'!$B$13,Paramètres!$A$1:$I$89,3,0)*VLOOKUP('Données projet'!$B$13,Paramètres!$A$1:$I$89,5,0)</f>
        <v>155.73000000000002</v>
      </c>
      <c r="CV94" s="14">
        <f t="shared" si="95"/>
        <v>39.877894002833592</v>
      </c>
      <c r="CW94" s="22">
        <f t="shared" si="67"/>
        <v>340.68374872160183</v>
      </c>
      <c r="CX94" s="62">
        <f t="shared" si="68"/>
        <v>634.01708205493514</v>
      </c>
      <c r="CY94" s="62">
        <f ca="1">AVERAGE(OFFSET($CX$3,0,0,'Données projet'!$E$13+1,1))-AVERAGE(OFFSET($H$3,0,0,'Données projet'!$E$13+1,1))</f>
        <v>246.73711856758143</v>
      </c>
      <c r="CZ94" s="62">
        <f t="shared" si="96"/>
        <v>145.54897745089966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3.4615384615384586</v>
      </c>
      <c r="DO94" s="13">
        <f>IF('Données projet'!$A$166&gt;35,DO93+DN94-DW93,IF(A94&lt;'Données projet'!$A$166,$DL$205^A94,IF(A94='Données projet'!$A$166,'Données projet'!$B$166,DO93+DN94-DW93)))</f>
        <v>278.46153846153828</v>
      </c>
      <c r="DP94" s="18">
        <f>DO94*VLOOKUP('Données projet'!$B$14,Paramètres!$A$1:$I$89,3,0)*VLOOKUP('Données projet'!$B$14,Paramètres!$A$1:$I$89,5,0)</f>
        <v>291.04799999999983</v>
      </c>
      <c r="DQ94" s="14">
        <f t="shared" si="97"/>
        <v>69.296484438588436</v>
      </c>
      <c r="DR94" s="22">
        <f t="shared" si="70"/>
        <v>627.59997706387446</v>
      </c>
      <c r="DS94" s="62">
        <f t="shared" si="71"/>
        <v>920.93331039720783</v>
      </c>
      <c r="DT94" s="62">
        <f ca="1">AVERAGE(OFFSET($DS$3,0,0,'Données projet'!$E$14+1,1))-AVERAGE(OFFSET($H$3,0,0,'Données projet'!$E$14+1,1))</f>
        <v>493.70175665335978</v>
      </c>
      <c r="DU94" s="62">
        <f t="shared" si="98"/>
        <v>325.12357781685949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-1.7053025658242404E-13</v>
      </c>
      <c r="EK94" s="18">
        <f>EJ94*VLOOKUP('Données projet'!$B$15,Paramètres!$A$1:$I$89,3,0)*VLOOKUP('Données projet'!$B$15,Paramètres!$A$1:$I$89,5,0)</f>
        <v>-1.4897523215040567E-13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202.86354781280403</v>
      </c>
      <c r="EP94" s="62">
        <f t="shared" si="100"/>
        <v>217.25323885665131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3.333333333333337</v>
      </c>
      <c r="FE94" s="13">
        <f>IF('Données projet'!$A$218&gt;35,FE93+FD94-FM93,IF(A94&lt;'Données projet'!$A$218,$FB$205^A94,IF(A94='Données projet'!$A$218,'Données projet'!$B$218,FE93+FD94-FM93)))</f>
        <v>220.64102564102561</v>
      </c>
      <c r="FF94" s="18">
        <f>FE94*VLOOKUP('Données projet'!$B$16,Paramètres!$A$1:$I$89,3,0)*VLOOKUP('Données projet'!$B$16,Paramètres!$A$1:$I$89,5,0)</f>
        <v>209.96199999999999</v>
      </c>
      <c r="FG94" s="14">
        <f t="shared" si="101"/>
        <v>51.927281654776422</v>
      </c>
      <c r="FH94" s="22">
        <f t="shared" si="76"/>
        <v>456.12383221540227</v>
      </c>
      <c r="FI94" s="62">
        <f t="shared" si="77"/>
        <v>749.45716554873559</v>
      </c>
      <c r="FJ94" s="62">
        <f ca="1">AVERAGE(OFFSET($FI$3,0,0,'Données projet'!$E$16+1,1))-AVERAGE(OFFSET($H$3,0,0,'Données projet'!$E$16+1,1))</f>
        <v>353.61481736740694</v>
      </c>
      <c r="FK94" s="62">
        <f t="shared" si="102"/>
        <v>244.7141066773861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2.8</v>
      </c>
      <c r="FZ94" s="13">
        <f>IF('Données projet'!$A$244&gt;35,FZ93+FY94-GH93,IF(A94&lt;'Données projet'!$A$244,$FW$205^A94,IF(A94='Données projet'!$A$244,'Données projet'!$B$244,FZ93+FY94-GH93)))</f>
        <v>161.79999999999995</v>
      </c>
      <c r="GA94" s="18">
        <f>FZ94*VLOOKUP('Données projet'!$B$17,Paramètres!$A$1:$I$89,3,0)*VLOOKUP('Données projet'!$B$17,Paramètres!$A$1:$I$89,5,0)</f>
        <v>174.16151999999994</v>
      </c>
      <c r="GB94" s="14">
        <f t="shared" si="103"/>
        <v>44.020749683599938</v>
      </c>
      <c r="GC94" s="22">
        <f t="shared" si="79"/>
        <v>380.00078636560312</v>
      </c>
      <c r="GD94" s="62">
        <f t="shared" si="80"/>
        <v>673.33411969893643</v>
      </c>
      <c r="GE94" s="62">
        <f ca="1">AVERAGE(OFFSET($GD$3,0,0,'Données projet'!$E$17+1,1))-AVERAGE(OFFSET($H$3,0,0,'Données projet'!$E$17+1,1))</f>
        <v>280.20599015000306</v>
      </c>
      <c r="GF94" s="62">
        <f t="shared" si="104"/>
        <v>166.97658184507787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3.5897435897435912</v>
      </c>
      <c r="GU94" s="13">
        <f>IF('Données projet'!$A$270&gt;35,GU93+GT94-HC93,IF(A94&lt;'Données projet'!$A$270,$GR$205^A94,IF(A94='Données projet'!$A$270,'Données projet'!$B$270,GU93+GT94-HC93)))</f>
        <v>267.05128205128193</v>
      </c>
      <c r="GV94" s="18">
        <f>GU94*VLOOKUP('Données projet'!$B$18,Paramètres!$A$1:$I$89,3,0)*VLOOKUP('Données projet'!$B$18,Paramètres!$A$1:$I$89,5,0)</f>
        <v>179.13799999999992</v>
      </c>
      <c r="GW94" s="14">
        <f t="shared" si="105"/>
        <v>45.130353501076151</v>
      </c>
      <c r="GX94" s="22">
        <f t="shared" si="82"/>
        <v>390.60071568104081</v>
      </c>
      <c r="GY94" s="62">
        <f t="shared" si="83"/>
        <v>683.93404901437407</v>
      </c>
      <c r="GZ94" s="62">
        <f ca="1">AVERAGE(OFFSET($GY$3,0,0,'Données projet'!$E$18+1,1))-AVERAGE(OFFSET($H$3,0,0,'Données projet'!$E$18+1,1))</f>
        <v>291.18686311753402</v>
      </c>
      <c r="HA94" s="62">
        <f t="shared" si="106"/>
        <v>215.44422413249839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9">
        <f t="shared" si="56"/>
        <v>256.66666666666669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260.02504691866199</v>
      </c>
      <c r="T95" s="62">
        <f t="shared" si="88"/>
        <v>270.11268336406368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2.9316179297501352</v>
      </c>
      <c r="AA95" s="23">
        <f>EXP(-LN(2)/25)*AA94+(1-EXP(-LN(2)/25))/(LN(2)/25)*Calculateur!V95*Calculateur!X95*VLOOKUP('Données projet'!$B$9,Paramètres!$A$1:$I$89,3,0)*0.475*44/12</f>
        <v>2.9460677687147068</v>
      </c>
      <c r="AB95" s="23">
        <f>EXP(-LN(2)/2)*AB94+(1-EXP(-LN(2)/2))/(LN(2)/2)*V95*Y95*VLOOKUP('Données projet'!$B$9,Paramètres!$A$1:$I$89,3,0)*0.475*44/12</f>
        <v>2.9522743755596894E-9</v>
      </c>
      <c r="AC95" s="24">
        <f t="shared" si="57"/>
        <v>5.877685701417116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2">
        <f t="shared" si="59"/>
        <v>871.23605407804735</v>
      </c>
      <c r="AN95" s="62">
        <f ca="1">AVERAGE(OFFSET($AM$3,0,0,'Données projet'!$E$10+1,1))-AVERAGE(OFFSET($H$3,0,0,'Données projet'!$E$10+1,1))</f>
        <v>475.47920969424894</v>
      </c>
      <c r="AO95" s="62">
        <f t="shared" si="90"/>
        <v>271.73544012419364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238.68624</v>
      </c>
      <c r="BF95" s="14">
        <f t="shared" si="91"/>
        <v>58.156778382060871</v>
      </c>
      <c r="BG95" s="22">
        <f t="shared" si="61"/>
        <v>517.00159034875594</v>
      </c>
      <c r="BH95" s="62">
        <f t="shared" si="62"/>
        <v>810.33492368208931</v>
      </c>
      <c r="BI95" s="62">
        <f ca="1">AVERAGE(OFFSET($BH$3,0,0,'Données projet'!$E$11+1,1))-AVERAGE(OFFSET($H$3,0,0,'Données projet'!$E$11+1,1))</f>
        <v>428.8489304403459</v>
      </c>
      <c r="BJ95" s="62">
        <f t="shared" si="92"/>
        <v>247.01165577562966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-1.9895196601282805E-13</v>
      </c>
      <c r="BZ95" s="14">
        <f>BY95*VLOOKUP('Données projet'!$B$12,Paramètres!$A$1:$I$89,3,0)*VLOOKUP('Données projet'!$B$12,Paramètres!$A$1:$I$89,5,0)</f>
        <v>-1.6138983482960614E-13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236.22643401787644</v>
      </c>
      <c r="CE95" s="62">
        <f t="shared" si="94"/>
        <v>188.80444043778022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8.1391025641025667</v>
      </c>
      <c r="CT95" s="13">
        <f>IF('Données projet'!$A$140&gt;35,CT94+CS95-DB94,IF(A95&lt;'Données projet'!$A$140,$CQ$205^A95,IF(A95='Données projet'!$A$140,'Données projet'!$B$140,CT94+CS95-DB94)))</f>
        <v>340.89551282051286</v>
      </c>
      <c r="CU95" s="18">
        <f>CT95*VLOOKUP('Données projet'!$B$13,Paramètres!$A$1:$I$89,3,0)*VLOOKUP('Données projet'!$B$13,Paramètres!$A$1:$I$89,5,0)</f>
        <v>159.53910000000002</v>
      </c>
      <c r="CV95" s="14">
        <f t="shared" si="95"/>
        <v>40.738540677773415</v>
      </c>
      <c r="CW95" s="22">
        <f t="shared" si="67"/>
        <v>348.81689084712207</v>
      </c>
      <c r="CX95" s="62">
        <f t="shared" si="68"/>
        <v>642.15022418045533</v>
      </c>
      <c r="CY95" s="62">
        <f ca="1">AVERAGE(OFFSET($CX$3,0,0,'Données projet'!$E$13+1,1))-AVERAGE(OFFSET($H$3,0,0,'Données projet'!$E$13+1,1))</f>
        <v>246.73711856758143</v>
      </c>
      <c r="CZ95" s="62">
        <f t="shared" si="96"/>
        <v>145.54897745089966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3.4615384615384586</v>
      </c>
      <c r="DO95" s="13">
        <f>IF('Données projet'!$A$166&gt;35,DO94+DN95-DW94,IF(A95&lt;'Données projet'!$A$166,$DL$205^A95,IF(A95='Données projet'!$A$166,'Données projet'!$B$166,DO94+DN95-DW94)))</f>
        <v>281.92307692307674</v>
      </c>
      <c r="DP95" s="18">
        <f>DO95*VLOOKUP('Données projet'!$B$14,Paramètres!$A$1:$I$89,3,0)*VLOOKUP('Données projet'!$B$14,Paramètres!$A$1:$I$89,5,0)</f>
        <v>294.66599999999983</v>
      </c>
      <c r="DQ95" s="14">
        <f t="shared" si="97"/>
        <v>70.057087344971222</v>
      </c>
      <c r="DR95" s="22">
        <f t="shared" si="70"/>
        <v>635.22604379249128</v>
      </c>
      <c r="DS95" s="62">
        <f t="shared" si="71"/>
        <v>928.55937712582454</v>
      </c>
      <c r="DT95" s="62">
        <f ca="1">AVERAGE(OFFSET($DS$3,0,0,'Données projet'!$E$14+1,1))-AVERAGE(OFFSET($H$3,0,0,'Données projet'!$E$14+1,1))</f>
        <v>493.70175665335978</v>
      </c>
      <c r="DU95" s="62">
        <f t="shared" si="98"/>
        <v>325.12357781685949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-1.7053025658242404E-13</v>
      </c>
      <c r="EK95" s="18">
        <f>EJ95*VLOOKUP('Données projet'!$B$15,Paramètres!$A$1:$I$89,3,0)*VLOOKUP('Données projet'!$B$15,Paramètres!$A$1:$I$89,5,0)</f>
        <v>-1.4897523215040567E-13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202.86354781280403</v>
      </c>
      <c r="EP95" s="62">
        <f t="shared" si="100"/>
        <v>217.25323885665131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3.333333333333337</v>
      </c>
      <c r="FE95" s="13">
        <f>IF('Données projet'!$A$218&gt;35,FE94+FD95-FM94,IF(A95&lt;'Données projet'!$A$218,$FB$205^A95,IF(A95='Données projet'!$A$218,'Données projet'!$B$218,FE94+FD95-FM94)))</f>
        <v>223.97435897435895</v>
      </c>
      <c r="FF95" s="18">
        <f>FE95*VLOOKUP('Données projet'!$B$16,Paramètres!$A$1:$I$89,3,0)*VLOOKUP('Données projet'!$B$16,Paramètres!$A$1:$I$89,5,0)</f>
        <v>213.13399999999999</v>
      </c>
      <c r="FG95" s="14">
        <f t="shared" si="101"/>
        <v>52.619851982252747</v>
      </c>
      <c r="FH95" s="22">
        <f t="shared" si="76"/>
        <v>462.85462553575684</v>
      </c>
      <c r="FI95" s="62">
        <f t="shared" si="77"/>
        <v>756.18795886909015</v>
      </c>
      <c r="FJ95" s="62">
        <f ca="1">AVERAGE(OFFSET($FI$3,0,0,'Données projet'!$E$16+1,1))-AVERAGE(OFFSET($H$3,0,0,'Données projet'!$E$16+1,1))</f>
        <v>353.61481736740694</v>
      </c>
      <c r="FK95" s="62">
        <f t="shared" si="102"/>
        <v>244.7141066773861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2.8</v>
      </c>
      <c r="FZ95" s="13">
        <f>IF('Données projet'!$A$244&gt;35,FZ94+FY95-GH94,IF(A95&lt;'Données projet'!$A$244,$FW$205^A95,IF(A95='Données projet'!$A$244,'Données projet'!$B$244,FZ94+FY95-GH94)))</f>
        <v>164.59999999999997</v>
      </c>
      <c r="GA95" s="18">
        <f>FZ95*VLOOKUP('Données projet'!$B$17,Paramètres!$A$1:$I$89,3,0)*VLOOKUP('Données projet'!$B$17,Paramètres!$A$1:$I$89,5,0)</f>
        <v>177.17543999999995</v>
      </c>
      <c r="GB95" s="14">
        <f t="shared" si="103"/>
        <v>44.693196313414717</v>
      </c>
      <c r="GC95" s="22">
        <f t="shared" si="79"/>
        <v>386.42120824586385</v>
      </c>
      <c r="GD95" s="62">
        <f t="shared" si="80"/>
        <v>679.75454157919717</v>
      </c>
      <c r="GE95" s="62">
        <f ca="1">AVERAGE(OFFSET($GD$3,0,0,'Données projet'!$E$17+1,1))-AVERAGE(OFFSET($H$3,0,0,'Données projet'!$E$17+1,1))</f>
        <v>280.20599015000306</v>
      </c>
      <c r="GF95" s="62">
        <f t="shared" si="104"/>
        <v>166.97658184507787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3.5897435897435912</v>
      </c>
      <c r="GU95" s="13">
        <f>IF('Données projet'!$A$270&gt;35,GU94+GT95-HC94,IF(A95&lt;'Données projet'!$A$270,$GR$205^A95,IF(A95='Données projet'!$A$270,'Données projet'!$B$270,GU94+GT95-HC94)))</f>
        <v>270.64102564102552</v>
      </c>
      <c r="GV95" s="18">
        <f>GU95*VLOOKUP('Données projet'!$B$18,Paramètres!$A$1:$I$89,3,0)*VLOOKUP('Données projet'!$B$18,Paramètres!$A$1:$I$89,5,0)</f>
        <v>181.54599999999994</v>
      </c>
      <c r="GW95" s="14">
        <f t="shared" si="105"/>
        <v>45.665971295569257</v>
      </c>
      <c r="GX95" s="22">
        <f t="shared" si="82"/>
        <v>395.72751667311633</v>
      </c>
      <c r="GY95" s="62">
        <f t="shared" si="83"/>
        <v>689.06085000644964</v>
      </c>
      <c r="GZ95" s="62">
        <f ca="1">AVERAGE(OFFSET($GY$3,0,0,'Données projet'!$E$18+1,1))-AVERAGE(OFFSET($H$3,0,0,'Données projet'!$E$18+1,1))</f>
        <v>291.18686311753402</v>
      </c>
      <c r="HA95" s="62">
        <f t="shared" si="106"/>
        <v>215.44422413249839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9">
        <f t="shared" si="56"/>
        <v>256.66666666666669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260.02504691866199</v>
      </c>
      <c r="T96" s="62">
        <f t="shared" si="88"/>
        <v>270.11268336406368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2.8741306902581112</v>
      </c>
      <c r="AA96" s="23">
        <f>EXP(-LN(2)/25)*AA95+(1-EXP(-LN(2)/25))/(LN(2)/25)*Calculateur!V96*Calculateur!X96*VLOOKUP('Données projet'!$B$9,Paramètres!$A$1:$I$89,3,0)*0.475*44/12</f>
        <v>2.8655073906522324</v>
      </c>
      <c r="AB96" s="23">
        <f>EXP(-LN(2)/2)*AB95+(1-EXP(-LN(2)/2))/(LN(2)/2)*V96*Y96*VLOOKUP('Données projet'!$B$9,Paramètres!$A$1:$I$89,3,0)*0.475*44/12</f>
        <v>2.0875732308815365E-9</v>
      </c>
      <c r="AC96" s="24">
        <f t="shared" si="57"/>
        <v>5.7396380829979172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2">
        <f t="shared" si="59"/>
        <v>881.72624213359745</v>
      </c>
      <c r="AN96" s="62">
        <f ca="1">AVERAGE(OFFSET($AM$3,0,0,'Données projet'!$E$10+1,1))-AVERAGE(OFFSET($H$3,0,0,'Données projet'!$E$10+1,1))</f>
        <v>475.47920969424894</v>
      </c>
      <c r="AO96" s="62">
        <f t="shared" si="90"/>
        <v>271.73544012419364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243.11975999999996</v>
      </c>
      <c r="BF96" s="14">
        <f t="shared" si="91"/>
        <v>59.110256668778533</v>
      </c>
      <c r="BG96" s="22">
        <f t="shared" si="61"/>
        <v>526.3839456981226</v>
      </c>
      <c r="BH96" s="62">
        <f t="shared" si="62"/>
        <v>819.71727903145597</v>
      </c>
      <c r="BI96" s="62">
        <f ca="1">AVERAGE(OFFSET($BH$3,0,0,'Données projet'!$E$11+1,1))-AVERAGE(OFFSET($H$3,0,0,'Données projet'!$E$11+1,1))</f>
        <v>428.8489304403459</v>
      </c>
      <c r="BJ96" s="62">
        <f t="shared" si="92"/>
        <v>247.01165577562966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-1.9895196601282805E-13</v>
      </c>
      <c r="BZ96" s="14">
        <f>BY96*VLOOKUP('Données projet'!$B$12,Paramètres!$A$1:$I$89,3,0)*VLOOKUP('Données projet'!$B$12,Paramètres!$A$1:$I$89,5,0)</f>
        <v>-1.6138983482960614E-13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236.22643401787644</v>
      </c>
      <c r="CE96" s="62">
        <f t="shared" si="94"/>
        <v>188.80444043778022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8.1391025641025667</v>
      </c>
      <c r="CT96" s="13">
        <f>IF('Données projet'!$A$140&gt;35,CT95+CS96-DB95,IF(A96&lt;'Données projet'!$A$140,$CQ$205^A96,IF(A96='Données projet'!$A$140,'Données projet'!$B$140,CT95+CS96-DB95)))</f>
        <v>349.03461538461545</v>
      </c>
      <c r="CU96" s="18">
        <f>CT96*VLOOKUP('Données projet'!$B$13,Paramètres!$A$1:$I$89,3,0)*VLOOKUP('Données projet'!$B$13,Paramètres!$A$1:$I$89,5,0)</f>
        <v>163.34820000000002</v>
      </c>
      <c r="CV96" s="14">
        <f t="shared" si="95"/>
        <v>41.596798587958055</v>
      </c>
      <c r="CW96" s="22">
        <f t="shared" si="67"/>
        <v>356.94587254069364</v>
      </c>
      <c r="CX96" s="62">
        <f t="shared" si="68"/>
        <v>650.27920587402696</v>
      </c>
      <c r="CY96" s="62">
        <f ca="1">AVERAGE(OFFSET($CX$3,0,0,'Données projet'!$E$13+1,1))-AVERAGE(OFFSET($H$3,0,0,'Données projet'!$E$13+1,1))</f>
        <v>246.73711856758143</v>
      </c>
      <c r="CZ96" s="62">
        <f t="shared" si="96"/>
        <v>145.54897745089966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3.4615384615384586</v>
      </c>
      <c r="DO96" s="13">
        <f>IF('Données projet'!$A$166&gt;35,DO95+DN96-DW95,IF(A96&lt;'Données projet'!$A$166,$DL$205^A96,IF(A96='Données projet'!$A$166,'Données projet'!$B$166,DO95+DN96-DW95)))</f>
        <v>285.38461538461519</v>
      </c>
      <c r="DP96" s="18">
        <f>DO96*VLOOKUP('Données projet'!$B$14,Paramètres!$A$1:$I$89,3,0)*VLOOKUP('Données projet'!$B$14,Paramètres!$A$1:$I$89,5,0)</f>
        <v>298.28399999999982</v>
      </c>
      <c r="DQ96" s="14">
        <f t="shared" si="97"/>
        <v>70.816603948985517</v>
      </c>
      <c r="DR96" s="22">
        <f t="shared" si="70"/>
        <v>642.8502185444828</v>
      </c>
      <c r="DS96" s="62">
        <f t="shared" si="71"/>
        <v>936.18355187781617</v>
      </c>
      <c r="DT96" s="62">
        <f ca="1">AVERAGE(OFFSET($DS$3,0,0,'Données projet'!$E$14+1,1))-AVERAGE(OFFSET($H$3,0,0,'Données projet'!$E$14+1,1))</f>
        <v>493.70175665335978</v>
      </c>
      <c r="DU96" s="62">
        <f t="shared" si="98"/>
        <v>325.12357781685949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-1.7053025658242404E-13</v>
      </c>
      <c r="EK96" s="18">
        <f>EJ96*VLOOKUP('Données projet'!$B$15,Paramètres!$A$1:$I$89,3,0)*VLOOKUP('Données projet'!$B$15,Paramètres!$A$1:$I$89,5,0)</f>
        <v>-1.4897523215040567E-13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202.86354781280403</v>
      </c>
      <c r="EP96" s="62">
        <f t="shared" si="100"/>
        <v>217.25323885665131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3.333333333333337</v>
      </c>
      <c r="FE96" s="13">
        <f>IF('Données projet'!$A$218&gt;35,FE95+FD96-FM95,IF(A96&lt;'Données projet'!$A$218,$FB$205^A96,IF(A96='Données projet'!$A$218,'Données projet'!$B$218,FE95+FD96-FM95)))</f>
        <v>227.30769230769229</v>
      </c>
      <c r="FF96" s="18">
        <f>FE96*VLOOKUP('Données projet'!$B$16,Paramètres!$A$1:$I$89,3,0)*VLOOKUP('Données projet'!$B$16,Paramètres!$A$1:$I$89,5,0)</f>
        <v>216.30599999999998</v>
      </c>
      <c r="FG96" s="14">
        <f t="shared" si="101"/>
        <v>53.311223533460037</v>
      </c>
      <c r="FH96" s="22">
        <f t="shared" si="76"/>
        <v>469.58333098744288</v>
      </c>
      <c r="FI96" s="62">
        <f t="shared" si="77"/>
        <v>762.91666432077614</v>
      </c>
      <c r="FJ96" s="62">
        <f ca="1">AVERAGE(OFFSET($FI$3,0,0,'Données projet'!$E$16+1,1))-AVERAGE(OFFSET($H$3,0,0,'Données projet'!$E$16+1,1))</f>
        <v>353.61481736740694</v>
      </c>
      <c r="FK96" s="62">
        <f t="shared" si="102"/>
        <v>244.7141066773861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2.8</v>
      </c>
      <c r="FZ96" s="13">
        <f>IF('Données projet'!$A$244&gt;35,FZ95+FY96-GH95,IF(A96&lt;'Données projet'!$A$244,$FW$205^A96,IF(A96='Données projet'!$A$244,'Données projet'!$B$244,FZ95+FY96-GH95)))</f>
        <v>167.39999999999998</v>
      </c>
      <c r="GA96" s="18">
        <f>FZ96*VLOOKUP('Données projet'!$B$17,Paramètres!$A$1:$I$89,3,0)*VLOOKUP('Données projet'!$B$17,Paramètres!$A$1:$I$89,5,0)</f>
        <v>180.18935999999997</v>
      </c>
      <c r="GB96" s="14">
        <f t="shared" si="103"/>
        <v>45.36431269940843</v>
      </c>
      <c r="GC96" s="22">
        <f t="shared" si="79"/>
        <v>392.83931328480293</v>
      </c>
      <c r="GD96" s="62">
        <f t="shared" si="80"/>
        <v>686.17264661813624</v>
      </c>
      <c r="GE96" s="62">
        <f ca="1">AVERAGE(OFFSET($GD$3,0,0,'Données projet'!$E$17+1,1))-AVERAGE(OFFSET($H$3,0,0,'Données projet'!$E$17+1,1))</f>
        <v>280.20599015000306</v>
      </c>
      <c r="GF96" s="62">
        <f t="shared" si="104"/>
        <v>166.97658184507787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3.5897435897435912</v>
      </c>
      <c r="GU96" s="13">
        <f>IF('Données projet'!$A$270&gt;35,GU95+GT96-HC95,IF(A96&lt;'Données projet'!$A$270,$GR$205^A96,IF(A96='Données projet'!$A$270,'Données projet'!$B$270,GU95+GT96-HC95)))</f>
        <v>274.23076923076911</v>
      </c>
      <c r="GV96" s="18">
        <f>GU96*VLOOKUP('Données projet'!$B$18,Paramètres!$A$1:$I$89,3,0)*VLOOKUP('Données projet'!$B$18,Paramètres!$A$1:$I$89,5,0)</f>
        <v>183.95399999999992</v>
      </c>
      <c r="GW96" s="14">
        <f t="shared" si="105"/>
        <v>46.200762755291258</v>
      </c>
      <c r="GX96" s="22">
        <f t="shared" si="82"/>
        <v>400.85287846546549</v>
      </c>
      <c r="GY96" s="62">
        <f t="shared" si="83"/>
        <v>694.18621179879881</v>
      </c>
      <c r="GZ96" s="62">
        <f ca="1">AVERAGE(OFFSET($GY$3,0,0,'Données projet'!$E$18+1,1))-AVERAGE(OFFSET($H$3,0,0,'Données projet'!$E$18+1,1))</f>
        <v>291.18686311753402</v>
      </c>
      <c r="HA96" s="62">
        <f t="shared" si="106"/>
        <v>215.44422413249839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9">
        <f t="shared" si="56"/>
        <v>256.66666666666669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260.02504691866199</v>
      </c>
      <c r="T97" s="62">
        <f t="shared" si="88"/>
        <v>270.11268336406368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2.8177707404687715</v>
      </c>
      <c r="AA97" s="23">
        <f>EXP(-LN(2)/25)*AA96+(1-EXP(-LN(2)/25))/(LN(2)/25)*Calculateur!V97*Calculateur!X97*VLOOKUP('Données projet'!$B$9,Paramètres!$A$1:$I$89,3,0)*0.475*44/12</f>
        <v>2.7871499403643627</v>
      </c>
      <c r="AB97" s="23">
        <f>EXP(-LN(2)/2)*AB96+(1-EXP(-LN(2)/2))/(LN(2)/2)*V97*Y97*VLOOKUP('Données projet'!$B$9,Paramètres!$A$1:$I$89,3,0)*0.475*44/12</f>
        <v>1.4761371877798447E-9</v>
      </c>
      <c r="AC97" s="24">
        <f t="shared" si="57"/>
        <v>5.6049206823092712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2">
        <f t="shared" si="59"/>
        <v>892.21253573041304</v>
      </c>
      <c r="AN97" s="62">
        <f ca="1">AVERAGE(OFFSET($AM$3,0,0,'Données projet'!$E$10+1,1))-AVERAGE(OFFSET($H$3,0,0,'Données projet'!$E$10+1,1))</f>
        <v>475.47920969424894</v>
      </c>
      <c r="AO97" s="62">
        <f t="shared" si="90"/>
        <v>271.73544012419364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247.55327999999994</v>
      </c>
      <c r="BF97" s="14">
        <f t="shared" si="91"/>
        <v>60.061713068870255</v>
      </c>
      <c r="BG97" s="22">
        <f t="shared" si="61"/>
        <v>535.76277959494894</v>
      </c>
      <c r="BH97" s="62">
        <f t="shared" si="62"/>
        <v>829.09611292828231</v>
      </c>
      <c r="BI97" s="62">
        <f ca="1">AVERAGE(OFFSET($BH$3,0,0,'Données projet'!$E$11+1,1))-AVERAGE(OFFSET($H$3,0,0,'Données projet'!$E$11+1,1))</f>
        <v>428.8489304403459</v>
      </c>
      <c r="BJ97" s="62">
        <f t="shared" si="92"/>
        <v>247.01165577562966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-1.9895196601282805E-13</v>
      </c>
      <c r="BZ97" s="14">
        <f>BY97*VLOOKUP('Données projet'!$B$12,Paramètres!$A$1:$I$89,3,0)*VLOOKUP('Données projet'!$B$12,Paramètres!$A$1:$I$89,5,0)</f>
        <v>-1.6138983482960614E-13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236.22643401787644</v>
      </c>
      <c r="CE97" s="62">
        <f t="shared" si="94"/>
        <v>188.80444043778022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8.1391025641025667</v>
      </c>
      <c r="CT97" s="13">
        <f>IF('Données projet'!$A$140&gt;35,CT96+CS97-DB96,IF(A97&lt;'Données projet'!$A$140,$CQ$205^A97,IF(A97='Données projet'!$A$140,'Données projet'!$B$140,CT96+CS97-DB96)))</f>
        <v>357.17371794871804</v>
      </c>
      <c r="CU97" s="18">
        <f>CT97*VLOOKUP('Données projet'!$B$13,Paramètres!$A$1:$I$89,3,0)*VLOOKUP('Données projet'!$B$13,Paramètres!$A$1:$I$89,5,0)</f>
        <v>167.15730000000005</v>
      </c>
      <c r="CV97" s="14">
        <f t="shared" si="95"/>
        <v>42.452729847677645</v>
      </c>
      <c r="CW97" s="22">
        <f t="shared" si="67"/>
        <v>365.07080198470538</v>
      </c>
      <c r="CX97" s="62">
        <f t="shared" si="68"/>
        <v>658.4041353180387</v>
      </c>
      <c r="CY97" s="62">
        <f ca="1">AVERAGE(OFFSET($CX$3,0,0,'Données projet'!$E$13+1,1))-AVERAGE(OFFSET($H$3,0,0,'Données projet'!$E$13+1,1))</f>
        <v>246.73711856758143</v>
      </c>
      <c r="CZ97" s="62">
        <f t="shared" si="96"/>
        <v>145.54897745089966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3.4615384615384586</v>
      </c>
      <c r="DO97" s="13">
        <f>IF('Données projet'!$A$166&gt;35,DO96+DN97-DW96,IF(A97&lt;'Données projet'!$A$166,$DL$205^A97,IF(A97='Données projet'!$A$166,'Données projet'!$B$166,DO96+DN97-DW96)))</f>
        <v>288.84615384615364</v>
      </c>
      <c r="DP97" s="18">
        <f>DO97*VLOOKUP('Données projet'!$B$14,Paramètres!$A$1:$I$89,3,0)*VLOOKUP('Données projet'!$B$14,Paramètres!$A$1:$I$89,5,0)</f>
        <v>301.90199999999982</v>
      </c>
      <c r="DQ97" s="14">
        <f t="shared" si="97"/>
        <v>71.575048950857877</v>
      </c>
      <c r="DR97" s="22">
        <f t="shared" si="70"/>
        <v>650.47252692274378</v>
      </c>
      <c r="DS97" s="62">
        <f t="shared" si="71"/>
        <v>943.80586025607704</v>
      </c>
      <c r="DT97" s="62">
        <f ca="1">AVERAGE(OFFSET($DS$3,0,0,'Données projet'!$E$14+1,1))-AVERAGE(OFFSET($H$3,0,0,'Données projet'!$E$14+1,1))</f>
        <v>493.70175665335978</v>
      </c>
      <c r="DU97" s="62">
        <f t="shared" si="98"/>
        <v>325.12357781685949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-1.7053025658242404E-13</v>
      </c>
      <c r="EK97" s="18">
        <f>EJ97*VLOOKUP('Données projet'!$B$15,Paramètres!$A$1:$I$89,3,0)*VLOOKUP('Données projet'!$B$15,Paramètres!$A$1:$I$89,5,0)</f>
        <v>-1.4897523215040567E-13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202.86354781280403</v>
      </c>
      <c r="EP97" s="62">
        <f t="shared" si="100"/>
        <v>217.25323885665131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3.333333333333337</v>
      </c>
      <c r="FE97" s="13">
        <f>IF('Données projet'!$A$218&gt;35,FE96+FD97-FM96,IF(A97&lt;'Données projet'!$A$218,$FB$205^A97,IF(A97='Données projet'!$A$218,'Données projet'!$B$218,FE96+FD97-FM96)))</f>
        <v>230.64102564102564</v>
      </c>
      <c r="FF97" s="18">
        <f>FE97*VLOOKUP('Données projet'!$B$16,Paramètres!$A$1:$I$89,3,0)*VLOOKUP('Données projet'!$B$16,Paramètres!$A$1:$I$89,5,0)</f>
        <v>219.47800000000001</v>
      </c>
      <c r="FG97" s="14">
        <f t="shared" si="101"/>
        <v>54.001415918656583</v>
      </c>
      <c r="FH97" s="22">
        <f t="shared" si="76"/>
        <v>476.30998272499346</v>
      </c>
      <c r="FI97" s="62">
        <f t="shared" si="77"/>
        <v>769.64331605832672</v>
      </c>
      <c r="FJ97" s="62">
        <f ca="1">AVERAGE(OFFSET($FI$3,0,0,'Données projet'!$E$16+1,1))-AVERAGE(OFFSET($H$3,0,0,'Données projet'!$E$16+1,1))</f>
        <v>353.61481736740694</v>
      </c>
      <c r="FK97" s="62">
        <f t="shared" si="102"/>
        <v>244.7141066773861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2.8</v>
      </c>
      <c r="FZ97" s="13">
        <f>IF('Données projet'!$A$244&gt;35,FZ96+FY97-GH96,IF(A97&lt;'Données projet'!$A$244,$FW$205^A97,IF(A97='Données projet'!$A$244,'Données projet'!$B$244,FZ96+FY97-GH96)))</f>
        <v>170.2</v>
      </c>
      <c r="GA97" s="18">
        <f>FZ97*VLOOKUP('Données projet'!$B$17,Paramètres!$A$1:$I$89,3,0)*VLOOKUP('Données projet'!$B$17,Paramètres!$A$1:$I$89,5,0)</f>
        <v>183.20327999999998</v>
      </c>
      <c r="GB97" s="14">
        <f t="shared" si="103"/>
        <v>46.034123659865585</v>
      </c>
      <c r="GC97" s="22">
        <f t="shared" si="79"/>
        <v>399.25514470759913</v>
      </c>
      <c r="GD97" s="62">
        <f t="shared" si="80"/>
        <v>692.58847804093239</v>
      </c>
      <c r="GE97" s="62">
        <f ca="1">AVERAGE(OFFSET($GD$3,0,0,'Données projet'!$E$17+1,1))-AVERAGE(OFFSET($H$3,0,0,'Données projet'!$E$17+1,1))</f>
        <v>280.20599015000306</v>
      </c>
      <c r="GF97" s="62">
        <f t="shared" si="104"/>
        <v>166.97658184507787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3.5897435897435912</v>
      </c>
      <c r="GU97" s="13">
        <f>IF('Données projet'!$A$270&gt;35,GU96+GT97-HC96,IF(A97&lt;'Données projet'!$A$270,$GR$205^A97,IF(A97='Données projet'!$A$270,'Données projet'!$B$270,GU96+GT97-HC96)))</f>
        <v>277.8205128205127</v>
      </c>
      <c r="GV97" s="18">
        <f>GU97*VLOOKUP('Données projet'!$B$18,Paramètres!$A$1:$I$89,3,0)*VLOOKUP('Données projet'!$B$18,Paramètres!$A$1:$I$89,5,0)</f>
        <v>186.36199999999991</v>
      </c>
      <c r="GW97" s="14">
        <f t="shared" si="105"/>
        <v>46.734739947740024</v>
      </c>
      <c r="GX97" s="22">
        <f t="shared" si="82"/>
        <v>405.97682207564702</v>
      </c>
      <c r="GY97" s="62">
        <f t="shared" si="83"/>
        <v>699.31015540898034</v>
      </c>
      <c r="GZ97" s="62">
        <f ca="1">AVERAGE(OFFSET($GY$3,0,0,'Données projet'!$E$18+1,1))-AVERAGE(OFFSET($H$3,0,0,'Données projet'!$E$18+1,1))</f>
        <v>291.18686311753402</v>
      </c>
      <c r="HA97" s="62">
        <f t="shared" si="106"/>
        <v>215.44422413249839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9">
        <f t="shared" si="56"/>
        <v>256.66666666666669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260.02504691866199</v>
      </c>
      <c r="T98" s="62">
        <f t="shared" si="88"/>
        <v>270.11268336406368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2.7625159749186259</v>
      </c>
      <c r="AA98" s="23">
        <f>EXP(-LN(2)/25)*AA97+(1-EXP(-LN(2)/25))/(LN(2)/25)*Calculateur!V98*Calculateur!X98*VLOOKUP('Données projet'!$B$9,Paramètres!$A$1:$I$89,3,0)*0.475*44/12</f>
        <v>2.7109351786752538</v>
      </c>
      <c r="AB98" s="23">
        <f>EXP(-LN(2)/2)*AB97+(1-EXP(-LN(2)/2))/(LN(2)/2)*V98*Y98*VLOOKUP('Données projet'!$B$9,Paramètres!$A$1:$I$89,3,0)*0.475*44/12</f>
        <v>1.0437866154407682E-9</v>
      </c>
      <c r="AC98" s="24">
        <f t="shared" si="57"/>
        <v>5.4734511546376661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2">
        <f t="shared" si="59"/>
        <v>902.69501266160501</v>
      </c>
      <c r="AN98" s="62">
        <f ca="1">AVERAGE(OFFSET($AM$3,0,0,'Données projet'!$E$10+1,1))-AVERAGE(OFFSET($H$3,0,0,'Données projet'!$E$10+1,1))</f>
        <v>475.47920969424894</v>
      </c>
      <c r="AO98" s="62">
        <f t="shared" si="90"/>
        <v>271.73544012419364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251.98679999999993</v>
      </c>
      <c r="BF98" s="14">
        <f t="shared" si="91"/>
        <v>61.011187970195053</v>
      </c>
      <c r="BG98" s="22">
        <f t="shared" si="61"/>
        <v>545.13816238142283</v>
      </c>
      <c r="BH98" s="62">
        <f t="shared" si="62"/>
        <v>838.4714957147562</v>
      </c>
      <c r="BI98" s="62">
        <f ca="1">AVERAGE(OFFSET($BH$3,0,0,'Données projet'!$E$11+1,1))-AVERAGE(OFFSET($H$3,0,0,'Données projet'!$E$11+1,1))</f>
        <v>428.8489304403459</v>
      </c>
      <c r="BJ98" s="62">
        <f t="shared" si="92"/>
        <v>247.01165577562966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-1.9895196601282805E-13</v>
      </c>
      <c r="BZ98" s="14">
        <f>BY98*VLOOKUP('Données projet'!$B$12,Paramètres!$A$1:$I$89,3,0)*VLOOKUP('Données projet'!$B$12,Paramètres!$A$1:$I$89,5,0)</f>
        <v>-1.6138983482960614E-13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236.22643401787644</v>
      </c>
      <c r="CE98" s="62">
        <f t="shared" si="94"/>
        <v>188.80444043778022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8.1391025641025667</v>
      </c>
      <c r="CT98" s="13">
        <f>IF('Données projet'!$A$140&gt;35,CT97+CS98-DB97,IF(A98&lt;'Données projet'!$A$140,$CQ$205^A98,IF(A98='Données projet'!$A$140,'Données projet'!$B$140,CT97+CS98-DB97)))</f>
        <v>365.31282051282062</v>
      </c>
      <c r="CU98" s="18">
        <f>CT98*VLOOKUP('Données projet'!$B$13,Paramètres!$A$1:$I$89,3,0)*VLOOKUP('Données projet'!$B$13,Paramètres!$A$1:$I$89,5,0)</f>
        <v>170.96640000000008</v>
      </c>
      <c r="CV98" s="14">
        <f t="shared" si="95"/>
        <v>43.306393578795642</v>
      </c>
      <c r="CW98" s="22">
        <f t="shared" si="67"/>
        <v>373.1917821497359</v>
      </c>
      <c r="CX98" s="62">
        <f t="shared" si="68"/>
        <v>666.52511548306916</v>
      </c>
      <c r="CY98" s="62">
        <f ca="1">AVERAGE(OFFSET($CX$3,0,0,'Données projet'!$E$13+1,1))-AVERAGE(OFFSET($H$3,0,0,'Données projet'!$E$13+1,1))</f>
        <v>246.73711856758143</v>
      </c>
      <c r="CZ98" s="62">
        <f t="shared" si="96"/>
        <v>145.54897745089966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3.4615384615384586</v>
      </c>
      <c r="DO98" s="13">
        <f>IF('Données projet'!$A$166&gt;35,DO97+DN98-DW97,IF(A98&lt;'Données projet'!$A$166,$DL$205^A98,IF(A98='Données projet'!$A$166,'Données projet'!$B$166,DO97+DN98-DW97)))</f>
        <v>292.30769230769209</v>
      </c>
      <c r="DP98" s="18">
        <f>DO98*VLOOKUP('Données projet'!$B$14,Paramètres!$A$1:$I$89,3,0)*VLOOKUP('Données projet'!$B$14,Paramètres!$A$1:$I$89,5,0)</f>
        <v>305.51999999999981</v>
      </c>
      <c r="DQ98" s="14">
        <f t="shared" si="97"/>
        <v>72.332436678206648</v>
      </c>
      <c r="DR98" s="22">
        <f t="shared" si="70"/>
        <v>658.09299388120962</v>
      </c>
      <c r="DS98" s="62">
        <f t="shared" si="71"/>
        <v>951.42632721454288</v>
      </c>
      <c r="DT98" s="62">
        <f ca="1">AVERAGE(OFFSET($DS$3,0,0,'Données projet'!$E$14+1,1))-AVERAGE(OFFSET($H$3,0,0,'Données projet'!$E$14+1,1))</f>
        <v>493.70175665335978</v>
      </c>
      <c r="DU98" s="62">
        <f t="shared" si="98"/>
        <v>325.12357781685949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-1.7053025658242404E-13</v>
      </c>
      <c r="EK98" s="18">
        <f>EJ98*VLOOKUP('Données projet'!$B$15,Paramètres!$A$1:$I$89,3,0)*VLOOKUP('Données projet'!$B$15,Paramètres!$A$1:$I$89,5,0)</f>
        <v>-1.4897523215040567E-13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202.86354781280403</v>
      </c>
      <c r="EP98" s="62">
        <f t="shared" si="100"/>
        <v>217.25323885665131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233.97435897435898</v>
      </c>
      <c r="FC98" s="13">
        <f>VLOOKUP(A98,'Données projet'!$A$217:$I$237,9,0)</f>
        <v>3.333333333333337</v>
      </c>
      <c r="FD98" s="13">
        <f t="array" ref="FD98">INDEX(FC:FC,MIN(IF(ISNUMBER(FC98:FC294),ROW(FC98:FC294),"")))</f>
        <v>3.333333333333337</v>
      </c>
      <c r="FE98" s="13">
        <f>IF('Données projet'!$A$218&gt;35,FE97+FD98-FM97,IF(A98&lt;'Données projet'!$A$218,$FB$205^A98,IF(A98='Données projet'!$A$218,'Données projet'!$B$218,FE97+FD98-FM97)))</f>
        <v>233.97435897435898</v>
      </c>
      <c r="FF98" s="18">
        <f>FE98*VLOOKUP('Données projet'!$B$16,Paramètres!$A$1:$I$89,3,0)*VLOOKUP('Données projet'!$B$16,Paramètres!$A$1:$I$89,5,0)</f>
        <v>222.65</v>
      </c>
      <c r="FG98" s="14">
        <f t="shared" si="101"/>
        <v>54.690448148719405</v>
      </c>
      <c r="FH98" s="22">
        <f t="shared" si="76"/>
        <v>483.03461385901966</v>
      </c>
      <c r="FI98" s="62">
        <f t="shared" si="77"/>
        <v>776.36794719235297</v>
      </c>
      <c r="FJ98" s="62">
        <f ca="1">AVERAGE(OFFSET($FI$3,0,0,'Données projet'!$E$16+1,1))-AVERAGE(OFFSET($H$3,0,0,'Données projet'!$E$16+1,1))</f>
        <v>353.61481736740694</v>
      </c>
      <c r="FK98" s="62">
        <f t="shared" si="102"/>
        <v>244.7141066773861</v>
      </c>
      <c r="FL98" s="16">
        <f>IF(ISNA(VLOOKUP(A98,'Données projet'!$A$217:$I$237,3,0)),0,VLOOKUP(A98,'Données projet'!$A$217:$I$237,3,0))</f>
        <v>8</v>
      </c>
      <c r="FM98" s="16">
        <f>IF(ISNA(VLOOKUP(A98,'Données projet'!$A$217:$I$237,4,0)),0,VLOOKUP(A98,'Données projet'!$A$217:$I$237,4,0))</f>
        <v>23.717948717948715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173</v>
      </c>
      <c r="FX98" s="13">
        <f>VLOOKUP(A98,'Données projet'!$A$243:$I$263,9,0)</f>
        <v>2.8</v>
      </c>
      <c r="FY98" s="13">
        <f t="array" ref="FY98">INDEX(FX:FX,MIN(IF(ISNUMBER(FX98:FX294),ROW(FX98:FX294),"")))</f>
        <v>2.8</v>
      </c>
      <c r="FZ98" s="13">
        <f>IF('Données projet'!$A$244&gt;35,FZ97+FY98-GH97,IF(A98&lt;'Données projet'!$A$244,$FW$205^A98,IF(A98='Données projet'!$A$244,'Données projet'!$B$244,FZ97+FY98-GH97)))</f>
        <v>173</v>
      </c>
      <c r="GA98" s="18">
        <f>FZ98*VLOOKUP('Données projet'!$B$17,Paramètres!$A$1:$I$89,3,0)*VLOOKUP('Données projet'!$B$17,Paramètres!$A$1:$I$89,5,0)</f>
        <v>186.21719999999999</v>
      </c>
      <c r="GB98" s="14">
        <f t="shared" si="103"/>
        <v>46.702653149673253</v>
      </c>
      <c r="GC98" s="22">
        <f t="shared" si="79"/>
        <v>405.66874423568089</v>
      </c>
      <c r="GD98" s="62">
        <f t="shared" si="80"/>
        <v>699.0020775690142</v>
      </c>
      <c r="GE98" s="62">
        <f ca="1">AVERAGE(OFFSET($GD$3,0,0,'Données projet'!$E$17+1,1))-AVERAGE(OFFSET($H$3,0,0,'Données projet'!$E$17+1,1))</f>
        <v>280.20599015000306</v>
      </c>
      <c r="GF98" s="62">
        <f t="shared" si="104"/>
        <v>166.97658184507787</v>
      </c>
      <c r="GG98" s="16">
        <f>IF(ISNA(VLOOKUP(A98,'Données projet'!$A$243:$I$263,3,0)),0,VLOOKUP(A98,'Données projet'!$A$243:$I$263,3,0))</f>
        <v>7</v>
      </c>
      <c r="GH98" s="16">
        <f>IF(ISNA(VLOOKUP(A98,'Données projet'!$A$243:$I$263,4,0)),0,VLOOKUP(A98,'Données projet'!$A$243:$I$263,4,0))</f>
        <v>18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281.41025641025641</v>
      </c>
      <c r="GS98" s="13">
        <f>VLOOKUP(A98,'Données projet'!$A$269:$I$289,9,0)</f>
        <v>3.5897435897435912</v>
      </c>
      <c r="GT98" s="13">
        <f t="array" ref="GT98">INDEX(GS:GS,MIN(IF(ISNUMBER(GS98:GS294),ROW(GS98:GS294),"")))</f>
        <v>3.5897435897435912</v>
      </c>
      <c r="GU98" s="13">
        <f>IF('Données projet'!$A$270&gt;35,GU97+GT98-HC97,IF(A98&lt;'Données projet'!$A$270,$GR$205^A98,IF(A98='Données projet'!$A$270,'Données projet'!$B$270,GU97+GT98-HC97)))</f>
        <v>281.4102564102563</v>
      </c>
      <c r="GV98" s="18">
        <f>GU98*VLOOKUP('Données projet'!$B$18,Paramètres!$A$1:$I$89,3,0)*VLOOKUP('Données projet'!$B$18,Paramètres!$A$1:$I$89,5,0)</f>
        <v>188.76999999999992</v>
      </c>
      <c r="GW98" s="14">
        <f t="shared" si="105"/>
        <v>47.267914610633945</v>
      </c>
      <c r="GX98" s="22">
        <f t="shared" si="82"/>
        <v>411.09936794685399</v>
      </c>
      <c r="GY98" s="62">
        <f t="shared" si="83"/>
        <v>704.4327012801873</v>
      </c>
      <c r="GZ98" s="62">
        <f ca="1">AVERAGE(OFFSET($GY$3,0,0,'Données projet'!$E$18+1,1))-AVERAGE(OFFSET($H$3,0,0,'Données projet'!$E$18+1,1))</f>
        <v>291.18686311753402</v>
      </c>
      <c r="HA98" s="62">
        <f t="shared" si="106"/>
        <v>215.44422413249839</v>
      </c>
      <c r="HB98" s="16">
        <f>IF(ISNA(VLOOKUP(A98,'Données projet'!$A$269:$I$289,3,0)),0,VLOOKUP(A98,'Données projet'!$A$269:$I$289,3,0))</f>
        <v>8</v>
      </c>
      <c r="HC98" s="16">
        <f>IF(ISNA(VLOOKUP(A98,'Données projet'!$A$269:$I$289,4,0)),0,VLOOKUP(A98,'Données projet'!$A$269:$I$289,4,0))</f>
        <v>22.435897435897434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9">
        <f t="shared" si="56"/>
        <v>256.66666666666669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260.02504691866199</v>
      </c>
      <c r="T99" s="62">
        <f t="shared" si="88"/>
        <v>270.11268336406368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2.7083447216188397</v>
      </c>
      <c r="AA99" s="23">
        <f>EXP(-LN(2)/25)*AA98+(1-EXP(-LN(2)/25))/(LN(2)/25)*Calculateur!V99*Calculateur!X99*VLOOKUP('Données projet'!$B$9,Paramètres!$A$1:$I$89,3,0)*0.475*44/12</f>
        <v>2.636804513652494</v>
      </c>
      <c r="AB99" s="23">
        <f>EXP(-LN(2)/2)*AB98+(1-EXP(-LN(2)/2))/(LN(2)/2)*V99*Y99*VLOOKUP('Données projet'!$B$9,Paramètres!$A$1:$I$89,3,0)*0.475*44/12</f>
        <v>7.3806859388992234E-10</v>
      </c>
      <c r="AC99" s="24">
        <f t="shared" si="57"/>
        <v>5.3451492360094024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2">
        <f t="shared" si="59"/>
        <v>913.17374782605907</v>
      </c>
      <c r="AN99" s="62">
        <f ca="1">AVERAGE(OFFSET($AM$3,0,0,'Données projet'!$E$10+1,1))-AVERAGE(OFFSET($H$3,0,0,'Données projet'!$E$10+1,1))</f>
        <v>475.47920969424894</v>
      </c>
      <c r="AO99" s="62">
        <f t="shared" si="90"/>
        <v>271.73544012419364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256.42031999999989</v>
      </c>
      <c r="BF99" s="14">
        <f t="shared" si="91"/>
        <v>61.958720258016918</v>
      </c>
      <c r="BG99" s="22">
        <f t="shared" si="61"/>
        <v>554.51016178271254</v>
      </c>
      <c r="BH99" s="62">
        <f t="shared" si="62"/>
        <v>847.84349511604591</v>
      </c>
      <c r="BI99" s="62">
        <f ca="1">AVERAGE(OFFSET($BH$3,0,0,'Données projet'!$E$11+1,1))-AVERAGE(OFFSET($H$3,0,0,'Données projet'!$E$11+1,1))</f>
        <v>428.8489304403459</v>
      </c>
      <c r="BJ99" s="62">
        <f t="shared" si="92"/>
        <v>247.01165577562966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-1.9895196601282805E-13</v>
      </c>
      <c r="BZ99" s="14">
        <f>BY99*VLOOKUP('Données projet'!$B$12,Paramètres!$A$1:$I$89,3,0)*VLOOKUP('Données projet'!$B$12,Paramètres!$A$1:$I$89,5,0)</f>
        <v>-1.6138983482960614E-13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236.22643401787644</v>
      </c>
      <c r="CE99" s="62">
        <f t="shared" si="94"/>
        <v>188.80444043778022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8.1391025641025667</v>
      </c>
      <c r="CT99" s="13">
        <f>IF('Données projet'!$A$140&gt;35,CT98+CS99-DB98,IF(A99&lt;'Données projet'!$A$140,$CQ$205^A99,IF(A99='Données projet'!$A$140,'Données projet'!$B$140,CT98+CS99-DB98)))</f>
        <v>373.45192307692321</v>
      </c>
      <c r="CU99" s="18">
        <f>CT99*VLOOKUP('Données projet'!$B$13,Paramètres!$A$1:$I$89,3,0)*VLOOKUP('Données projet'!$B$13,Paramètres!$A$1:$I$89,5,0)</f>
        <v>174.77550000000005</v>
      </c>
      <c r="CV99" s="14">
        <f t="shared" si="95"/>
        <v>44.157846118321089</v>
      </c>
      <c r="CW99" s="22">
        <f t="shared" si="67"/>
        <v>381.30891115607596</v>
      </c>
      <c r="CX99" s="62">
        <f t="shared" si="68"/>
        <v>674.64224448940922</v>
      </c>
      <c r="CY99" s="62">
        <f ca="1">AVERAGE(OFFSET($CX$3,0,0,'Données projet'!$E$13+1,1))-AVERAGE(OFFSET($H$3,0,0,'Données projet'!$E$13+1,1))</f>
        <v>246.73711856758143</v>
      </c>
      <c r="CZ99" s="62">
        <f t="shared" si="96"/>
        <v>145.54897745089966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3.4615384615384586</v>
      </c>
      <c r="DO99" s="13">
        <f>IF('Données projet'!$A$166&gt;35,DO98+DN99-DW98,IF(A99&lt;'Données projet'!$A$166,$DL$205^A99,IF(A99='Données projet'!$A$166,'Données projet'!$B$166,DO98+DN99-DW98)))</f>
        <v>295.76923076923055</v>
      </c>
      <c r="DP99" s="18">
        <f>DO99*VLOOKUP('Données projet'!$B$14,Paramètres!$A$1:$I$89,3,0)*VLOOKUP('Données projet'!$B$14,Paramètres!$A$1:$I$89,5,0)</f>
        <v>309.13799999999981</v>
      </c>
      <c r="DQ99" s="14">
        <f t="shared" si="97"/>
        <v>73.088781099784711</v>
      </c>
      <c r="DR99" s="22">
        <f t="shared" si="70"/>
        <v>665.71164374879129</v>
      </c>
      <c r="DS99" s="62">
        <f t="shared" si="71"/>
        <v>959.04497708212466</v>
      </c>
      <c r="DT99" s="62">
        <f ca="1">AVERAGE(OFFSET($DS$3,0,0,'Données projet'!$E$14+1,1))-AVERAGE(OFFSET($H$3,0,0,'Données projet'!$E$14+1,1))</f>
        <v>493.70175665335978</v>
      </c>
      <c r="DU99" s="62">
        <f t="shared" si="98"/>
        <v>325.12357781685949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-1.7053025658242404E-13</v>
      </c>
      <c r="EK99" s="18">
        <f>EJ99*VLOOKUP('Données projet'!$B$15,Paramètres!$A$1:$I$89,3,0)*VLOOKUP('Données projet'!$B$15,Paramètres!$A$1:$I$89,5,0)</f>
        <v>-1.4897523215040567E-13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202.86354781280403</v>
      </c>
      <c r="EP99" s="62">
        <f t="shared" si="100"/>
        <v>217.25323885665131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3.2051282051281986</v>
      </c>
      <c r="FE99" s="13">
        <f>IF('Données projet'!$A$218&gt;35,FE98+FD99-FM98,IF(A99&lt;'Données projet'!$A$218,$FB$205^A99,IF(A99='Données projet'!$A$218,'Données projet'!$B$218,FE98+FD99-FM98)))</f>
        <v>213.46153846153845</v>
      </c>
      <c r="FF99" s="18">
        <f>FE99*VLOOKUP('Données projet'!$B$16,Paramètres!$A$1:$I$89,3,0)*VLOOKUP('Données projet'!$B$16,Paramètres!$A$1:$I$89,5,0)</f>
        <v>203.13</v>
      </c>
      <c r="FG99" s="14">
        <f t="shared" si="101"/>
        <v>50.431424067617797</v>
      </c>
      <c r="FH99" s="22">
        <f t="shared" si="76"/>
        <v>441.61948025110092</v>
      </c>
      <c r="FI99" s="62">
        <f t="shared" si="77"/>
        <v>734.95281358443424</v>
      </c>
      <c r="FJ99" s="62">
        <f ca="1">AVERAGE(OFFSET($FI$3,0,0,'Données projet'!$E$16+1,1))-AVERAGE(OFFSET($H$3,0,0,'Données projet'!$E$16+1,1))</f>
        <v>353.61481736740694</v>
      </c>
      <c r="FK99" s="62">
        <f t="shared" si="102"/>
        <v>244.7141066773861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3</v>
      </c>
      <c r="FZ99" s="13">
        <f>IF('Données projet'!$A$244&gt;35,FZ98+FY99-GH98,IF(A99&lt;'Données projet'!$A$244,$FW$205^A99,IF(A99='Données projet'!$A$244,'Données projet'!$B$244,FZ98+FY99-GH98)))</f>
        <v>158</v>
      </c>
      <c r="GA99" s="18">
        <f>FZ99*VLOOKUP('Données projet'!$B$17,Paramètres!$A$1:$I$89,3,0)*VLOOKUP('Données projet'!$B$17,Paramètres!$A$1:$I$89,5,0)</f>
        <v>170.0712</v>
      </c>
      <c r="GB99" s="14">
        <f t="shared" si="103"/>
        <v>43.10596962815594</v>
      </c>
      <c r="GC99" s="22">
        <f t="shared" si="79"/>
        <v>371.28357043570492</v>
      </c>
      <c r="GD99" s="62">
        <f t="shared" si="80"/>
        <v>664.61690376903823</v>
      </c>
      <c r="GE99" s="62">
        <f ca="1">AVERAGE(OFFSET($GD$3,0,0,'Données projet'!$E$17+1,1))-AVERAGE(OFFSET($H$3,0,0,'Données projet'!$E$17+1,1))</f>
        <v>280.20599015000306</v>
      </c>
      <c r="GF99" s="62">
        <f t="shared" si="104"/>
        <v>166.97658184507787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3.333333333333337</v>
      </c>
      <c r="GU99" s="13">
        <f>IF('Données projet'!$A$270&gt;35,GU98+GT99-HC98,IF(A99&lt;'Données projet'!$A$270,$GR$205^A99,IF(A99='Données projet'!$A$270,'Données projet'!$B$270,GU98+GT99-HC98)))</f>
        <v>262.30769230769215</v>
      </c>
      <c r="GV99" s="18">
        <f>GU99*VLOOKUP('Données projet'!$B$18,Paramètres!$A$1:$I$89,3,0)*VLOOKUP('Données projet'!$B$18,Paramètres!$A$1:$I$89,5,0)</f>
        <v>175.95599999999988</v>
      </c>
      <c r="GW99" s="14">
        <f t="shared" si="105"/>
        <v>44.421284286599445</v>
      </c>
      <c r="GX99" s="22">
        <f t="shared" si="82"/>
        <v>383.82377013249379</v>
      </c>
      <c r="GY99" s="62">
        <f t="shared" si="83"/>
        <v>677.15710346582705</v>
      </c>
      <c r="GZ99" s="62">
        <f ca="1">AVERAGE(OFFSET($GY$3,0,0,'Données projet'!$E$18+1,1))-AVERAGE(OFFSET($H$3,0,0,'Données projet'!$E$18+1,1))</f>
        <v>291.18686311753402</v>
      </c>
      <c r="HA99" s="62">
        <f t="shared" si="106"/>
        <v>215.44422413249839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9">
        <f t="shared" si="56"/>
        <v>256.66666666666669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260.02504691866199</v>
      </c>
      <c r="T100" s="62">
        <f t="shared" si="88"/>
        <v>270.11268336406368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2.65523573355506</v>
      </c>
      <c r="AA100" s="23">
        <f>EXP(-LN(2)/25)*AA99+(1-EXP(-LN(2)/25))/(LN(2)/25)*Calculateur!V100*Calculateur!X100*VLOOKUP('Données projet'!$B$9,Paramètres!$A$1:$I$89,3,0)*0.475*44/12</f>
        <v>2.5647009555631435</v>
      </c>
      <c r="AB100" s="23">
        <f>EXP(-LN(2)/2)*AB99+(1-EXP(-LN(2)/2))/(LN(2)/2)*V100*Y100*VLOOKUP('Données projet'!$B$9,Paramètres!$A$1:$I$89,3,0)*0.475*44/12</f>
        <v>5.2189330772038412E-10</v>
      </c>
      <c r="AC100" s="24">
        <f t="shared" si="57"/>
        <v>5.2199366896400967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2">
        <f t="shared" si="59"/>
        <v>923.64881338426039</v>
      </c>
      <c r="AN100" s="62">
        <f ca="1">AVERAGE(OFFSET($AM$3,0,0,'Données projet'!$E$10+1,1))-AVERAGE(OFFSET($H$3,0,0,'Données projet'!$E$10+1,1))</f>
        <v>475.47920969424894</v>
      </c>
      <c r="AO100" s="62">
        <f t="shared" si="90"/>
        <v>271.73544012419364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260.85383999999993</v>
      </c>
      <c r="BF100" s="14">
        <f t="shared" si="91"/>
        <v>62.904347395903763</v>
      </c>
      <c r="BG100" s="22">
        <f t="shared" si="61"/>
        <v>563.87884304786564</v>
      </c>
      <c r="BH100" s="62">
        <f t="shared" si="62"/>
        <v>857.21217638119901</v>
      </c>
      <c r="BI100" s="62">
        <f ca="1">AVERAGE(OFFSET($BH$3,0,0,'Données projet'!$E$11+1,1))-AVERAGE(OFFSET($H$3,0,0,'Données projet'!$E$11+1,1))</f>
        <v>428.8489304403459</v>
      </c>
      <c r="BJ100" s="62">
        <f t="shared" si="92"/>
        <v>247.01165577562966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-1.9895196601282805E-13</v>
      </c>
      <c r="BZ100" s="14">
        <f>BY100*VLOOKUP('Données projet'!$B$12,Paramètres!$A$1:$I$89,3,0)*VLOOKUP('Données projet'!$B$12,Paramètres!$A$1:$I$89,5,0)</f>
        <v>-1.6138983482960614E-13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236.22643401787644</v>
      </c>
      <c r="CE100" s="62">
        <f t="shared" si="94"/>
        <v>188.80444043778022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8.1391025641025667</v>
      </c>
      <c r="CT100" s="13">
        <f>IF('Données projet'!$A$140&gt;35,CT99+CS100-DB99,IF(A100&lt;'Données projet'!$A$140,$CQ$205^A100,IF(A100='Données projet'!$A$140,'Données projet'!$B$140,CT99+CS100-DB99)))</f>
        <v>381.59102564102579</v>
      </c>
      <c r="CU100" s="18">
        <f>CT100*VLOOKUP('Données projet'!$B$13,Paramètres!$A$1:$I$89,3,0)*VLOOKUP('Données projet'!$B$13,Paramètres!$A$1:$I$89,5,0)</f>
        <v>178.58460000000008</v>
      </c>
      <c r="CV100" s="14">
        <f t="shared" si="95"/>
        <v>45.007141207375248</v>
      </c>
      <c r="CW100" s="22">
        <f t="shared" si="67"/>
        <v>389.42228260284531</v>
      </c>
      <c r="CX100" s="62">
        <f t="shared" si="68"/>
        <v>682.75561593617863</v>
      </c>
      <c r="CY100" s="62">
        <f ca="1">AVERAGE(OFFSET($CX$3,0,0,'Données projet'!$E$13+1,1))-AVERAGE(OFFSET($H$3,0,0,'Données projet'!$E$13+1,1))</f>
        <v>246.73711856758143</v>
      </c>
      <c r="CZ100" s="62">
        <f t="shared" si="96"/>
        <v>145.54897745089966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3.4615384615384586</v>
      </c>
      <c r="DO100" s="13">
        <f>IF('Données projet'!$A$166&gt;35,DO99+DN100-DW99,IF(A100&lt;'Données projet'!$A$166,$DL$205^A100,IF(A100='Données projet'!$A$166,'Données projet'!$B$166,DO99+DN100-DW99)))</f>
        <v>299.230769230769</v>
      </c>
      <c r="DP100" s="18">
        <f>DO100*VLOOKUP('Données projet'!$B$14,Paramètres!$A$1:$I$89,3,0)*VLOOKUP('Données projet'!$B$14,Paramètres!$A$1:$I$89,5,0)</f>
        <v>312.7559999999998</v>
      </c>
      <c r="DQ100" s="14">
        <f t="shared" si="97"/>
        <v>73.844095838560634</v>
      </c>
      <c r="DR100" s="22">
        <f t="shared" si="70"/>
        <v>673.32850025215942</v>
      </c>
      <c r="DS100" s="62">
        <f t="shared" si="71"/>
        <v>966.66183358549279</v>
      </c>
      <c r="DT100" s="62">
        <f ca="1">AVERAGE(OFFSET($DS$3,0,0,'Données projet'!$E$14+1,1))-AVERAGE(OFFSET($H$3,0,0,'Données projet'!$E$14+1,1))</f>
        <v>493.70175665335978</v>
      </c>
      <c r="DU100" s="62">
        <f t="shared" si="98"/>
        <v>325.12357781685949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-1.7053025658242404E-13</v>
      </c>
      <c r="EK100" s="18">
        <f>EJ100*VLOOKUP('Données projet'!$B$15,Paramètres!$A$1:$I$89,3,0)*VLOOKUP('Données projet'!$B$15,Paramètres!$A$1:$I$89,5,0)</f>
        <v>-1.4897523215040567E-13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202.86354781280403</v>
      </c>
      <c r="EP100" s="62">
        <f t="shared" si="100"/>
        <v>217.25323885665131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3.2051282051281986</v>
      </c>
      <c r="FE100" s="13">
        <f>IF('Données projet'!$A$218&gt;35,FE99+FD100-FM99,IF(A100&lt;'Données projet'!$A$218,$FB$205^A100,IF(A100='Données projet'!$A$218,'Données projet'!$B$218,FE99+FD100-FM99)))</f>
        <v>216.66666666666666</v>
      </c>
      <c r="FF100" s="18">
        <f>FE100*VLOOKUP('Données projet'!$B$16,Paramètres!$A$1:$I$89,3,0)*VLOOKUP('Données projet'!$B$16,Paramètres!$A$1:$I$89,5,0)</f>
        <v>206.17999999999998</v>
      </c>
      <c r="FG100" s="14">
        <f t="shared" si="101"/>
        <v>51.09992979292003</v>
      </c>
      <c r="FH100" s="22">
        <f t="shared" si="76"/>
        <v>448.095877722669</v>
      </c>
      <c r="FI100" s="62">
        <f t="shared" si="77"/>
        <v>741.42921105600226</v>
      </c>
      <c r="FJ100" s="62">
        <f ca="1">AVERAGE(OFFSET($FI$3,0,0,'Données projet'!$E$16+1,1))-AVERAGE(OFFSET($H$3,0,0,'Données projet'!$E$16+1,1))</f>
        <v>353.61481736740694</v>
      </c>
      <c r="FK100" s="62">
        <f t="shared" si="102"/>
        <v>244.7141066773861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3</v>
      </c>
      <c r="FZ100" s="13">
        <f>IF('Données projet'!$A$244&gt;35,FZ99+FY100-GH99,IF(A100&lt;'Données projet'!$A$244,$FW$205^A100,IF(A100='Données projet'!$A$244,'Données projet'!$B$244,FZ99+FY100-GH99)))</f>
        <v>161</v>
      </c>
      <c r="GA100" s="18">
        <f>FZ100*VLOOKUP('Données projet'!$B$17,Paramètres!$A$1:$I$89,3,0)*VLOOKUP('Données projet'!$B$17,Paramètres!$A$1:$I$89,5,0)</f>
        <v>173.3004</v>
      </c>
      <c r="GB100" s="14">
        <f t="shared" si="103"/>
        <v>43.82837416766705</v>
      </c>
      <c r="GC100" s="22">
        <f t="shared" si="79"/>
        <v>378.1659483420201</v>
      </c>
      <c r="GD100" s="62">
        <f t="shared" si="80"/>
        <v>671.49928167535336</v>
      </c>
      <c r="GE100" s="62">
        <f ca="1">AVERAGE(OFFSET($GD$3,0,0,'Données projet'!$E$17+1,1))-AVERAGE(OFFSET($H$3,0,0,'Données projet'!$E$17+1,1))</f>
        <v>280.20599015000306</v>
      </c>
      <c r="GF100" s="62">
        <f t="shared" si="104"/>
        <v>166.97658184507787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3.333333333333337</v>
      </c>
      <c r="GU100" s="13">
        <f>IF('Données projet'!$A$270&gt;35,GU99+GT100-HC99,IF(A100&lt;'Données projet'!$A$270,$GR$205^A100,IF(A100='Données projet'!$A$270,'Données projet'!$B$270,GU99+GT100-HC99)))</f>
        <v>265.64102564102546</v>
      </c>
      <c r="GV100" s="18">
        <f>GU100*VLOOKUP('Données projet'!$B$18,Paramètres!$A$1:$I$89,3,0)*VLOOKUP('Données projet'!$B$18,Paramètres!$A$1:$I$89,5,0)</f>
        <v>178.19199999999989</v>
      </c>
      <c r="GW100" s="14">
        <f t="shared" si="105"/>
        <v>44.919703445281939</v>
      </c>
      <c r="GX100" s="22">
        <f t="shared" si="82"/>
        <v>388.58621683386582</v>
      </c>
      <c r="GY100" s="62">
        <f t="shared" si="83"/>
        <v>681.91955016719908</v>
      </c>
      <c r="GZ100" s="62">
        <f ca="1">AVERAGE(OFFSET($GY$3,0,0,'Données projet'!$E$18+1,1))-AVERAGE(OFFSET($H$3,0,0,'Données projet'!$E$18+1,1))</f>
        <v>291.18686311753402</v>
      </c>
      <c r="HA100" s="62">
        <f t="shared" si="106"/>
        <v>215.44422413249839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9">
        <f t="shared" si="56"/>
        <v>256.66666666666669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260.02504691866199</v>
      </c>
      <c r="T101" s="62">
        <f t="shared" si="88"/>
        <v>270.11268336406368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2.6031681803539271</v>
      </c>
      <c r="AA101" s="23">
        <f>EXP(-LN(2)/25)*AA100+(1-EXP(-LN(2)/25))/(LN(2)/25)*Calculateur!V101*Calculateur!X101*VLOOKUP('Données projet'!$B$9,Paramètres!$A$1:$I$89,3,0)*0.475*44/12</f>
        <v>2.4945690730615078</v>
      </c>
      <c r="AB101" s="23">
        <f>EXP(-LN(2)/2)*AB100+(1-EXP(-LN(2)/2))/(LN(2)/2)*V101*Y101*VLOOKUP('Données projet'!$B$9,Paramètres!$A$1:$I$89,3,0)*0.475*44/12</f>
        <v>3.6903429694496117E-10</v>
      </c>
      <c r="AC101" s="24">
        <f t="shared" si="57"/>
        <v>5.0977372537844694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2">
        <f t="shared" si="59"/>
        <v>934.12027890322065</v>
      </c>
      <c r="AN101" s="62">
        <f ca="1">AVERAGE(OFFSET($AM$3,0,0,'Données projet'!$E$10+1,1))-AVERAGE(OFFSET($H$3,0,0,'Données projet'!$E$10+1,1))</f>
        <v>475.47920969424894</v>
      </c>
      <c r="AO101" s="62">
        <f t="shared" si="90"/>
        <v>271.73544012419364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265.28735999999992</v>
      </c>
      <c r="BF101" s="14">
        <f t="shared" si="91"/>
        <v>63.84810550096995</v>
      </c>
      <c r="BG101" s="22">
        <f t="shared" si="61"/>
        <v>573.24426908085582</v>
      </c>
      <c r="BH101" s="62">
        <f t="shared" si="62"/>
        <v>866.57760241418919</v>
      </c>
      <c r="BI101" s="62">
        <f ca="1">AVERAGE(OFFSET($BH$3,0,0,'Données projet'!$E$11+1,1))-AVERAGE(OFFSET($H$3,0,0,'Données projet'!$E$11+1,1))</f>
        <v>428.8489304403459</v>
      </c>
      <c r="BJ101" s="62">
        <f t="shared" si="92"/>
        <v>247.01165577562966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-1.9895196601282805E-13</v>
      </c>
      <c r="BZ101" s="14">
        <f>BY101*VLOOKUP('Données projet'!$B$12,Paramètres!$A$1:$I$89,3,0)*VLOOKUP('Données projet'!$B$12,Paramètres!$A$1:$I$89,5,0)</f>
        <v>-1.6138983482960614E-13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236.22643401787644</v>
      </c>
      <c r="CE101" s="62">
        <f t="shared" si="94"/>
        <v>188.80444043778022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8.1391025641025667</v>
      </c>
      <c r="CT101" s="13">
        <f>IF('Données projet'!$A$140&gt;35,CT100+CS101-DB100,IF(A101&lt;'Données projet'!$A$140,$CQ$205^A101,IF(A101='Données projet'!$A$140,'Données projet'!$B$140,CT100+CS101-DB100)))</f>
        <v>389.73012820512838</v>
      </c>
      <c r="CU101" s="18">
        <f>CT101*VLOOKUP('Données projet'!$B$13,Paramètres!$A$1:$I$89,3,0)*VLOOKUP('Données projet'!$B$13,Paramètres!$A$1:$I$89,5,0)</f>
        <v>182.39370000000008</v>
      </c>
      <c r="CV101" s="14">
        <f t="shared" si="95"/>
        <v>45.854330163580777</v>
      </c>
      <c r="CW101" s="22">
        <f t="shared" si="67"/>
        <v>397.53198586823669</v>
      </c>
      <c r="CX101" s="62">
        <f t="shared" si="68"/>
        <v>690.86531920156995</v>
      </c>
      <c r="CY101" s="62">
        <f ca="1">AVERAGE(OFFSET($CX$3,0,0,'Données projet'!$E$13+1,1))-AVERAGE(OFFSET($H$3,0,0,'Données projet'!$E$13+1,1))</f>
        <v>246.73711856758143</v>
      </c>
      <c r="CZ101" s="62">
        <f t="shared" si="96"/>
        <v>145.54897745089966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3.4615384615384586</v>
      </c>
      <c r="DO101" s="13">
        <f>IF('Données projet'!$A$166&gt;35,DO100+DN101-DW100,IF(A101&lt;'Données projet'!$A$166,$DL$205^A101,IF(A101='Données projet'!$A$166,'Données projet'!$B$166,DO100+DN101-DW100)))</f>
        <v>302.69230769230745</v>
      </c>
      <c r="DP101" s="18">
        <f>DO101*VLOOKUP('Données projet'!$B$14,Paramètres!$A$1:$I$89,3,0)*VLOOKUP('Données projet'!$B$14,Paramètres!$A$1:$I$89,5,0)</f>
        <v>316.37399999999974</v>
      </c>
      <c r="DQ101" s="14">
        <f t="shared" si="97"/>
        <v>74.598394184177479</v>
      </c>
      <c r="DR101" s="22">
        <f t="shared" si="70"/>
        <v>680.943586537442</v>
      </c>
      <c r="DS101" s="62">
        <f t="shared" si="71"/>
        <v>974.27691987077537</v>
      </c>
      <c r="DT101" s="62">
        <f ca="1">AVERAGE(OFFSET($DS$3,0,0,'Données projet'!$E$14+1,1))-AVERAGE(OFFSET($H$3,0,0,'Données projet'!$E$14+1,1))</f>
        <v>493.70175665335978</v>
      </c>
      <c r="DU101" s="62">
        <f t="shared" si="98"/>
        <v>325.12357781685949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-1.7053025658242404E-13</v>
      </c>
      <c r="EK101" s="18">
        <f>EJ101*VLOOKUP('Données projet'!$B$15,Paramètres!$A$1:$I$89,3,0)*VLOOKUP('Données projet'!$B$15,Paramètres!$A$1:$I$89,5,0)</f>
        <v>-1.4897523215040567E-13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202.86354781280403</v>
      </c>
      <c r="EP101" s="62">
        <f t="shared" si="100"/>
        <v>217.25323885665131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3.2051282051281986</v>
      </c>
      <c r="FE101" s="13">
        <f>IF('Données projet'!$A$218&gt;35,FE100+FD101-FM100,IF(A101&lt;'Données projet'!$A$218,$FB$205^A101,IF(A101='Données projet'!$A$218,'Données projet'!$B$218,FE100+FD101-FM100)))</f>
        <v>219.87179487179486</v>
      </c>
      <c r="FF101" s="18">
        <f>FE101*VLOOKUP('Données projet'!$B$16,Paramètres!$A$1:$I$89,3,0)*VLOOKUP('Données projet'!$B$16,Paramètres!$A$1:$I$89,5,0)</f>
        <v>209.23</v>
      </c>
      <c r="FG101" s="14">
        <f t="shared" si="101"/>
        <v>51.767285368675203</v>
      </c>
      <c r="FH101" s="22">
        <f t="shared" si="76"/>
        <v>454.57027201710929</v>
      </c>
      <c r="FI101" s="62">
        <f t="shared" si="77"/>
        <v>747.9036053504426</v>
      </c>
      <c r="FJ101" s="62">
        <f ca="1">AVERAGE(OFFSET($FI$3,0,0,'Données projet'!$E$16+1,1))-AVERAGE(OFFSET($H$3,0,0,'Données projet'!$E$16+1,1))</f>
        <v>353.61481736740694</v>
      </c>
      <c r="FK101" s="62">
        <f t="shared" si="102"/>
        <v>244.7141066773861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3</v>
      </c>
      <c r="FZ101" s="13">
        <f>IF('Données projet'!$A$244&gt;35,FZ100+FY101-GH100,IF(A101&lt;'Données projet'!$A$244,$FW$205^A101,IF(A101='Données projet'!$A$244,'Données projet'!$B$244,FZ100+FY101-GH100)))</f>
        <v>164</v>
      </c>
      <c r="GA101" s="18">
        <f>FZ101*VLOOKUP('Données projet'!$B$17,Paramètres!$A$1:$I$89,3,0)*VLOOKUP('Données projet'!$B$17,Paramètres!$A$1:$I$89,5,0)</f>
        <v>176.52959999999999</v>
      </c>
      <c r="GB101" s="14">
        <f t="shared" si="103"/>
        <v>44.549213454343487</v>
      </c>
      <c r="GC101" s="22">
        <f t="shared" si="79"/>
        <v>385.04560009964825</v>
      </c>
      <c r="GD101" s="62">
        <f t="shared" si="80"/>
        <v>678.37893343298151</v>
      </c>
      <c r="GE101" s="62">
        <f ca="1">AVERAGE(OFFSET($GD$3,0,0,'Données projet'!$E$17+1,1))-AVERAGE(OFFSET($H$3,0,0,'Données projet'!$E$17+1,1))</f>
        <v>280.20599015000306</v>
      </c>
      <c r="GF101" s="62">
        <f t="shared" si="104"/>
        <v>166.97658184507787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3.333333333333337</v>
      </c>
      <c r="GU101" s="13">
        <f>IF('Données projet'!$A$270&gt;35,GU100+GT101-HC100,IF(A101&lt;'Données projet'!$A$270,$GR$205^A101,IF(A101='Données projet'!$A$270,'Données projet'!$B$270,GU100+GT101-HC100)))</f>
        <v>268.97435897435878</v>
      </c>
      <c r="GV101" s="18">
        <f>GU101*VLOOKUP('Données projet'!$B$18,Paramètres!$A$1:$I$89,3,0)*VLOOKUP('Données projet'!$B$18,Paramètres!$A$1:$I$89,5,0)</f>
        <v>180.42799999999988</v>
      </c>
      <c r="GW101" s="14">
        <f t="shared" si="105"/>
        <v>45.417395115306284</v>
      </c>
      <c r="GX101" s="22">
        <f t="shared" si="82"/>
        <v>393.34739649249155</v>
      </c>
      <c r="GY101" s="62">
        <f t="shared" si="83"/>
        <v>686.68072982582487</v>
      </c>
      <c r="GZ101" s="62">
        <f ca="1">AVERAGE(OFFSET($GY$3,0,0,'Données projet'!$E$18+1,1))-AVERAGE(OFFSET($H$3,0,0,'Données projet'!$E$18+1,1))</f>
        <v>291.18686311753402</v>
      </c>
      <c r="HA101" s="62">
        <f t="shared" si="106"/>
        <v>215.44422413249839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9">
        <f t="shared" si="56"/>
        <v>256.66666666666669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260.02504691866199</v>
      </c>
      <c r="T102" s="62">
        <f t="shared" si="88"/>
        <v>270.11268336406368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2.5521216401129969</v>
      </c>
      <c r="AA102" s="23">
        <f>EXP(-LN(2)/25)*AA101+(1-EXP(-LN(2)/25))/(LN(2)/25)*Calculateur!V102*Calculateur!X102*VLOOKUP('Données projet'!$B$9,Paramètres!$A$1:$I$89,3,0)*0.475*44/12</f>
        <v>2.4263549505749546</v>
      </c>
      <c r="AB102" s="23">
        <f>EXP(-LN(2)/2)*AB101+(1-EXP(-LN(2)/2))/(LN(2)/2)*V102*Y102*VLOOKUP('Données projet'!$B$9,Paramètres!$A$1:$I$89,3,0)*0.475*44/12</f>
        <v>2.6094665386019206E-10</v>
      </c>
      <c r="AC102" s="24">
        <f t="shared" si="57"/>
        <v>4.9784765909488984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2">
        <f t="shared" si="59"/>
        <v>944.58821149144683</v>
      </c>
      <c r="AN102" s="62">
        <f ca="1">AVERAGE(OFFSET($AM$3,0,0,'Données projet'!$E$10+1,1))-AVERAGE(OFFSET($H$3,0,0,'Données projet'!$E$10+1,1))</f>
        <v>475.47920969424894</v>
      </c>
      <c r="AO102" s="62">
        <f t="shared" si="90"/>
        <v>271.73544012419364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269.72087999999985</v>
      </c>
      <c r="BF102" s="14">
        <f t="shared" si="91"/>
        <v>64.790029413946939</v>
      </c>
      <c r="BG102" s="22">
        <f t="shared" si="61"/>
        <v>582.60650056262409</v>
      </c>
      <c r="BH102" s="62">
        <f t="shared" si="62"/>
        <v>875.93983389595746</v>
      </c>
      <c r="BI102" s="62">
        <f ca="1">AVERAGE(OFFSET($BH$3,0,0,'Données projet'!$E$11+1,1))-AVERAGE(OFFSET($H$3,0,0,'Données projet'!$E$11+1,1))</f>
        <v>428.8489304403459</v>
      </c>
      <c r="BJ102" s="62">
        <f t="shared" si="92"/>
        <v>247.01165577562966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-1.9895196601282805E-13</v>
      </c>
      <c r="BZ102" s="14">
        <f>BY102*VLOOKUP('Données projet'!$B$12,Paramètres!$A$1:$I$89,3,0)*VLOOKUP('Données projet'!$B$12,Paramètres!$A$1:$I$89,5,0)</f>
        <v>-1.6138983482960614E-13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236.22643401787644</v>
      </c>
      <c r="CE102" s="62">
        <f t="shared" si="94"/>
        <v>188.80444043778022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>
        <f>VLOOKUP(A102,'Données projet'!$A$139:$I$159,2,0)</f>
        <v>397.8692307692308</v>
      </c>
      <c r="CR102" s="13">
        <f>VLOOKUP(A102,'Données projet'!$A$139:$I$159,9,0)</f>
        <v>8.1391025641025667</v>
      </c>
      <c r="CS102" s="13">
        <f t="array" ref="CS102">INDEX(CR:CR,MIN(IF(ISNUMBER(CR102:CR298),ROW(CR102:CR298),"")))</f>
        <v>8.1391025641025667</v>
      </c>
      <c r="CT102" s="13">
        <f>IF('Données projet'!$A$140&gt;35,CT101+CS102-DB101,IF(A102&lt;'Données projet'!$A$140,$CQ$205^A102,IF(A102='Données projet'!$A$140,'Données projet'!$B$140,CT101+CS102-DB101)))</f>
        <v>397.86923076923097</v>
      </c>
      <c r="CU102" s="18">
        <f>CT102*VLOOKUP('Données projet'!$B$13,Paramètres!$A$1:$I$89,3,0)*VLOOKUP('Données projet'!$B$13,Paramètres!$A$1:$I$89,5,0)</f>
        <v>186.20280000000008</v>
      </c>
      <c r="CV102" s="14">
        <f t="shared" si="95"/>
        <v>46.699462038644185</v>
      </c>
      <c r="CW102" s="22">
        <f t="shared" si="67"/>
        <v>405.63810638397212</v>
      </c>
      <c r="CX102" s="62">
        <f t="shared" si="68"/>
        <v>698.97143971730543</v>
      </c>
      <c r="CY102" s="62">
        <f ca="1">AVERAGE(OFFSET($CX$3,0,0,'Données projet'!$E$13+1,1))-AVERAGE(OFFSET($H$3,0,0,'Données projet'!$E$13+1,1))</f>
        <v>246.73711856758143</v>
      </c>
      <c r="CZ102" s="62">
        <f t="shared" si="96"/>
        <v>145.54897745089966</v>
      </c>
      <c r="DA102" s="16">
        <f>IF(ISNA(VLOOKUP(A102,'Données projet'!$A$139:$I$159,3,0)),0,VLOOKUP(A102,'Données projet'!$A$139:$I$159,3,0))</f>
        <v>5</v>
      </c>
      <c r="DB102" s="16">
        <f>IF(ISNA(VLOOKUP(A102,'Données projet'!$A$139:$I$159,4,0)),0,VLOOKUP(A102,'Données projet'!$A$139:$I$159,4,0))</f>
        <v>198.32307692307691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3.4615384615384586</v>
      </c>
      <c r="DO102" s="13">
        <f>IF('Données projet'!$A$166&gt;35,DO101+DN102-DW101,IF(A102&lt;'Données projet'!$A$166,$DL$205^A102,IF(A102='Données projet'!$A$166,'Données projet'!$B$166,DO101+DN102-DW101)))</f>
        <v>306.1538461538459</v>
      </c>
      <c r="DP102" s="18">
        <f>DO102*VLOOKUP('Données projet'!$B$14,Paramètres!$A$1:$I$89,3,0)*VLOOKUP('Données projet'!$B$14,Paramètres!$A$1:$I$89,5,0)</f>
        <v>319.99199999999979</v>
      </c>
      <c r="DQ102" s="14">
        <f t="shared" si="97"/>
        <v>75.351689104824757</v>
      </c>
      <c r="DR102" s="22">
        <f t="shared" si="70"/>
        <v>688.55692519090269</v>
      </c>
      <c r="DS102" s="62">
        <f t="shared" si="71"/>
        <v>981.89025852423606</v>
      </c>
      <c r="DT102" s="62">
        <f ca="1">AVERAGE(OFFSET($DS$3,0,0,'Données projet'!$E$14+1,1))-AVERAGE(OFFSET($H$3,0,0,'Données projet'!$E$14+1,1))</f>
        <v>493.70175665335978</v>
      </c>
      <c r="DU102" s="62">
        <f t="shared" si="98"/>
        <v>325.12357781685949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-1.7053025658242404E-13</v>
      </c>
      <c r="EK102" s="18">
        <f>EJ102*VLOOKUP('Données projet'!$B$15,Paramètres!$A$1:$I$89,3,0)*VLOOKUP('Données projet'!$B$15,Paramètres!$A$1:$I$89,5,0)</f>
        <v>-1.4897523215040567E-13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202.86354781280403</v>
      </c>
      <c r="EP102" s="62">
        <f t="shared" si="100"/>
        <v>217.25323885665131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3.2051282051281986</v>
      </c>
      <c r="FE102" s="13">
        <f>IF('Données projet'!$A$218&gt;35,FE101+FD102-FM101,IF(A102&lt;'Données projet'!$A$218,$FB$205^A102,IF(A102='Données projet'!$A$218,'Données projet'!$B$218,FE101+FD102-FM101)))</f>
        <v>223.07692307692307</v>
      </c>
      <c r="FF102" s="18">
        <f>FE102*VLOOKUP('Données projet'!$B$16,Paramètres!$A$1:$I$89,3,0)*VLOOKUP('Données projet'!$B$16,Paramètres!$A$1:$I$89,5,0)</f>
        <v>212.28</v>
      </c>
      <c r="FG102" s="14">
        <f t="shared" si="101"/>
        <v>52.433509497939937</v>
      </c>
      <c r="FH102" s="22">
        <f t="shared" si="76"/>
        <v>461.04269570891194</v>
      </c>
      <c r="FI102" s="62">
        <f t="shared" si="77"/>
        <v>754.37602904224525</v>
      </c>
      <c r="FJ102" s="62">
        <f ca="1">AVERAGE(OFFSET($FI$3,0,0,'Données projet'!$E$16+1,1))-AVERAGE(OFFSET($H$3,0,0,'Données projet'!$E$16+1,1))</f>
        <v>353.61481736740694</v>
      </c>
      <c r="FK102" s="62">
        <f t="shared" si="102"/>
        <v>244.7141066773861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3</v>
      </c>
      <c r="FZ102" s="13">
        <f>IF('Données projet'!$A$244&gt;35,FZ101+FY102-GH101,IF(A102&lt;'Données projet'!$A$244,$FW$205^A102,IF(A102='Données projet'!$A$244,'Données projet'!$B$244,FZ101+FY102-GH101)))</f>
        <v>167</v>
      </c>
      <c r="GA102" s="18">
        <f>FZ102*VLOOKUP('Données projet'!$B$17,Paramètres!$A$1:$I$89,3,0)*VLOOKUP('Données projet'!$B$17,Paramètres!$A$1:$I$89,5,0)</f>
        <v>179.75879999999998</v>
      </c>
      <c r="GB102" s="14">
        <f t="shared" si="103"/>
        <v>45.268519423286527</v>
      </c>
      <c r="GC102" s="22">
        <f t="shared" si="79"/>
        <v>391.92258132889066</v>
      </c>
      <c r="GD102" s="62">
        <f t="shared" si="80"/>
        <v>685.25591466222397</v>
      </c>
      <c r="GE102" s="62">
        <f ca="1">AVERAGE(OFFSET($GD$3,0,0,'Données projet'!$E$17+1,1))-AVERAGE(OFFSET($H$3,0,0,'Données projet'!$E$17+1,1))</f>
        <v>280.20599015000306</v>
      </c>
      <c r="GF102" s="62">
        <f t="shared" si="104"/>
        <v>166.97658184507787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3.333333333333337</v>
      </c>
      <c r="GU102" s="13">
        <f>IF('Données projet'!$A$270&gt;35,GU101+GT102-HC101,IF(A102&lt;'Données projet'!$A$270,$GR$205^A102,IF(A102='Données projet'!$A$270,'Données projet'!$B$270,GU101+GT102-HC101)))</f>
        <v>272.30769230769209</v>
      </c>
      <c r="GV102" s="18">
        <f>GU102*VLOOKUP('Données projet'!$B$18,Paramètres!$A$1:$I$89,3,0)*VLOOKUP('Données projet'!$B$18,Paramètres!$A$1:$I$89,5,0)</f>
        <v>182.66399999999987</v>
      </c>
      <c r="GW102" s="14">
        <f t="shared" si="105"/>
        <v>45.914369354937548</v>
      </c>
      <c r="GX102" s="22">
        <f t="shared" si="82"/>
        <v>398.107326626516</v>
      </c>
      <c r="GY102" s="62">
        <f t="shared" si="83"/>
        <v>691.44065995984931</v>
      </c>
      <c r="GZ102" s="62">
        <f ca="1">AVERAGE(OFFSET($GY$3,0,0,'Données projet'!$E$18+1,1))-AVERAGE(OFFSET($H$3,0,0,'Données projet'!$E$18+1,1))</f>
        <v>291.18686311753402</v>
      </c>
      <c r="HA102" s="62">
        <f t="shared" si="106"/>
        <v>215.44422413249839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9">
        <f t="shared" si="56"/>
        <v>256.66666666666669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260.02504691866199</v>
      </c>
      <c r="T103" s="62">
        <f t="shared" si="88"/>
        <v>270.11268336406368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2.5020760913908759</v>
      </c>
      <c r="AA103" s="23">
        <f>EXP(-LN(2)/25)*AA102+(1-EXP(-LN(2)/25))/(LN(2)/25)*Calculateur!V103*Calculateur!X103*VLOOKUP('Données projet'!$B$9,Paramètres!$A$1:$I$89,3,0)*0.475*44/12</f>
        <v>2.3600061468550213</v>
      </c>
      <c r="AB103" s="23">
        <f>EXP(-LN(2)/2)*AB102+(1-EXP(-LN(2)/2))/(LN(2)/2)*V103*Y103*VLOOKUP('Données projet'!$B$9,Paramètres!$A$1:$I$89,3,0)*0.475*44/12</f>
        <v>1.8451714847248058E-10</v>
      </c>
      <c r="AC103" s="24">
        <f t="shared" si="57"/>
        <v>4.8620822384304141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2">
        <f t="shared" si="59"/>
        <v>955.05267592477821</v>
      </c>
      <c r="AN103" s="62">
        <f ca="1">AVERAGE(OFFSET($AM$3,0,0,'Données projet'!$E$10+1,1))-AVERAGE(OFFSET($H$3,0,0,'Données projet'!$E$10+1,1))</f>
        <v>475.47920969424894</v>
      </c>
      <c r="AO103" s="62">
        <f t="shared" si="90"/>
        <v>271.73544012419364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274.15439999999984</v>
      </c>
      <c r="BF103" s="14">
        <f t="shared" si="91"/>
        <v>65.730152764515779</v>
      </c>
      <c r="BG103" s="22">
        <f t="shared" si="61"/>
        <v>591.9655960648646</v>
      </c>
      <c r="BH103" s="62">
        <f t="shared" si="62"/>
        <v>885.29892939819797</v>
      </c>
      <c r="BI103" s="62">
        <f ca="1">AVERAGE(OFFSET($BH$3,0,0,'Données projet'!$E$11+1,1))-AVERAGE(OFFSET($H$3,0,0,'Données projet'!$E$11+1,1))</f>
        <v>428.8489304403459</v>
      </c>
      <c r="BJ103" s="62">
        <f t="shared" si="92"/>
        <v>247.01165577562966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-1.9895196601282805E-13</v>
      </c>
      <c r="BZ103" s="14">
        <f>BY103*VLOOKUP('Données projet'!$B$12,Paramètres!$A$1:$I$89,3,0)*VLOOKUP('Données projet'!$B$12,Paramètres!$A$1:$I$89,5,0)</f>
        <v>-1.6138983482960614E-13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236.22643401787644</v>
      </c>
      <c r="CE103" s="62">
        <f t="shared" si="94"/>
        <v>188.80444043778022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5.6546153846153828</v>
      </c>
      <c r="CT103" s="13">
        <f>IF('Données projet'!$A$140&gt;35,CT102+CS103-DB102,IF(A103&lt;'Données projet'!$A$140,$CQ$205^A103,IF(A103='Données projet'!$A$140,'Données projet'!$B$140,CT102+CS103-DB102)))</f>
        <v>205.20076923076945</v>
      </c>
      <c r="CU103" s="18">
        <f>CT103*VLOOKUP('Données projet'!$B$13,Paramètres!$A$1:$I$89,3,0)*VLOOKUP('Données projet'!$B$13,Paramètres!$A$1:$I$89,5,0)</f>
        <v>96.033960000000093</v>
      </c>
      <c r="CV103" s="14">
        <f t="shared" si="95"/>
        <v>26.014929381475927</v>
      </c>
      <c r="CW103" s="22">
        <f t="shared" si="67"/>
        <v>212.56848233940408</v>
      </c>
      <c r="CX103" s="62">
        <f t="shared" si="68"/>
        <v>505.90181567273737</v>
      </c>
      <c r="CY103" s="62">
        <f ca="1">AVERAGE(OFFSET($CX$3,0,0,'Données projet'!$E$13+1,1))-AVERAGE(OFFSET($H$3,0,0,'Données projet'!$E$13+1,1))</f>
        <v>246.73711856758143</v>
      </c>
      <c r="CZ103" s="62">
        <f t="shared" si="96"/>
        <v>145.54897745089966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309.61538461538458</v>
      </c>
      <c r="DM103" s="13">
        <f>VLOOKUP(A103,'Données projet'!$A$165:$I$185,9,0)</f>
        <v>3.4615384615384586</v>
      </c>
      <c r="DN103" s="13">
        <f t="array" ref="DN103">INDEX(DM:DM,MIN(IF(ISNUMBER(DM103:DM299),ROW(DM103:DM299),"")))</f>
        <v>3.4615384615384586</v>
      </c>
      <c r="DO103" s="13">
        <f>IF('Données projet'!$A$166&gt;35,DO102+DN103-DW102,IF(A103&lt;'Données projet'!$A$166,$DL$205^A103,IF(A103='Données projet'!$A$166,'Données projet'!$B$166,DO102+DN103-DW102)))</f>
        <v>309.61538461538436</v>
      </c>
      <c r="DP103" s="18">
        <f>DO103*VLOOKUP('Données projet'!$B$14,Paramètres!$A$1:$I$89,3,0)*VLOOKUP('Données projet'!$B$14,Paramètres!$A$1:$I$89,5,0)</f>
        <v>323.60999999999979</v>
      </c>
      <c r="DQ103" s="14">
        <f t="shared" si="97"/>
        <v>76.103993258558603</v>
      </c>
      <c r="DR103" s="22">
        <f t="shared" si="70"/>
        <v>696.16853825865599</v>
      </c>
      <c r="DS103" s="62">
        <f t="shared" si="71"/>
        <v>989.50187159198936</v>
      </c>
      <c r="DT103" s="62">
        <f ca="1">AVERAGE(OFFSET($DS$3,0,0,'Données projet'!$E$14+1,1))-AVERAGE(OFFSET($H$3,0,0,'Données projet'!$E$14+1,1))</f>
        <v>493.70175665335978</v>
      </c>
      <c r="DU103" s="62">
        <f t="shared" si="98"/>
        <v>325.12357781685949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20.512820512820511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-1.7053025658242404E-13</v>
      </c>
      <c r="EK103" s="18">
        <f>EJ103*VLOOKUP('Données projet'!$B$15,Paramètres!$A$1:$I$89,3,0)*VLOOKUP('Données projet'!$B$15,Paramètres!$A$1:$I$89,5,0)</f>
        <v>-1.4897523215040567E-13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202.86354781280403</v>
      </c>
      <c r="EP103" s="62">
        <f t="shared" si="100"/>
        <v>217.25323885665131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226.28205128205127</v>
      </c>
      <c r="FC103" s="13">
        <f>VLOOKUP(A103,'Données projet'!$A$217:$I$237,9,0)</f>
        <v>3.2051282051281986</v>
      </c>
      <c r="FD103" s="13">
        <f t="array" ref="FD103">INDEX(FC:FC,MIN(IF(ISNUMBER(FC103:FC299),ROW(FC103:FC299),"")))</f>
        <v>3.2051282051281986</v>
      </c>
      <c r="FE103" s="13">
        <f>IF('Données projet'!$A$218&gt;35,FE102+FD103-FM102,IF(A103&lt;'Données projet'!$A$218,$FB$205^A103,IF(A103='Données projet'!$A$218,'Données projet'!$B$218,FE102+FD103-FM102)))</f>
        <v>226.28205128205127</v>
      </c>
      <c r="FF103" s="18">
        <f>FE103*VLOOKUP('Données projet'!$B$16,Paramètres!$A$1:$I$89,3,0)*VLOOKUP('Données projet'!$B$16,Paramètres!$A$1:$I$89,5,0)</f>
        <v>215.32999999999998</v>
      </c>
      <c r="FG103" s="14">
        <f t="shared" si="101"/>
        <v>53.098620315464494</v>
      </c>
      <c r="FH103" s="22">
        <f t="shared" si="76"/>
        <v>467.51318038276719</v>
      </c>
      <c r="FI103" s="62">
        <f t="shared" si="77"/>
        <v>760.8465137161005</v>
      </c>
      <c r="FJ103" s="62">
        <f ca="1">AVERAGE(OFFSET($FI$3,0,0,'Données projet'!$E$16+1,1))-AVERAGE(OFFSET($H$3,0,0,'Données projet'!$E$16+1,1))</f>
        <v>353.61481736740694</v>
      </c>
      <c r="FK103" s="62">
        <f t="shared" si="102"/>
        <v>244.7141066773861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170</v>
      </c>
      <c r="FX103" s="13">
        <f>VLOOKUP(A103,'Données projet'!$A$243:$I$263,9,0)</f>
        <v>3</v>
      </c>
      <c r="FY103" s="13">
        <f t="array" ref="FY103">INDEX(FX:FX,MIN(IF(ISNUMBER(FX103:FX299),ROW(FX103:FX299),"")))</f>
        <v>3</v>
      </c>
      <c r="FZ103" s="13">
        <f>IF('Données projet'!$A$244&gt;35,FZ102+FY103-GH102,IF(A103&lt;'Données projet'!$A$244,$FW$205^A103,IF(A103='Données projet'!$A$244,'Données projet'!$B$244,FZ102+FY103-GH102)))</f>
        <v>170</v>
      </c>
      <c r="GA103" s="18">
        <f>FZ103*VLOOKUP('Données projet'!$B$17,Paramètres!$A$1:$I$89,3,0)*VLOOKUP('Données projet'!$B$17,Paramètres!$A$1:$I$89,5,0)</f>
        <v>182.988</v>
      </c>
      <c r="GB103" s="14">
        <f t="shared" si="103"/>
        <v>45.986322796524831</v>
      </c>
      <c r="GC103" s="22">
        <f t="shared" si="79"/>
        <v>398.79694553728069</v>
      </c>
      <c r="GD103" s="62">
        <f t="shared" si="80"/>
        <v>692.13027887061401</v>
      </c>
      <c r="GE103" s="62">
        <f ca="1">AVERAGE(OFFSET($GD$3,0,0,'Données projet'!$E$17+1,1))-AVERAGE(OFFSET($H$3,0,0,'Données projet'!$E$17+1,1))</f>
        <v>280.20599015000306</v>
      </c>
      <c r="GF103" s="62">
        <f t="shared" si="104"/>
        <v>166.97658184507787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275.64102564102564</v>
      </c>
      <c r="GS103" s="13">
        <f>VLOOKUP(A103,'Données projet'!$A$269:$I$289,9,0)</f>
        <v>3.333333333333337</v>
      </c>
      <c r="GT103" s="13">
        <f t="array" ref="GT103">INDEX(GS:GS,MIN(IF(ISNUMBER(GS103:GS299),ROW(GS103:GS299),"")))</f>
        <v>3.333333333333337</v>
      </c>
      <c r="GU103" s="13">
        <f>IF('Données projet'!$A$270&gt;35,GU102+GT103-HC102,IF(A103&lt;'Données projet'!$A$270,$GR$205^A103,IF(A103='Données projet'!$A$270,'Données projet'!$B$270,GU102+GT103-HC102)))</f>
        <v>275.64102564102541</v>
      </c>
      <c r="GV103" s="18">
        <f>GU103*VLOOKUP('Données projet'!$B$18,Paramètres!$A$1:$I$89,3,0)*VLOOKUP('Données projet'!$B$18,Paramètres!$A$1:$I$89,5,0)</f>
        <v>184.89999999999984</v>
      </c>
      <c r="GW103" s="14">
        <f t="shared" si="105"/>
        <v>46.410635962027825</v>
      </c>
      <c r="GX103" s="22">
        <f t="shared" si="82"/>
        <v>402.86602430053154</v>
      </c>
      <c r="GY103" s="62">
        <f t="shared" si="83"/>
        <v>696.19935763386479</v>
      </c>
      <c r="GZ103" s="62">
        <f ca="1">AVERAGE(OFFSET($GY$3,0,0,'Données projet'!$E$18+1,1))-AVERAGE(OFFSET($H$3,0,0,'Données projet'!$E$18+1,1))</f>
        <v>291.18686311753402</v>
      </c>
      <c r="HA103" s="62">
        <f t="shared" si="106"/>
        <v>215.44422413249839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9">
        <f t="shared" si="56"/>
        <v>256.66666666666669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260.02504691866199</v>
      </c>
      <c r="T104" s="62">
        <f t="shared" si="88"/>
        <v>270.11268336406368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2.4530119053544253</v>
      </c>
      <c r="AA104" s="23">
        <f>EXP(-LN(2)/25)*AA103+(1-EXP(-LN(2)/25))/(LN(2)/25)*Calculateur!V104*Calculateur!X104*VLOOKUP('Données projet'!$B$9,Paramètres!$A$1:$I$89,3,0)*0.475*44/12</f>
        <v>2.2954716546619411</v>
      </c>
      <c r="AB104" s="23">
        <f>EXP(-LN(2)/2)*AB103+(1-EXP(-LN(2)/2))/(LN(2)/2)*V104*Y104*VLOOKUP('Données projet'!$B$9,Paramètres!$A$1:$I$89,3,0)*0.475*44/12</f>
        <v>1.3047332693009603E-10</v>
      </c>
      <c r="AC104" s="24">
        <f t="shared" si="57"/>
        <v>4.7484835601468394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2">
        <f t="shared" si="59"/>
        <v>874.66185471348285</v>
      </c>
      <c r="AN104" s="62">
        <f ca="1">AVERAGE(OFFSET($AM$3,0,0,'Données projet'!$E$10+1,1))-AVERAGE(OFFSET($H$3,0,0,'Données projet'!$E$10+1,1))</f>
        <v>475.47920969424894</v>
      </c>
      <c r="AO104" s="62">
        <f t="shared" si="90"/>
        <v>271.73544012419364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240.13391999999982</v>
      </c>
      <c r="BF104" s="14">
        <f t="shared" si="91"/>
        <v>58.468343087048559</v>
      </c>
      <c r="BG104" s="22">
        <f t="shared" si="61"/>
        <v>520.06560820994252</v>
      </c>
      <c r="BH104" s="62">
        <f t="shared" si="62"/>
        <v>813.3989415432759</v>
      </c>
      <c r="BI104" s="62">
        <f ca="1">AVERAGE(OFFSET($BH$3,0,0,'Données projet'!$E$11+1,1))-AVERAGE(OFFSET($H$3,0,0,'Données projet'!$E$11+1,1))</f>
        <v>428.8489304403459</v>
      </c>
      <c r="BJ104" s="62">
        <f t="shared" si="92"/>
        <v>247.01165577562966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-1.9895196601282805E-13</v>
      </c>
      <c r="BZ104" s="14">
        <f>BY104*VLOOKUP('Données projet'!$B$12,Paramètres!$A$1:$I$89,3,0)*VLOOKUP('Données projet'!$B$12,Paramètres!$A$1:$I$89,5,0)</f>
        <v>-1.6138983482960614E-13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236.22643401787644</v>
      </c>
      <c r="CE104" s="62">
        <f t="shared" si="94"/>
        <v>188.80444043778022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5.6546153846153828</v>
      </c>
      <c r="CT104" s="13">
        <f>IF('Données projet'!$A$140&gt;35,CT103+CS104-DB103,IF(A104&lt;'Données projet'!$A$140,$CQ$205^A104,IF(A104='Données projet'!$A$140,'Données projet'!$B$140,CT103+CS104-DB103)))</f>
        <v>210.85538461538482</v>
      </c>
      <c r="CU104" s="18">
        <f>CT104*VLOOKUP('Données projet'!$B$13,Paramètres!$A$1:$I$89,3,0)*VLOOKUP('Données projet'!$B$13,Paramètres!$A$1:$I$89,5,0)</f>
        <v>98.680320000000094</v>
      </c>
      <c r="CV104" s="14">
        <f t="shared" si="95"/>
        <v>26.647359319385718</v>
      </c>
      <c r="CW104" s="22">
        <f t="shared" si="67"/>
        <v>218.27904148126359</v>
      </c>
      <c r="CX104" s="62">
        <f t="shared" si="68"/>
        <v>511.61237481459693</v>
      </c>
      <c r="CY104" s="62">
        <f ca="1">AVERAGE(OFFSET($CX$3,0,0,'Données projet'!$E$13+1,1))-AVERAGE(OFFSET($H$3,0,0,'Données projet'!$E$13+1,1))</f>
        <v>246.73711856758143</v>
      </c>
      <c r="CZ104" s="62">
        <f t="shared" si="96"/>
        <v>145.54897745089966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3.2051282051282044</v>
      </c>
      <c r="DO104" s="13">
        <f>IF('Données projet'!$A$166&gt;35,DO103+DN104-DW103,IF(A104&lt;'Données projet'!$A$166,$DL$205^A104,IF(A104='Données projet'!$A$166,'Données projet'!$B$166,DO103+DN104-DW103)))</f>
        <v>292.30769230769209</v>
      </c>
      <c r="DP104" s="18">
        <f>DO104*VLOOKUP('Données projet'!$B$14,Paramètres!$A$1:$I$89,3,0)*VLOOKUP('Données projet'!$B$14,Paramètres!$A$1:$I$89,5,0)</f>
        <v>305.51999999999981</v>
      </c>
      <c r="DQ104" s="14">
        <f t="shared" si="97"/>
        <v>72.332436678206648</v>
      </c>
      <c r="DR104" s="22">
        <f t="shared" si="70"/>
        <v>658.09299388120962</v>
      </c>
      <c r="DS104" s="62">
        <f t="shared" si="71"/>
        <v>951.42632721454288</v>
      </c>
      <c r="DT104" s="62">
        <f ca="1">AVERAGE(OFFSET($DS$3,0,0,'Données projet'!$E$14+1,1))-AVERAGE(OFFSET($H$3,0,0,'Données projet'!$E$14+1,1))</f>
        <v>493.70175665335978</v>
      </c>
      <c r="DU104" s="62">
        <f t="shared" si="98"/>
        <v>325.12357781685949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-1.7053025658242404E-13</v>
      </c>
      <c r="EK104" s="18">
        <f>EJ104*VLOOKUP('Données projet'!$B$15,Paramètres!$A$1:$I$89,3,0)*VLOOKUP('Données projet'!$B$15,Paramètres!$A$1:$I$89,5,0)</f>
        <v>-1.4897523215040567E-13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202.86354781280403</v>
      </c>
      <c r="EP104" s="62">
        <f t="shared" si="100"/>
        <v>217.25323885665131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3.0769230769230775</v>
      </c>
      <c r="FE104" s="13">
        <f>IF('Données projet'!$A$218&gt;35,FE103+FD104-FM103,IF(A104&lt;'Données projet'!$A$218,$FB$205^A104,IF(A104='Données projet'!$A$218,'Données projet'!$B$218,FE103+FD104-FM103)))</f>
        <v>229.35897435897434</v>
      </c>
      <c r="FF104" s="18">
        <f>FE104*VLOOKUP('Données projet'!$B$16,Paramètres!$A$1:$I$89,3,0)*VLOOKUP('Données projet'!$B$16,Paramètres!$A$1:$I$89,5,0)</f>
        <v>218.25799999999998</v>
      </c>
      <c r="FG104" s="14">
        <f t="shared" si="101"/>
        <v>53.736095630897005</v>
      </c>
      <c r="FH104" s="22">
        <f t="shared" si="76"/>
        <v>473.72304989047893</v>
      </c>
      <c r="FI104" s="62">
        <f t="shared" si="77"/>
        <v>767.05638322381219</v>
      </c>
      <c r="FJ104" s="62">
        <f ca="1">AVERAGE(OFFSET($FI$3,0,0,'Données projet'!$E$16+1,1))-AVERAGE(OFFSET($H$3,0,0,'Données projet'!$E$16+1,1))</f>
        <v>353.61481736740694</v>
      </c>
      <c r="FK104" s="62">
        <f t="shared" si="102"/>
        <v>244.7141066773861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2.8</v>
      </c>
      <c r="FZ104" s="13">
        <f>IF('Données projet'!$A$244&gt;35,FZ103+FY104-GH103,IF(A104&lt;'Données projet'!$A$244,$FW$205^A104,IF(A104='Données projet'!$A$244,'Données projet'!$B$244,FZ103+FY104-GH103)))</f>
        <v>172.8</v>
      </c>
      <c r="GA104" s="18">
        <f>FZ104*VLOOKUP('Données projet'!$B$17,Paramètres!$A$1:$I$89,3,0)*VLOOKUP('Données projet'!$B$17,Paramètres!$A$1:$I$89,5,0)</f>
        <v>186.00192000000001</v>
      </c>
      <c r="GB104" s="14">
        <f t="shared" si="103"/>
        <v>46.654943043246</v>
      </c>
      <c r="GC104" s="22">
        <f t="shared" si="79"/>
        <v>405.21070313365345</v>
      </c>
      <c r="GD104" s="62">
        <f t="shared" si="80"/>
        <v>698.54403646698677</v>
      </c>
      <c r="GE104" s="62">
        <f ca="1">AVERAGE(OFFSET($GD$3,0,0,'Données projet'!$E$17+1,1))-AVERAGE(OFFSET($H$3,0,0,'Données projet'!$E$17+1,1))</f>
        <v>280.20599015000306</v>
      </c>
      <c r="GF104" s="62">
        <f t="shared" si="104"/>
        <v>166.97658184507787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3.0769230769230718</v>
      </c>
      <c r="GU104" s="13">
        <f>IF('Données projet'!$A$270&gt;35,GU103+GT104-HC103,IF(A104&lt;'Données projet'!$A$270,$GR$205^A104,IF(A104='Données projet'!$A$270,'Données projet'!$B$270,GU103+GT104-HC103)))</f>
        <v>278.7179487179485</v>
      </c>
      <c r="GV104" s="18">
        <f>GU104*VLOOKUP('Données projet'!$B$18,Paramètres!$A$1:$I$89,3,0)*VLOOKUP('Données projet'!$B$18,Paramètres!$A$1:$I$89,5,0)</f>
        <v>186.96399999999986</v>
      </c>
      <c r="GW104" s="14">
        <f t="shared" si="105"/>
        <v>46.868108399160732</v>
      </c>
      <c r="GX104" s="22">
        <f t="shared" si="82"/>
        <v>407.25758879520464</v>
      </c>
      <c r="GY104" s="62">
        <f t="shared" si="83"/>
        <v>700.59092212853795</v>
      </c>
      <c r="GZ104" s="62">
        <f ca="1">AVERAGE(OFFSET($GY$3,0,0,'Données projet'!$E$18+1,1))-AVERAGE(OFFSET($H$3,0,0,'Données projet'!$E$18+1,1))</f>
        <v>291.18686311753402</v>
      </c>
      <c r="HA104" s="62">
        <f t="shared" si="106"/>
        <v>215.44422413249839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9">
        <f t="shared" si="56"/>
        <v>256.66666666666669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260.02504691866199</v>
      </c>
      <c r="T105" s="62">
        <f t="shared" si="88"/>
        <v>270.11268336406368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2.4049098380799507</v>
      </c>
      <c r="AA105" s="23">
        <f>EXP(-LN(2)/25)*AA104+(1-EXP(-LN(2)/25))/(LN(2)/25)*Calculateur!V105*Calculateur!X105*VLOOKUP('Données projet'!$B$9,Paramètres!$A$1:$I$89,3,0)*0.475*44/12</f>
        <v>2.2327018615516026</v>
      </c>
      <c r="AB105" s="23">
        <f>EXP(-LN(2)/2)*AB104+(1-EXP(-LN(2)/2))/(LN(2)/2)*V105*Y105*VLOOKUP('Données projet'!$B$9,Paramètres!$A$1:$I$89,3,0)*0.475*44/12</f>
        <v>9.2258574236240292E-11</v>
      </c>
      <c r="AC105" s="24">
        <f t="shared" si="57"/>
        <v>4.6376116997238119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2">
        <f t="shared" si="59"/>
        <v>884.08064423326846</v>
      </c>
      <c r="AN105" s="62">
        <f ca="1">AVERAGE(OFFSET($AM$3,0,0,'Données projet'!$E$10+1,1))-AVERAGE(OFFSET($H$3,0,0,'Données projet'!$E$10+1,1))</f>
        <v>475.47920969424894</v>
      </c>
      <c r="AO105" s="62">
        <f t="shared" si="90"/>
        <v>271.73544012419364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244.11503999999979</v>
      </c>
      <c r="BF105" s="14">
        <f t="shared" si="91"/>
        <v>59.324023461759012</v>
      </c>
      <c r="BG105" s="22">
        <f t="shared" si="61"/>
        <v>528.48970219589648</v>
      </c>
      <c r="BH105" s="62">
        <f t="shared" si="62"/>
        <v>821.82303552922986</v>
      </c>
      <c r="BI105" s="62">
        <f ca="1">AVERAGE(OFFSET($BH$3,0,0,'Données projet'!$E$11+1,1))-AVERAGE(OFFSET($H$3,0,0,'Données projet'!$E$11+1,1))</f>
        <v>428.8489304403459</v>
      </c>
      <c r="BJ105" s="62">
        <f t="shared" si="92"/>
        <v>247.01165577562966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-1.9895196601282805E-13</v>
      </c>
      <c r="BZ105" s="14">
        <f>BY105*VLOOKUP('Données projet'!$B$12,Paramètres!$A$1:$I$89,3,0)*VLOOKUP('Données projet'!$B$12,Paramètres!$A$1:$I$89,5,0)</f>
        <v>-1.6138983482960614E-13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236.22643401787644</v>
      </c>
      <c r="CE105" s="62">
        <f t="shared" si="94"/>
        <v>188.80444043778022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5.6546153846153828</v>
      </c>
      <c r="CT105" s="13">
        <f>IF('Données projet'!$A$140&gt;35,CT104+CS105-DB104,IF(A105&lt;'Données projet'!$A$140,$CQ$205^A105,IF(A105='Données projet'!$A$140,'Données projet'!$B$140,CT104+CS105-DB104)))</f>
        <v>216.51000000000022</v>
      </c>
      <c r="CU105" s="18">
        <f>CT105*VLOOKUP('Données projet'!$B$13,Paramètres!$A$1:$I$89,3,0)*VLOOKUP('Données projet'!$B$13,Paramètres!$A$1:$I$89,5,0)</f>
        <v>101.3266800000001</v>
      </c>
      <c r="CV105" s="14">
        <f t="shared" si="95"/>
        <v>27.277817919146408</v>
      </c>
      <c r="CW105" s="22">
        <f t="shared" si="67"/>
        <v>223.98616720918014</v>
      </c>
      <c r="CX105" s="62">
        <f t="shared" si="68"/>
        <v>517.31950054251342</v>
      </c>
      <c r="CY105" s="62">
        <f ca="1">AVERAGE(OFFSET($CX$3,0,0,'Données projet'!$E$13+1,1))-AVERAGE(OFFSET($H$3,0,0,'Données projet'!$E$13+1,1))</f>
        <v>246.73711856758143</v>
      </c>
      <c r="CZ105" s="62">
        <f t="shared" si="96"/>
        <v>145.54897745089966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3.2051282051282044</v>
      </c>
      <c r="DO105" s="13">
        <f>IF('Données projet'!$A$166&gt;35,DO104+DN105-DW104,IF(A105&lt;'Données projet'!$A$166,$DL$205^A105,IF(A105='Données projet'!$A$166,'Données projet'!$B$166,DO104+DN105-DW104)))</f>
        <v>295.51282051282033</v>
      </c>
      <c r="DP105" s="18">
        <f>DO105*VLOOKUP('Données projet'!$B$14,Paramètres!$A$1:$I$89,3,0)*VLOOKUP('Données projet'!$B$14,Paramètres!$A$1:$I$89,5,0)</f>
        <v>308.86999999999983</v>
      </c>
      <c r="DQ105" s="14">
        <f t="shared" si="97"/>
        <v>73.032791063818379</v>
      </c>
      <c r="DR105" s="22">
        <f t="shared" si="70"/>
        <v>665.14736110281672</v>
      </c>
      <c r="DS105" s="62">
        <f t="shared" si="71"/>
        <v>958.48069443615009</v>
      </c>
      <c r="DT105" s="62">
        <f ca="1">AVERAGE(OFFSET($DS$3,0,0,'Données projet'!$E$14+1,1))-AVERAGE(OFFSET($H$3,0,0,'Données projet'!$E$14+1,1))</f>
        <v>493.70175665335978</v>
      </c>
      <c r="DU105" s="62">
        <f t="shared" si="98"/>
        <v>325.12357781685949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-1.7053025658242404E-13</v>
      </c>
      <c r="EK105" s="18">
        <f>EJ105*VLOOKUP('Données projet'!$B$15,Paramètres!$A$1:$I$89,3,0)*VLOOKUP('Données projet'!$B$15,Paramètres!$A$1:$I$89,5,0)</f>
        <v>-1.4897523215040567E-13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202.86354781280403</v>
      </c>
      <c r="EP105" s="62">
        <f t="shared" si="100"/>
        <v>217.25323885665131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3.0769230769230775</v>
      </c>
      <c r="FE105" s="13">
        <f>IF('Données projet'!$A$218&gt;35,FE104+FD105-FM104,IF(A105&lt;'Données projet'!$A$218,$FB$205^A105,IF(A105='Données projet'!$A$218,'Données projet'!$B$218,FE104+FD105-FM104)))</f>
        <v>232.4358974358974</v>
      </c>
      <c r="FF105" s="18">
        <f>FE105*VLOOKUP('Données projet'!$B$16,Paramètres!$A$1:$I$89,3,0)*VLOOKUP('Données projet'!$B$16,Paramètres!$A$1:$I$89,5,0)</f>
        <v>221.18599999999998</v>
      </c>
      <c r="FG105" s="14">
        <f t="shared" si="101"/>
        <v>54.372576246626387</v>
      </c>
      <c r="FH105" s="22">
        <f t="shared" si="76"/>
        <v>479.93118696287434</v>
      </c>
      <c r="FI105" s="62">
        <f t="shared" si="77"/>
        <v>773.26452029620759</v>
      </c>
      <c r="FJ105" s="62">
        <f ca="1">AVERAGE(OFFSET($FI$3,0,0,'Données projet'!$E$16+1,1))-AVERAGE(OFFSET($H$3,0,0,'Données projet'!$E$16+1,1))</f>
        <v>353.61481736740694</v>
      </c>
      <c r="FK105" s="62">
        <f t="shared" si="102"/>
        <v>244.7141066773861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2.8</v>
      </c>
      <c r="FZ105" s="13">
        <f>IF('Données projet'!$A$244&gt;35,FZ104+FY105-GH104,IF(A105&lt;'Données projet'!$A$244,$FW$205^A105,IF(A105='Données projet'!$A$244,'Données projet'!$B$244,FZ104+FY105-GH104)))</f>
        <v>175.60000000000002</v>
      </c>
      <c r="GA105" s="18">
        <f>FZ105*VLOOKUP('Données projet'!$B$17,Paramètres!$A$1:$I$89,3,0)*VLOOKUP('Données projet'!$B$17,Paramètres!$A$1:$I$89,5,0)</f>
        <v>189.01584</v>
      </c>
      <c r="GB105" s="14">
        <f t="shared" si="103"/>
        <v>47.322303328129664</v>
      </c>
      <c r="GC105" s="22">
        <f t="shared" si="79"/>
        <v>411.62226629649246</v>
      </c>
      <c r="GD105" s="62">
        <f t="shared" si="80"/>
        <v>704.95559962982577</v>
      </c>
      <c r="GE105" s="62">
        <f ca="1">AVERAGE(OFFSET($GD$3,0,0,'Données projet'!$E$17+1,1))-AVERAGE(OFFSET($H$3,0,0,'Données projet'!$E$17+1,1))</f>
        <v>280.20599015000306</v>
      </c>
      <c r="GF105" s="62">
        <f t="shared" si="104"/>
        <v>166.97658184507787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3.0769230769230718</v>
      </c>
      <c r="GU105" s="13">
        <f>IF('Données projet'!$A$270&gt;35,GU104+GT105-HC104,IF(A105&lt;'Données projet'!$A$270,$GR$205^A105,IF(A105='Données projet'!$A$270,'Données projet'!$B$270,GU104+GT105-HC104)))</f>
        <v>281.7948717948716</v>
      </c>
      <c r="GV105" s="18">
        <f>GU105*VLOOKUP('Données projet'!$B$18,Paramètres!$A$1:$I$89,3,0)*VLOOKUP('Données projet'!$B$18,Paramètres!$A$1:$I$89,5,0)</f>
        <v>189.02799999999988</v>
      </c>
      <c r="GW105" s="14">
        <f t="shared" si="105"/>
        <v>47.324993347023778</v>
      </c>
      <c r="GX105" s="22">
        <f t="shared" si="82"/>
        <v>411.64813007939955</v>
      </c>
      <c r="GY105" s="62">
        <f t="shared" si="83"/>
        <v>704.98146341273286</v>
      </c>
      <c r="GZ105" s="62">
        <f ca="1">AVERAGE(OFFSET($GY$3,0,0,'Données projet'!$E$18+1,1))-AVERAGE(OFFSET($H$3,0,0,'Données projet'!$E$18+1,1))</f>
        <v>291.18686311753402</v>
      </c>
      <c r="HA105" s="62">
        <f t="shared" si="106"/>
        <v>215.44422413249839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9">
        <f t="shared" si="56"/>
        <v>256.66666666666669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260.02504691866199</v>
      </c>
      <c r="T106" s="62">
        <f t="shared" si="88"/>
        <v>270.11268336406368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2.3577510230053647</v>
      </c>
      <c r="AA106" s="23">
        <f>EXP(-LN(2)/25)*AA105+(1-EXP(-LN(2)/25))/(LN(2)/25)*Calculateur!V106*Calculateur!X106*VLOOKUP('Données projet'!$B$9,Paramètres!$A$1:$I$89,3,0)*0.475*44/12</f>
        <v>2.1716485117347859</v>
      </c>
      <c r="AB106" s="23">
        <f>EXP(-LN(2)/2)*AB105+(1-EXP(-LN(2)/2))/(LN(2)/2)*V106*Y106*VLOOKUP('Données projet'!$B$9,Paramètres!$A$1:$I$89,3,0)*0.475*44/12</f>
        <v>6.5236663465048015E-11</v>
      </c>
      <c r="AC106" s="24">
        <f t="shared" si="57"/>
        <v>4.5293995348053873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2">
        <f t="shared" si="59"/>
        <v>893.49630786227453</v>
      </c>
      <c r="AN106" s="62">
        <f ca="1">AVERAGE(OFFSET($AM$3,0,0,'Données projet'!$E$10+1,1))-AVERAGE(OFFSET($H$3,0,0,'Données projet'!$E$10+1,1))</f>
        <v>475.47920969424894</v>
      </c>
      <c r="AO106" s="62">
        <f t="shared" si="90"/>
        <v>271.73544012419364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248.0961599999998</v>
      </c>
      <c r="BF106" s="14">
        <f t="shared" si="91"/>
        <v>60.178080967364686</v>
      </c>
      <c r="BG106" s="22">
        <f t="shared" si="61"/>
        <v>536.91096968482657</v>
      </c>
      <c r="BH106" s="62">
        <f t="shared" si="62"/>
        <v>830.24430301815983</v>
      </c>
      <c r="BI106" s="62">
        <f ca="1">AVERAGE(OFFSET($BH$3,0,0,'Données projet'!$E$11+1,1))-AVERAGE(OFFSET($H$3,0,0,'Données projet'!$E$11+1,1))</f>
        <v>428.8489304403459</v>
      </c>
      <c r="BJ106" s="62">
        <f t="shared" si="92"/>
        <v>247.01165577562966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-1.9895196601282805E-13</v>
      </c>
      <c r="BZ106" s="14">
        <f>BY106*VLOOKUP('Données projet'!$B$12,Paramètres!$A$1:$I$89,3,0)*VLOOKUP('Données projet'!$B$12,Paramètres!$A$1:$I$89,5,0)</f>
        <v>-1.6138983482960614E-13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236.22643401787644</v>
      </c>
      <c r="CE106" s="62">
        <f t="shared" si="94"/>
        <v>188.80444043778022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5.6546153846153828</v>
      </c>
      <c r="CT106" s="13">
        <f>IF('Données projet'!$A$140&gt;35,CT105+CS106-DB105,IF(A106&lt;'Données projet'!$A$140,$CQ$205^A106,IF(A106='Données projet'!$A$140,'Données projet'!$B$140,CT105+CS106-DB105)))</f>
        <v>222.16461538461562</v>
      </c>
      <c r="CU106" s="18">
        <f>CT106*VLOOKUP('Données projet'!$B$13,Paramètres!$A$1:$I$89,3,0)*VLOOKUP('Données projet'!$B$13,Paramètres!$A$1:$I$89,5,0)</f>
        <v>103.9730400000001</v>
      </c>
      <c r="CV106" s="14">
        <f t="shared" si="95"/>
        <v>27.906362585271854</v>
      </c>
      <c r="CW106" s="22">
        <f t="shared" si="67"/>
        <v>229.68995950268194</v>
      </c>
      <c r="CX106" s="62">
        <f t="shared" si="68"/>
        <v>523.02329283601523</v>
      </c>
      <c r="CY106" s="62">
        <f ca="1">AVERAGE(OFFSET($CX$3,0,0,'Données projet'!$E$13+1,1))-AVERAGE(OFFSET($H$3,0,0,'Données projet'!$E$13+1,1))</f>
        <v>246.73711856758143</v>
      </c>
      <c r="CZ106" s="62">
        <f t="shared" si="96"/>
        <v>145.54897745089966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3.2051282051282044</v>
      </c>
      <c r="DO106" s="13">
        <f>IF('Données projet'!$A$166&gt;35,DO105+DN106-DW105,IF(A106&lt;'Données projet'!$A$166,$DL$205^A106,IF(A106='Données projet'!$A$166,'Données projet'!$B$166,DO105+DN106-DW105)))</f>
        <v>298.7179487179485</v>
      </c>
      <c r="DP106" s="18">
        <f>DO106*VLOOKUP('Données projet'!$B$14,Paramètres!$A$1:$I$89,3,0)*VLOOKUP('Données projet'!$B$14,Paramètres!$A$1:$I$89,5,0)</f>
        <v>312.2199999999998</v>
      </c>
      <c r="DQ106" s="14">
        <f t="shared" si="97"/>
        <v>73.732261810577455</v>
      </c>
      <c r="DR106" s="22">
        <f t="shared" si="70"/>
        <v>672.20018932008873</v>
      </c>
      <c r="DS106" s="62">
        <f t="shared" si="71"/>
        <v>965.5335226534221</v>
      </c>
      <c r="DT106" s="62">
        <f ca="1">AVERAGE(OFFSET($DS$3,0,0,'Données projet'!$E$14+1,1))-AVERAGE(OFFSET($H$3,0,0,'Données projet'!$E$14+1,1))</f>
        <v>493.70175665335978</v>
      </c>
      <c r="DU106" s="62">
        <f t="shared" si="98"/>
        <v>325.12357781685949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-1.7053025658242404E-13</v>
      </c>
      <c r="EK106" s="18">
        <f>EJ106*VLOOKUP('Données projet'!$B$15,Paramètres!$A$1:$I$89,3,0)*VLOOKUP('Données projet'!$B$15,Paramètres!$A$1:$I$89,5,0)</f>
        <v>-1.4897523215040567E-13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202.86354781280403</v>
      </c>
      <c r="EP106" s="62">
        <f t="shared" si="100"/>
        <v>217.25323885665131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3.0769230769230775</v>
      </c>
      <c r="FE106" s="13">
        <f>IF('Données projet'!$A$218&gt;35,FE105+FD106-FM105,IF(A106&lt;'Données projet'!$A$218,$FB$205^A106,IF(A106='Données projet'!$A$218,'Données projet'!$B$218,FE105+FD106-FM105)))</f>
        <v>235.51282051282047</v>
      </c>
      <c r="FF106" s="18">
        <f>FE106*VLOOKUP('Données projet'!$B$16,Paramètres!$A$1:$I$89,3,0)*VLOOKUP('Données projet'!$B$16,Paramètres!$A$1:$I$89,5,0)</f>
        <v>224.11399999999995</v>
      </c>
      <c r="FG106" s="14">
        <f t="shared" si="101"/>
        <v>55.008076852464058</v>
      </c>
      <c r="FH106" s="22">
        <f t="shared" si="76"/>
        <v>486.13761718470818</v>
      </c>
      <c r="FI106" s="62">
        <f t="shared" si="77"/>
        <v>779.47095051804149</v>
      </c>
      <c r="FJ106" s="62">
        <f ca="1">AVERAGE(OFFSET($FI$3,0,0,'Données projet'!$E$16+1,1))-AVERAGE(OFFSET($H$3,0,0,'Données projet'!$E$16+1,1))</f>
        <v>353.61481736740694</v>
      </c>
      <c r="FK106" s="62">
        <f t="shared" si="102"/>
        <v>244.7141066773861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2.8</v>
      </c>
      <c r="FZ106" s="13">
        <f>IF('Données projet'!$A$244&gt;35,FZ105+FY106-GH105,IF(A106&lt;'Données projet'!$A$244,$FW$205^A106,IF(A106='Données projet'!$A$244,'Données projet'!$B$244,FZ105+FY106-GH105)))</f>
        <v>178.40000000000003</v>
      </c>
      <c r="GA106" s="18">
        <f>FZ106*VLOOKUP('Données projet'!$B$17,Paramètres!$A$1:$I$89,3,0)*VLOOKUP('Données projet'!$B$17,Paramètres!$A$1:$I$89,5,0)</f>
        <v>192.02976000000004</v>
      </c>
      <c r="GB106" s="14">
        <f t="shared" si="103"/>
        <v>47.988426061329989</v>
      </c>
      <c r="GC106" s="22">
        <f t="shared" si="79"/>
        <v>418.03167405681643</v>
      </c>
      <c r="GD106" s="62">
        <f t="shared" si="80"/>
        <v>711.36500739014969</v>
      </c>
      <c r="GE106" s="62">
        <f ca="1">AVERAGE(OFFSET($GD$3,0,0,'Données projet'!$E$17+1,1))-AVERAGE(OFFSET($H$3,0,0,'Données projet'!$E$17+1,1))</f>
        <v>280.20599015000306</v>
      </c>
      <c r="GF106" s="62">
        <f t="shared" si="104"/>
        <v>166.97658184507787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3.0769230769230718</v>
      </c>
      <c r="GU106" s="13">
        <f>IF('Données projet'!$A$270&gt;35,GU105+GT106-HC105,IF(A106&lt;'Données projet'!$A$270,$GR$205^A106,IF(A106='Données projet'!$A$270,'Données projet'!$B$270,GU105+GT106-HC105)))</f>
        <v>284.87179487179469</v>
      </c>
      <c r="GV106" s="18">
        <f>GU106*VLOOKUP('Données projet'!$B$18,Paramètres!$A$1:$I$89,3,0)*VLOOKUP('Données projet'!$B$18,Paramètres!$A$1:$I$89,5,0)</f>
        <v>191.09199999999987</v>
      </c>
      <c r="GW106" s="14">
        <f t="shared" si="105"/>
        <v>47.781297962842437</v>
      </c>
      <c r="GX106" s="22">
        <f t="shared" si="82"/>
        <v>416.03766061861705</v>
      </c>
      <c r="GY106" s="62">
        <f t="shared" si="83"/>
        <v>709.37099395195037</v>
      </c>
      <c r="GZ106" s="62">
        <f ca="1">AVERAGE(OFFSET($GY$3,0,0,'Données projet'!$E$18+1,1))-AVERAGE(OFFSET($H$3,0,0,'Données projet'!$E$18+1,1))</f>
        <v>291.18686311753402</v>
      </c>
      <c r="HA106" s="62">
        <f t="shared" si="106"/>
        <v>215.44422413249839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9">
        <f t="shared" si="56"/>
        <v>256.66666666666669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260.02504691866199</v>
      </c>
      <c r="T107" s="62">
        <f t="shared" si="88"/>
        <v>270.11268336406368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2.3115169635303543</v>
      </c>
      <c r="AA107" s="23">
        <f>EXP(-LN(2)/25)*AA106+(1-EXP(-LN(2)/25))/(LN(2)/25)*Calculateur!V107*Calculateur!X107*VLOOKUP('Données projet'!$B$9,Paramètres!$A$1:$I$89,3,0)*0.475*44/12</f>
        <v>2.1122646689793663</v>
      </c>
      <c r="AB107" s="23">
        <f>EXP(-LN(2)/2)*AB106+(1-EXP(-LN(2)/2))/(LN(2)/2)*V107*Y107*VLOOKUP('Données projet'!$B$9,Paramètres!$A$1:$I$89,3,0)*0.475*44/12</f>
        <v>4.6129287118120146E-11</v>
      </c>
      <c r="AC107" s="24">
        <f t="shared" si="57"/>
        <v>4.4237816325558503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2">
        <f t="shared" si="59"/>
        <v>902.90890155189049</v>
      </c>
      <c r="AN107" s="62">
        <f ca="1">AVERAGE(OFFSET($AM$3,0,0,'Données projet'!$E$10+1,1))-AVERAGE(OFFSET($H$3,0,0,'Données projet'!$E$10+1,1))</f>
        <v>475.47920969424894</v>
      </c>
      <c r="AO107" s="62">
        <f t="shared" si="90"/>
        <v>271.73544012419364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252.07727999999975</v>
      </c>
      <c r="BF107" s="14">
        <f t="shared" si="91"/>
        <v>61.03054465215493</v>
      </c>
      <c r="BG107" s="22">
        <f t="shared" si="61"/>
        <v>545.32946126916943</v>
      </c>
      <c r="BH107" s="62">
        <f t="shared" si="62"/>
        <v>838.6627946025028</v>
      </c>
      <c r="BI107" s="62">
        <f ca="1">AVERAGE(OFFSET($BH$3,0,0,'Données projet'!$E$11+1,1))-AVERAGE(OFFSET($H$3,0,0,'Données projet'!$E$11+1,1))</f>
        <v>428.8489304403459</v>
      </c>
      <c r="BJ107" s="62">
        <f t="shared" si="92"/>
        <v>247.01165577562966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-1.9895196601282805E-13</v>
      </c>
      <c r="BZ107" s="14">
        <f>BY107*VLOOKUP('Données projet'!$B$12,Paramètres!$A$1:$I$89,3,0)*VLOOKUP('Données projet'!$B$12,Paramètres!$A$1:$I$89,5,0)</f>
        <v>-1.6138983482960614E-13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236.22643401787644</v>
      </c>
      <c r="CE107" s="62">
        <f t="shared" si="94"/>
        <v>188.80444043778022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5.6546153846153828</v>
      </c>
      <c r="CT107" s="13">
        <f>IF('Données projet'!$A$140&gt;35,CT106+CS107-DB106,IF(A107&lt;'Données projet'!$A$140,$CQ$205^A107,IF(A107='Données projet'!$A$140,'Données projet'!$B$140,CT106+CS107-DB106)))</f>
        <v>227.81923076923101</v>
      </c>
      <c r="CU107" s="18">
        <f>CT107*VLOOKUP('Données projet'!$B$13,Paramètres!$A$1:$I$89,3,0)*VLOOKUP('Données projet'!$B$13,Paramètres!$A$1:$I$89,5,0)</f>
        <v>106.61940000000013</v>
      </c>
      <c r="CV107" s="14">
        <f t="shared" si="95"/>
        <v>28.533047633614807</v>
      </c>
      <c r="CW107" s="22">
        <f t="shared" si="67"/>
        <v>235.39051296187935</v>
      </c>
      <c r="CX107" s="62">
        <f t="shared" si="68"/>
        <v>528.72384629521264</v>
      </c>
      <c r="CY107" s="62">
        <f ca="1">AVERAGE(OFFSET($CX$3,0,0,'Données projet'!$E$13+1,1))-AVERAGE(OFFSET($H$3,0,0,'Données projet'!$E$13+1,1))</f>
        <v>246.73711856758143</v>
      </c>
      <c r="CZ107" s="62">
        <f t="shared" si="96"/>
        <v>145.54897745089966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3.2051282051282044</v>
      </c>
      <c r="DO107" s="13">
        <f>IF('Données projet'!$A$166&gt;35,DO106+DN107-DW106,IF(A107&lt;'Données projet'!$A$166,$DL$205^A107,IF(A107='Données projet'!$A$166,'Données projet'!$B$166,DO106+DN107-DW106)))</f>
        <v>301.92307692307668</v>
      </c>
      <c r="DP107" s="18">
        <f>DO107*VLOOKUP('Données projet'!$B$14,Paramètres!$A$1:$I$89,3,0)*VLOOKUP('Données projet'!$B$14,Paramètres!$A$1:$I$89,5,0)</f>
        <v>315.56999999999977</v>
      </c>
      <c r="DQ107" s="14">
        <f t="shared" si="97"/>
        <v>74.430859496988774</v>
      </c>
      <c r="DR107" s="22">
        <f t="shared" si="70"/>
        <v>679.25149695725497</v>
      </c>
      <c r="DS107" s="62">
        <f t="shared" si="71"/>
        <v>972.58483029058834</v>
      </c>
      <c r="DT107" s="62">
        <f ca="1">AVERAGE(OFFSET($DS$3,0,0,'Données projet'!$E$14+1,1))-AVERAGE(OFFSET($H$3,0,0,'Données projet'!$E$14+1,1))</f>
        <v>493.70175665335978</v>
      </c>
      <c r="DU107" s="62">
        <f t="shared" si="98"/>
        <v>325.12357781685949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-1.7053025658242404E-13</v>
      </c>
      <c r="EK107" s="18">
        <f>EJ107*VLOOKUP('Données projet'!$B$15,Paramètres!$A$1:$I$89,3,0)*VLOOKUP('Données projet'!$B$15,Paramètres!$A$1:$I$89,5,0)</f>
        <v>-1.4897523215040567E-13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202.86354781280403</v>
      </c>
      <c r="EP107" s="62">
        <f t="shared" si="100"/>
        <v>217.25323885665131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3.0769230769230775</v>
      </c>
      <c r="FE107" s="13">
        <f>IF('Données projet'!$A$218&gt;35,FE106+FD107-FM106,IF(A107&lt;'Données projet'!$A$218,$FB$205^A107,IF(A107='Données projet'!$A$218,'Données projet'!$B$218,FE106+FD107-FM106)))</f>
        <v>238.58974358974353</v>
      </c>
      <c r="FF107" s="18">
        <f>FE107*VLOOKUP('Données projet'!$B$16,Paramètres!$A$1:$I$89,3,0)*VLOOKUP('Données projet'!$B$16,Paramètres!$A$1:$I$89,5,0)</f>
        <v>227.04199999999994</v>
      </c>
      <c r="FG107" s="14">
        <f t="shared" si="101"/>
        <v>55.642611732318088</v>
      </c>
      <c r="FH107" s="22">
        <f t="shared" si="76"/>
        <v>492.34236543378728</v>
      </c>
      <c r="FI107" s="62">
        <f t="shared" si="77"/>
        <v>785.67569876712059</v>
      </c>
      <c r="FJ107" s="62">
        <f ca="1">AVERAGE(OFFSET($FI$3,0,0,'Données projet'!$E$16+1,1))-AVERAGE(OFFSET($H$3,0,0,'Données projet'!$E$16+1,1))</f>
        <v>353.61481736740694</v>
      </c>
      <c r="FK107" s="62">
        <f t="shared" si="102"/>
        <v>244.7141066773861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2.8</v>
      </c>
      <c r="FZ107" s="13">
        <f>IF('Données projet'!$A$244&gt;35,FZ106+FY107-GH106,IF(A107&lt;'Données projet'!$A$244,$FW$205^A107,IF(A107='Données projet'!$A$244,'Données projet'!$B$244,FZ106+FY107-GH106)))</f>
        <v>181.20000000000005</v>
      </c>
      <c r="GA107" s="18">
        <f>FZ107*VLOOKUP('Données projet'!$B$17,Paramètres!$A$1:$I$89,3,0)*VLOOKUP('Données projet'!$B$17,Paramètres!$A$1:$I$89,5,0)</f>
        <v>195.04368000000005</v>
      </c>
      <c r="GB107" s="14">
        <f t="shared" si="103"/>
        <v>48.653332909190283</v>
      </c>
      <c r="GC107" s="22">
        <f t="shared" si="79"/>
        <v>424.43896415017315</v>
      </c>
      <c r="GD107" s="62">
        <f t="shared" si="80"/>
        <v>717.77229748350646</v>
      </c>
      <c r="GE107" s="62">
        <f ca="1">AVERAGE(OFFSET($GD$3,0,0,'Données projet'!$E$17+1,1))-AVERAGE(OFFSET($H$3,0,0,'Données projet'!$E$17+1,1))</f>
        <v>280.20599015000306</v>
      </c>
      <c r="GF107" s="62">
        <f t="shared" si="104"/>
        <v>166.97658184507787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3.0769230769230718</v>
      </c>
      <c r="GU107" s="13">
        <f>IF('Données projet'!$A$270&gt;35,GU106+GT107-HC106,IF(A107&lt;'Données projet'!$A$270,$GR$205^A107,IF(A107='Données projet'!$A$270,'Données projet'!$B$270,GU106+GT107-HC106)))</f>
        <v>287.94871794871779</v>
      </c>
      <c r="GV107" s="18">
        <f>GU107*VLOOKUP('Données projet'!$B$18,Paramètres!$A$1:$I$89,3,0)*VLOOKUP('Données projet'!$B$18,Paramètres!$A$1:$I$89,5,0)</f>
        <v>193.15599999999989</v>
      </c>
      <c r="GW107" s="14">
        <f t="shared" si="105"/>
        <v>48.237029240325811</v>
      </c>
      <c r="GX107" s="22">
        <f t="shared" si="82"/>
        <v>420.42619259356724</v>
      </c>
      <c r="GY107" s="62">
        <f t="shared" si="83"/>
        <v>713.75952592690055</v>
      </c>
      <c r="GZ107" s="62">
        <f ca="1">AVERAGE(OFFSET($GY$3,0,0,'Données projet'!$E$18+1,1))-AVERAGE(OFFSET($H$3,0,0,'Données projet'!$E$18+1,1))</f>
        <v>291.18686311753402</v>
      </c>
      <c r="HA107" s="62">
        <f t="shared" si="106"/>
        <v>215.44422413249839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9">
        <f t="shared" si="56"/>
        <v>256.66666666666669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260.02504691866199</v>
      </c>
      <c r="T108" s="62">
        <f t="shared" si="88"/>
        <v>270.11268336406368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2.2661895257616571</v>
      </c>
      <c r="AA108" s="23">
        <f>EXP(-LN(2)/25)*AA107+(1-EXP(-LN(2)/25))/(LN(2)/25)*Calculateur!V108*Calculateur!X108*VLOOKUP('Données projet'!$B$9,Paramètres!$A$1:$I$89,3,0)*0.475*44/12</f>
        <v>2.054504680526954</v>
      </c>
      <c r="AB108" s="23">
        <f>EXP(-LN(2)/2)*AB107+(1-EXP(-LN(2)/2))/(LN(2)/2)*V108*Y108*VLOOKUP('Données projet'!$B$9,Paramètres!$A$1:$I$89,3,0)*0.475*44/12</f>
        <v>3.2618331732524008E-11</v>
      </c>
      <c r="AC108" s="24">
        <f t="shared" si="57"/>
        <v>4.320694206321229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2">
        <f t="shared" si="59"/>
        <v>912.31847938482474</v>
      </c>
      <c r="AN108" s="62">
        <f ca="1">AVERAGE(OFFSET($AM$3,0,0,'Données projet'!$E$10+1,1))-AVERAGE(OFFSET($H$3,0,0,'Données projet'!$E$10+1,1))</f>
        <v>475.47920969424894</v>
      </c>
      <c r="AO108" s="62">
        <f t="shared" si="90"/>
        <v>271.73544012419364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256.05839999999972</v>
      </c>
      <c r="BF108" s="14">
        <f t="shared" si="91"/>
        <v>61.881442594256434</v>
      </c>
      <c r="BG108" s="22">
        <f t="shared" si="61"/>
        <v>553.74522585166278</v>
      </c>
      <c r="BH108" s="62">
        <f t="shared" si="62"/>
        <v>847.07855918499604</v>
      </c>
      <c r="BI108" s="62">
        <f ca="1">AVERAGE(OFFSET($BH$3,0,0,'Données projet'!$E$11+1,1))-AVERAGE(OFFSET($H$3,0,0,'Données projet'!$E$11+1,1))</f>
        <v>428.8489304403459</v>
      </c>
      <c r="BJ108" s="62">
        <f t="shared" si="92"/>
        <v>247.01165577562966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-1.9895196601282805E-13</v>
      </c>
      <c r="BZ108" s="14">
        <f>BY108*VLOOKUP('Données projet'!$B$12,Paramètres!$A$1:$I$89,3,0)*VLOOKUP('Données projet'!$B$12,Paramètres!$A$1:$I$89,5,0)</f>
        <v>-1.6138983482960614E-13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236.22643401787644</v>
      </c>
      <c r="CE108" s="62">
        <f t="shared" si="94"/>
        <v>188.80444043778022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5.6546153846153828</v>
      </c>
      <c r="CT108" s="13">
        <f>IF('Données projet'!$A$140&gt;35,CT107+CS108-DB107,IF(A108&lt;'Données projet'!$A$140,$CQ$205^A108,IF(A108='Données projet'!$A$140,'Données projet'!$B$140,CT107+CS108-DB107)))</f>
        <v>233.47384615384641</v>
      </c>
      <c r="CU108" s="18">
        <f>CT108*VLOOKUP('Données projet'!$B$13,Paramètres!$A$1:$I$89,3,0)*VLOOKUP('Données projet'!$B$13,Paramètres!$A$1:$I$89,5,0)</f>
        <v>109.26576000000013</v>
      </c>
      <c r="CV108" s="14">
        <f t="shared" si="95"/>
        <v>29.157924530031956</v>
      </c>
      <c r="CW108" s="22">
        <f t="shared" si="67"/>
        <v>241.08791722313921</v>
      </c>
      <c r="CX108" s="62">
        <f t="shared" si="68"/>
        <v>534.4212505564725</v>
      </c>
      <c r="CY108" s="62">
        <f ca="1">AVERAGE(OFFSET($CX$3,0,0,'Données projet'!$E$13+1,1))-AVERAGE(OFFSET($H$3,0,0,'Données projet'!$E$13+1,1))</f>
        <v>246.73711856758143</v>
      </c>
      <c r="CZ108" s="62">
        <f t="shared" si="96"/>
        <v>145.54897745089966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3.2051282051282044</v>
      </c>
      <c r="DO108" s="13">
        <f>IF('Données projet'!$A$166&gt;35,DO107+DN108-DW107,IF(A108&lt;'Données projet'!$A$166,$DL$205^A108,IF(A108='Données projet'!$A$166,'Données projet'!$B$166,DO107+DN108-DW107)))</f>
        <v>305.12820512820485</v>
      </c>
      <c r="DP108" s="18">
        <f>DO108*VLOOKUP('Données projet'!$B$14,Paramètres!$A$1:$I$89,3,0)*VLOOKUP('Données projet'!$B$14,Paramètres!$A$1:$I$89,5,0)</f>
        <v>318.91999999999973</v>
      </c>
      <c r="DQ108" s="14">
        <f t="shared" si="97"/>
        <v>75.128594464022456</v>
      </c>
      <c r="DR108" s="22">
        <f t="shared" si="70"/>
        <v>686.30130202483861</v>
      </c>
      <c r="DS108" s="62">
        <f t="shared" si="71"/>
        <v>979.63463535817186</v>
      </c>
      <c r="DT108" s="62">
        <f ca="1">AVERAGE(OFFSET($DS$3,0,0,'Données projet'!$E$14+1,1))-AVERAGE(OFFSET($H$3,0,0,'Données projet'!$E$14+1,1))</f>
        <v>493.70175665335978</v>
      </c>
      <c r="DU108" s="62">
        <f t="shared" si="98"/>
        <v>325.12357781685949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-1.7053025658242404E-13</v>
      </c>
      <c r="EK108" s="18">
        <f>EJ108*VLOOKUP('Données projet'!$B$15,Paramètres!$A$1:$I$89,3,0)*VLOOKUP('Données projet'!$B$15,Paramètres!$A$1:$I$89,5,0)</f>
        <v>-1.4897523215040567E-13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202.86354781280403</v>
      </c>
      <c r="EP108" s="62">
        <f t="shared" si="100"/>
        <v>217.25323885665131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3.0769230769230775</v>
      </c>
      <c r="FE108" s="13">
        <f>IF('Données projet'!$A$218&gt;35,FE107+FD108-FM107,IF(A108&lt;'Données projet'!$A$218,$FB$205^A108,IF(A108='Données projet'!$A$218,'Données projet'!$B$218,FE107+FD108-FM107)))</f>
        <v>241.6666666666666</v>
      </c>
      <c r="FF108" s="18">
        <f>FE108*VLOOKUP('Données projet'!$B$16,Paramètres!$A$1:$I$89,3,0)*VLOOKUP('Données projet'!$B$16,Paramètres!$A$1:$I$89,5,0)</f>
        <v>229.96999999999994</v>
      </c>
      <c r="FG108" s="14">
        <f t="shared" si="101"/>
        <v>56.276194780495985</v>
      </c>
      <c r="FH108" s="22">
        <f t="shared" si="76"/>
        <v>498.54545590936368</v>
      </c>
      <c r="FI108" s="62">
        <f t="shared" si="77"/>
        <v>791.87878924269694</v>
      </c>
      <c r="FJ108" s="62">
        <f ca="1">AVERAGE(OFFSET($FI$3,0,0,'Données projet'!$E$16+1,1))-AVERAGE(OFFSET($H$3,0,0,'Données projet'!$E$16+1,1))</f>
        <v>353.61481736740694</v>
      </c>
      <c r="FK108" s="62">
        <f t="shared" si="102"/>
        <v>244.7141066773861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>
        <f>VLOOKUP(A108,'Données projet'!$A$243:$I$263,2,0)</f>
        <v>184</v>
      </c>
      <c r="FX108" s="13">
        <f>VLOOKUP(A108,'Données projet'!$A$243:$I$263,9,0)</f>
        <v>2.8</v>
      </c>
      <c r="FY108" s="13">
        <f t="array" ref="FY108">INDEX(FX:FX,MIN(IF(ISNUMBER(FX108:FX304),ROW(FX108:FX304),"")))</f>
        <v>2.8</v>
      </c>
      <c r="FZ108" s="13">
        <f>IF('Données projet'!$A$244&gt;35,FZ107+FY108-GH107,IF(A108&lt;'Données projet'!$A$244,$FW$205^A108,IF(A108='Données projet'!$A$244,'Données projet'!$B$244,FZ107+FY108-GH107)))</f>
        <v>184.00000000000006</v>
      </c>
      <c r="GA108" s="18">
        <f>FZ108*VLOOKUP('Données projet'!$B$17,Paramètres!$A$1:$I$89,3,0)*VLOOKUP('Données projet'!$B$17,Paramètres!$A$1:$I$89,5,0)</f>
        <v>198.05760000000006</v>
      </c>
      <c r="GB108" s="14">
        <f t="shared" si="103"/>
        <v>49.317044830035982</v>
      </c>
      <c r="GC108" s="22">
        <f t="shared" si="79"/>
        <v>430.8441730789794</v>
      </c>
      <c r="GD108" s="62">
        <f t="shared" si="80"/>
        <v>724.17750641231271</v>
      </c>
      <c r="GE108" s="62">
        <f ca="1">AVERAGE(OFFSET($GD$3,0,0,'Données projet'!$E$17+1,1))-AVERAGE(OFFSET($H$3,0,0,'Données projet'!$E$17+1,1))</f>
        <v>280.20599015000306</v>
      </c>
      <c r="GF108" s="62">
        <f t="shared" si="104"/>
        <v>166.97658184507787</v>
      </c>
      <c r="GG108" s="16">
        <f>IF(ISNA(VLOOKUP(A108,'Données projet'!$A$243:$I$263,3,0)),0,VLOOKUP(A108,'Données projet'!$A$243:$I$263,3,0))</f>
        <v>8</v>
      </c>
      <c r="GH108" s="16">
        <f>IF(ISNA(VLOOKUP(A108,'Données projet'!$A$243:$I$263,4,0)),0,VLOOKUP(A108,'Données projet'!$A$243:$I$263,4,0))</f>
        <v>18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>
        <f>VLOOKUP(A108,'Données projet'!$A$269:$I$289,2,0)</f>
        <v>291.02564102564099</v>
      </c>
      <c r="GS108" s="13">
        <f>VLOOKUP(A108,'Données projet'!$A$269:$I$289,9,0)</f>
        <v>3.0769230769230718</v>
      </c>
      <c r="GT108" s="13">
        <f t="array" ref="GT108">INDEX(GS:GS,MIN(IF(ISNUMBER(GS108:GS304),ROW(GS108:GS304),"")))</f>
        <v>3.0769230769230718</v>
      </c>
      <c r="GU108" s="13">
        <f>IF('Données projet'!$A$270&gt;35,GU107+GT108-HC107,IF(A108&lt;'Données projet'!$A$270,$GR$205^A108,IF(A108='Données projet'!$A$270,'Données projet'!$B$270,GU107+GT108-HC107)))</f>
        <v>291.02564102564088</v>
      </c>
      <c r="GV108" s="18">
        <f>GU108*VLOOKUP('Données projet'!$B$18,Paramètres!$A$1:$I$89,3,0)*VLOOKUP('Données projet'!$B$18,Paramètres!$A$1:$I$89,5,0)</f>
        <v>195.21999999999991</v>
      </c>
      <c r="GW108" s="14">
        <f t="shared" si="105"/>
        <v>48.692194015108576</v>
      </c>
      <c r="GX108" s="22">
        <f t="shared" si="82"/>
        <v>424.81373790964727</v>
      </c>
      <c r="GY108" s="62">
        <f t="shared" si="83"/>
        <v>718.14707124298059</v>
      </c>
      <c r="GZ108" s="62">
        <f ca="1">AVERAGE(OFFSET($GY$3,0,0,'Données projet'!$E$18+1,1))-AVERAGE(OFFSET($H$3,0,0,'Données projet'!$E$18+1,1))</f>
        <v>291.18686311753402</v>
      </c>
      <c r="HA108" s="62">
        <f t="shared" si="106"/>
        <v>215.44422413249839</v>
      </c>
      <c r="HB108" s="16">
        <f>IF(ISNA(VLOOKUP(A108,'Données projet'!$A$269:$I$289,3,0)),0,VLOOKUP(A108,'Données projet'!$A$269:$I$289,3,0))</f>
        <v>9</v>
      </c>
      <c r="HC108" s="16">
        <f>IF(ISNA(VLOOKUP(A108,'Données projet'!$A$269:$I$289,4,0)),0,VLOOKUP(A108,'Données projet'!$A$269:$I$289,4,0))</f>
        <v>20.512820512820511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9">
        <f t="shared" si="56"/>
        <v>256.66666666666669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260.02504691866199</v>
      </c>
      <c r="T109" s="62">
        <f t="shared" si="88"/>
        <v>270.11268336406368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2.2217509314005968</v>
      </c>
      <c r="AA109" s="23">
        <f>EXP(-LN(2)/25)*AA108+(1-EXP(-LN(2)/25))/(LN(2)/25)*Calculateur!V109*Calculateur!X109*VLOOKUP('Données projet'!$B$9,Paramètres!$A$1:$I$89,3,0)*0.475*44/12</f>
        <v>1.998324141996239</v>
      </c>
      <c r="AB109" s="23">
        <f>EXP(-LN(2)/2)*AB108+(1-EXP(-LN(2)/2))/(LN(2)/2)*V109*Y109*VLOOKUP('Données projet'!$B$9,Paramètres!$A$1:$I$89,3,0)*0.475*44/12</f>
        <v>2.3064643559060073E-11</v>
      </c>
      <c r="AC109" s="24">
        <f t="shared" si="57"/>
        <v>4.2200750734199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2">
        <f t="shared" si="59"/>
        <v>921.72509366558074</v>
      </c>
      <c r="AN109" s="62">
        <f ca="1">AVERAGE(OFFSET($AM$3,0,0,'Données projet'!$E$10+1,1))-AVERAGE(OFFSET($H$3,0,0,'Données projet'!$E$10+1,1))</f>
        <v>475.47920969424894</v>
      </c>
      <c r="AO109" s="62">
        <f t="shared" si="90"/>
        <v>271.73544012419364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260.0395199999997</v>
      </c>
      <c r="BF109" s="14">
        <f t="shared" si="91"/>
        <v>62.730801948604821</v>
      </c>
      <c r="BG109" s="22">
        <f t="shared" si="61"/>
        <v>562.15831072715287</v>
      </c>
      <c r="BH109" s="62">
        <f t="shared" si="62"/>
        <v>855.49164406048612</v>
      </c>
      <c r="BI109" s="62">
        <f ca="1">AVERAGE(OFFSET($BH$3,0,0,'Données projet'!$E$11+1,1))-AVERAGE(OFFSET($H$3,0,0,'Données projet'!$E$11+1,1))</f>
        <v>428.8489304403459</v>
      </c>
      <c r="BJ109" s="62">
        <f t="shared" si="92"/>
        <v>247.01165577562966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-1.9895196601282805E-13</v>
      </c>
      <c r="BZ109" s="14">
        <f>BY109*VLOOKUP('Données projet'!$B$12,Paramètres!$A$1:$I$89,3,0)*VLOOKUP('Données projet'!$B$12,Paramètres!$A$1:$I$89,5,0)</f>
        <v>-1.6138983482960614E-13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236.22643401787644</v>
      </c>
      <c r="CE109" s="62">
        <f t="shared" si="94"/>
        <v>188.80444043778022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5.6546153846153828</v>
      </c>
      <c r="CT109" s="13">
        <f>IF('Données projet'!$A$140&gt;35,CT108+CS109-DB108,IF(A109&lt;'Données projet'!$A$140,$CQ$205^A109,IF(A109='Données projet'!$A$140,'Données projet'!$B$140,CT108+CS109-DB108)))</f>
        <v>239.12846153846181</v>
      </c>
      <c r="CU109" s="18">
        <f>CT109*VLOOKUP('Données projet'!$B$13,Paramètres!$A$1:$I$89,3,0)*VLOOKUP('Données projet'!$B$13,Paramètres!$A$1:$I$89,5,0)</f>
        <v>111.91212000000013</v>
      </c>
      <c r="CV109" s="14">
        <f t="shared" si="95"/>
        <v>29.781042105276487</v>
      </c>
      <c r="CW109" s="22">
        <f t="shared" si="67"/>
        <v>246.7822573333568</v>
      </c>
      <c r="CX109" s="62">
        <f t="shared" si="68"/>
        <v>540.11559066669008</v>
      </c>
      <c r="CY109" s="62">
        <f ca="1">AVERAGE(OFFSET($CX$3,0,0,'Données projet'!$E$13+1,1))-AVERAGE(OFFSET($H$3,0,0,'Données projet'!$E$13+1,1))</f>
        <v>246.73711856758143</v>
      </c>
      <c r="CZ109" s="62">
        <f t="shared" si="96"/>
        <v>145.54897745089966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3.2051282051282044</v>
      </c>
      <c r="DO109" s="13">
        <f>IF('Données projet'!$A$166&gt;35,DO108+DN109-DW108,IF(A109&lt;'Données projet'!$A$166,$DL$205^A109,IF(A109='Données projet'!$A$166,'Données projet'!$B$166,DO108+DN109-DW108)))</f>
        <v>308.33333333333303</v>
      </c>
      <c r="DP109" s="18">
        <f>DO109*VLOOKUP('Données projet'!$B$14,Paramètres!$A$1:$I$89,3,0)*VLOOKUP('Données projet'!$B$14,Paramètres!$A$1:$I$89,5,0)</f>
        <v>322.2699999999997</v>
      </c>
      <c r="DQ109" s="14">
        <f t="shared" si="97"/>
        <v>75.825476822885705</v>
      </c>
      <c r="DR109" s="22">
        <f t="shared" si="70"/>
        <v>693.34962213319204</v>
      </c>
      <c r="DS109" s="62">
        <f t="shared" si="71"/>
        <v>986.6829554665253</v>
      </c>
      <c r="DT109" s="62">
        <f ca="1">AVERAGE(OFFSET($DS$3,0,0,'Données projet'!$E$14+1,1))-AVERAGE(OFFSET($H$3,0,0,'Données projet'!$E$14+1,1))</f>
        <v>493.70175665335978</v>
      </c>
      <c r="DU109" s="62">
        <f t="shared" si="98"/>
        <v>325.12357781685949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-1.7053025658242404E-13</v>
      </c>
      <c r="EK109" s="18">
        <f>EJ109*VLOOKUP('Données projet'!$B$15,Paramètres!$A$1:$I$89,3,0)*VLOOKUP('Données projet'!$B$15,Paramètres!$A$1:$I$89,5,0)</f>
        <v>-1.4897523215040567E-13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202.86354781280403</v>
      </c>
      <c r="EP109" s="62">
        <f t="shared" si="100"/>
        <v>217.25323885665131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3.0769230769230775</v>
      </c>
      <c r="FE109" s="13">
        <f>IF('Données projet'!$A$218&gt;35,FE108+FD109-FM108,IF(A109&lt;'Données projet'!$A$218,$FB$205^A109,IF(A109='Données projet'!$A$218,'Données projet'!$B$218,FE108+FD109-FM108)))</f>
        <v>244.74358974358967</v>
      </c>
      <c r="FF109" s="18">
        <f>FE109*VLOOKUP('Données projet'!$B$16,Paramètres!$A$1:$I$89,3,0)*VLOOKUP('Données projet'!$B$16,Paramètres!$A$1:$I$89,5,0)</f>
        <v>232.89799999999994</v>
      </c>
      <c r="FG109" s="14">
        <f t="shared" si="101"/>
        <v>56.908839517153446</v>
      </c>
      <c r="FH109" s="22">
        <f t="shared" si="76"/>
        <v>504.7469121590421</v>
      </c>
      <c r="FI109" s="62">
        <f t="shared" si="77"/>
        <v>798.08024549237541</v>
      </c>
      <c r="FJ109" s="62">
        <f ca="1">AVERAGE(OFFSET($FI$3,0,0,'Données projet'!$E$16+1,1))-AVERAGE(OFFSET($H$3,0,0,'Données projet'!$E$16+1,1))</f>
        <v>353.61481736740694</v>
      </c>
      <c r="FK109" s="62">
        <f t="shared" si="102"/>
        <v>244.7141066773861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3</v>
      </c>
      <c r="FZ109" s="13">
        <f>IF('Données projet'!$A$244&gt;35,FZ108+FY109-GH108,IF(A109&lt;'Données projet'!$A$244,$FW$205^A109,IF(A109='Données projet'!$A$244,'Données projet'!$B$244,FZ108+FY109-GH108)))</f>
        <v>169.00000000000006</v>
      </c>
      <c r="GA109" s="18">
        <f>FZ109*VLOOKUP('Données projet'!$B$17,Paramètres!$A$1:$I$89,3,0)*VLOOKUP('Données projet'!$B$17,Paramètres!$A$1:$I$89,5,0)</f>
        <v>181.91160000000005</v>
      </c>
      <c r="GB109" s="14">
        <f t="shared" si="103"/>
        <v>45.747220111978386</v>
      </c>
      <c r="GC109" s="22">
        <f t="shared" si="79"/>
        <v>396.50577836169577</v>
      </c>
      <c r="GD109" s="62">
        <f t="shared" si="80"/>
        <v>689.83911169502903</v>
      </c>
      <c r="GE109" s="62">
        <f ca="1">AVERAGE(OFFSET($GD$3,0,0,'Données projet'!$E$17+1,1))-AVERAGE(OFFSET($H$3,0,0,'Données projet'!$E$17+1,1))</f>
        <v>280.20599015000306</v>
      </c>
      <c r="GF109" s="62">
        <f t="shared" si="104"/>
        <v>166.97658184507787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3.0769230769230829</v>
      </c>
      <c r="GU109" s="13">
        <f>IF('Données projet'!$A$270&gt;35,GU108+GT109-HC108,IF(A109&lt;'Données projet'!$A$270,$GR$205^A109,IF(A109='Données projet'!$A$270,'Données projet'!$B$270,GU108+GT109-HC108)))</f>
        <v>273.58974358974348</v>
      </c>
      <c r="GV109" s="18">
        <f>GU109*VLOOKUP('Données projet'!$B$18,Paramètres!$A$1:$I$89,3,0)*VLOOKUP('Données projet'!$B$18,Paramètres!$A$1:$I$89,5,0)</f>
        <v>183.52399999999994</v>
      </c>
      <c r="GW109" s="14">
        <f t="shared" si="105"/>
        <v>46.10532434349372</v>
      </c>
      <c r="GX109" s="22">
        <f t="shared" si="82"/>
        <v>399.93773989825144</v>
      </c>
      <c r="GY109" s="62">
        <f t="shared" si="83"/>
        <v>693.27107323158475</v>
      </c>
      <c r="GZ109" s="62">
        <f ca="1">AVERAGE(OFFSET($GY$3,0,0,'Données projet'!$E$18+1,1))-AVERAGE(OFFSET($H$3,0,0,'Données projet'!$E$18+1,1))</f>
        <v>291.18686311753402</v>
      </c>
      <c r="HA109" s="62">
        <f t="shared" si="106"/>
        <v>215.44422413249839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9">
        <f t="shared" si="56"/>
        <v>256.66666666666669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260.02504691866199</v>
      </c>
      <c r="T110" s="62">
        <f t="shared" si="88"/>
        <v>270.11268336406368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2.1781837507700907</v>
      </c>
      <c r="AA110" s="23">
        <f>EXP(-LN(2)/25)*AA109+(1-EXP(-LN(2)/25))/(LN(2)/25)*Calculateur!V110*Calculateur!X110*VLOOKUP('Données projet'!$B$9,Paramètres!$A$1:$I$89,3,0)*0.475*44/12</f>
        <v>1.9436798632460524</v>
      </c>
      <c r="AB110" s="23">
        <f>EXP(-LN(2)/2)*AB109+(1-EXP(-LN(2)/2))/(LN(2)/2)*V110*Y110*VLOOKUP('Données projet'!$B$9,Paramètres!$A$1:$I$89,3,0)*0.475*44/12</f>
        <v>1.6309165866262004E-11</v>
      </c>
      <c r="AC110" s="24">
        <f t="shared" si="57"/>
        <v>4.1218636140324518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2">
        <f t="shared" si="59"/>
        <v>931.12879500523582</v>
      </c>
      <c r="AN110" s="62">
        <f ca="1">AVERAGE(OFFSET($AM$3,0,0,'Données projet'!$E$10+1,1))-AVERAGE(OFFSET($H$3,0,0,'Données projet'!$E$10+1,1))</f>
        <v>475.47920969424894</v>
      </c>
      <c r="AO110" s="62">
        <f t="shared" si="90"/>
        <v>271.73544012419364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264.02063999999967</v>
      </c>
      <c r="BF110" s="14">
        <f t="shared" si="91"/>
        <v>63.57864899095906</v>
      </c>
      <c r="BG110" s="22">
        <f t="shared" si="61"/>
        <v>570.56876165925303</v>
      </c>
      <c r="BH110" s="62">
        <f t="shared" si="62"/>
        <v>863.9020949925864</v>
      </c>
      <c r="BI110" s="62">
        <f ca="1">AVERAGE(OFFSET($BH$3,0,0,'Données projet'!$E$11+1,1))-AVERAGE(OFFSET($H$3,0,0,'Données projet'!$E$11+1,1))</f>
        <v>428.8489304403459</v>
      </c>
      <c r="BJ110" s="62">
        <f t="shared" si="92"/>
        <v>247.01165577562966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-1.9895196601282805E-13</v>
      </c>
      <c r="BZ110" s="14">
        <f>BY110*VLOOKUP('Données projet'!$B$12,Paramètres!$A$1:$I$89,3,0)*VLOOKUP('Données projet'!$B$12,Paramètres!$A$1:$I$89,5,0)</f>
        <v>-1.6138983482960614E-13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236.22643401787644</v>
      </c>
      <c r="CE110" s="62">
        <f t="shared" si="94"/>
        <v>188.80444043778022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5.6546153846153828</v>
      </c>
      <c r="CT110" s="13">
        <f>IF('Données projet'!$A$140&gt;35,CT109+CS110-DB109,IF(A110&lt;'Données projet'!$A$140,$CQ$205^A110,IF(A110='Données projet'!$A$140,'Données projet'!$B$140,CT109+CS110-DB109)))</f>
        <v>244.7830769230772</v>
      </c>
      <c r="CU110" s="18">
        <f>CT110*VLOOKUP('Données projet'!$B$13,Paramètres!$A$1:$I$89,3,0)*VLOOKUP('Données projet'!$B$13,Paramètres!$A$1:$I$89,5,0)</f>
        <v>114.55848000000013</v>
      </c>
      <c r="CV110" s="14">
        <f t="shared" si="95"/>
        <v>30.402446748991927</v>
      </c>
      <c r="CW110" s="22">
        <f t="shared" si="67"/>
        <v>252.47361408782783</v>
      </c>
      <c r="CX110" s="62">
        <f t="shared" si="68"/>
        <v>545.80694742116111</v>
      </c>
      <c r="CY110" s="62">
        <f ca="1">AVERAGE(OFFSET($CX$3,0,0,'Données projet'!$E$13+1,1))-AVERAGE(OFFSET($H$3,0,0,'Données projet'!$E$13+1,1))</f>
        <v>246.73711856758143</v>
      </c>
      <c r="CZ110" s="62">
        <f t="shared" si="96"/>
        <v>145.54897745089966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3.2051282051282044</v>
      </c>
      <c r="DO110" s="13">
        <f>IF('Données projet'!$A$166&gt;35,DO109+DN110-DW109,IF(A110&lt;'Données projet'!$A$166,$DL$205^A110,IF(A110='Données projet'!$A$166,'Données projet'!$B$166,DO109+DN110-DW109)))</f>
        <v>311.53846153846121</v>
      </c>
      <c r="DP110" s="18">
        <f>DO110*VLOOKUP('Données projet'!$B$14,Paramètres!$A$1:$I$89,3,0)*VLOOKUP('Données projet'!$B$14,Paramètres!$A$1:$I$89,5,0)</f>
        <v>325.61999999999972</v>
      </c>
      <c r="DQ110" s="14">
        <f t="shared" si="97"/>
        <v>76.521516462461591</v>
      </c>
      <c r="DR110" s="22">
        <f t="shared" si="70"/>
        <v>700.39647450545351</v>
      </c>
      <c r="DS110" s="62">
        <f t="shared" si="71"/>
        <v>993.72980783878688</v>
      </c>
      <c r="DT110" s="62">
        <f ca="1">AVERAGE(OFFSET($DS$3,0,0,'Données projet'!$E$14+1,1))-AVERAGE(OFFSET($H$3,0,0,'Données projet'!$E$14+1,1))</f>
        <v>493.70175665335978</v>
      </c>
      <c r="DU110" s="62">
        <f t="shared" si="98"/>
        <v>325.12357781685949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-1.7053025658242404E-13</v>
      </c>
      <c r="EK110" s="18">
        <f>EJ110*VLOOKUP('Données projet'!$B$15,Paramètres!$A$1:$I$89,3,0)*VLOOKUP('Données projet'!$B$15,Paramètres!$A$1:$I$89,5,0)</f>
        <v>-1.4897523215040567E-13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202.86354781280403</v>
      </c>
      <c r="EP110" s="62">
        <f t="shared" si="100"/>
        <v>217.25323885665131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3.0769230769230775</v>
      </c>
      <c r="FE110" s="13">
        <f>IF('Données projet'!$A$218&gt;35,FE109+FD110-FM109,IF(A110&lt;'Données projet'!$A$218,$FB$205^A110,IF(A110='Données projet'!$A$218,'Données projet'!$B$218,FE109+FD110-FM109)))</f>
        <v>247.82051282051273</v>
      </c>
      <c r="FF110" s="18">
        <f>FE110*VLOOKUP('Données projet'!$B$16,Paramètres!$A$1:$I$89,3,0)*VLOOKUP('Données projet'!$B$16,Paramètres!$A$1:$I$89,5,0)</f>
        <v>235.82599999999991</v>
      </c>
      <c r="FG110" s="14">
        <f t="shared" si="101"/>
        <v>57.540559102944393</v>
      </c>
      <c r="FH110" s="22">
        <f t="shared" si="76"/>
        <v>510.94675710429465</v>
      </c>
      <c r="FI110" s="62">
        <f t="shared" si="77"/>
        <v>804.2800904376279</v>
      </c>
      <c r="FJ110" s="62">
        <f ca="1">AVERAGE(OFFSET($FI$3,0,0,'Données projet'!$E$16+1,1))-AVERAGE(OFFSET($H$3,0,0,'Données projet'!$E$16+1,1))</f>
        <v>353.61481736740694</v>
      </c>
      <c r="FK110" s="62">
        <f t="shared" si="102"/>
        <v>244.7141066773861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3</v>
      </c>
      <c r="FZ110" s="13">
        <f>IF('Données projet'!$A$244&gt;35,FZ109+FY110-GH109,IF(A110&lt;'Données projet'!$A$244,$FW$205^A110,IF(A110='Données projet'!$A$244,'Données projet'!$B$244,FZ109+FY110-GH109)))</f>
        <v>172.00000000000006</v>
      </c>
      <c r="GA110" s="18">
        <f>FZ110*VLOOKUP('Données projet'!$B$17,Paramètres!$A$1:$I$89,3,0)*VLOOKUP('Données projet'!$B$17,Paramètres!$A$1:$I$89,5,0)</f>
        <v>185.14080000000007</v>
      </c>
      <c r="GB110" s="14">
        <f t="shared" si="103"/>
        <v>46.464038253813506</v>
      </c>
      <c r="GC110" s="22">
        <f t="shared" si="79"/>
        <v>403.37842662539197</v>
      </c>
      <c r="GD110" s="62">
        <f t="shared" si="80"/>
        <v>696.71175995872522</v>
      </c>
      <c r="GE110" s="62">
        <f ca="1">AVERAGE(OFFSET($GD$3,0,0,'Données projet'!$E$17+1,1))-AVERAGE(OFFSET($H$3,0,0,'Données projet'!$E$17+1,1))</f>
        <v>280.20599015000306</v>
      </c>
      <c r="GF110" s="62">
        <f t="shared" si="104"/>
        <v>166.97658184507787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3.0769230769230829</v>
      </c>
      <c r="GU110" s="13">
        <f>IF('Données projet'!$A$270&gt;35,GU109+GT110-HC109,IF(A110&lt;'Données projet'!$A$270,$GR$205^A110,IF(A110='Données projet'!$A$270,'Données projet'!$B$270,GU109+GT110-HC109)))</f>
        <v>276.66666666666657</v>
      </c>
      <c r="GV110" s="18">
        <f>GU110*VLOOKUP('Données projet'!$B$18,Paramètres!$A$1:$I$89,3,0)*VLOOKUP('Données projet'!$B$18,Paramètres!$A$1:$I$89,5,0)</f>
        <v>185.58799999999994</v>
      </c>
      <c r="GW110" s="14">
        <f t="shared" si="105"/>
        <v>46.563192499694225</v>
      </c>
      <c r="GX110" s="22">
        <f t="shared" si="82"/>
        <v>404.32999360363397</v>
      </c>
      <c r="GY110" s="62">
        <f t="shared" si="83"/>
        <v>697.66332693696722</v>
      </c>
      <c r="GZ110" s="62">
        <f ca="1">AVERAGE(OFFSET($GY$3,0,0,'Données projet'!$E$18+1,1))-AVERAGE(OFFSET($H$3,0,0,'Données projet'!$E$18+1,1))</f>
        <v>291.18686311753402</v>
      </c>
      <c r="HA110" s="62">
        <f t="shared" si="106"/>
        <v>215.44422413249839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9">
        <f t="shared" si="56"/>
        <v>256.66666666666669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260.02504691866199</v>
      </c>
      <c r="T111" s="62">
        <f t="shared" si="88"/>
        <v>270.11268336406368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2.1354708959783926</v>
      </c>
      <c r="AA111" s="23">
        <f>EXP(-LN(2)/25)*AA110+(1-EXP(-LN(2)/25))/(LN(2)/25)*Calculateur!V111*Calculateur!X111*VLOOKUP('Données projet'!$B$9,Paramètres!$A$1:$I$89,3,0)*0.475*44/12</f>
        <v>1.8905298351719073</v>
      </c>
      <c r="AB111" s="23">
        <f>EXP(-LN(2)/2)*AB110+(1-EXP(-LN(2)/2))/(LN(2)/2)*V111*Y111*VLOOKUP('Données projet'!$B$9,Paramètres!$A$1:$I$89,3,0)*0.475*44/12</f>
        <v>1.1532321779530037E-11</v>
      </c>
      <c r="AC111" s="24">
        <f t="shared" si="57"/>
        <v>4.0260007311618322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2">
        <f t="shared" si="59"/>
        <v>940.52963240095801</v>
      </c>
      <c r="AN111" s="62">
        <f ca="1">AVERAGE(OFFSET($AM$3,0,0,'Données projet'!$E$10+1,1))-AVERAGE(OFFSET($H$3,0,0,'Données projet'!$E$10+1,1))</f>
        <v>475.47920969424894</v>
      </c>
      <c r="AO111" s="62">
        <f t="shared" si="90"/>
        <v>271.73544012419364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268.00175999999971</v>
      </c>
      <c r="BF111" s="14">
        <f t="shared" si="91"/>
        <v>64.425009159185521</v>
      </c>
      <c r="BG111" s="22">
        <f t="shared" si="61"/>
        <v>578.97662295224757</v>
      </c>
      <c r="BH111" s="62">
        <f t="shared" si="62"/>
        <v>872.30995628558094</v>
      </c>
      <c r="BI111" s="62">
        <f ca="1">AVERAGE(OFFSET($BH$3,0,0,'Données projet'!$E$11+1,1))-AVERAGE(OFFSET($H$3,0,0,'Données projet'!$E$11+1,1))</f>
        <v>428.8489304403459</v>
      </c>
      <c r="BJ111" s="62">
        <f t="shared" si="92"/>
        <v>247.01165577562966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-1.9895196601282805E-13</v>
      </c>
      <c r="BZ111" s="14">
        <f>BY111*VLOOKUP('Données projet'!$B$12,Paramètres!$A$1:$I$89,3,0)*VLOOKUP('Données projet'!$B$12,Paramètres!$A$1:$I$89,5,0)</f>
        <v>-1.6138983482960614E-13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236.22643401787644</v>
      </c>
      <c r="CE111" s="62">
        <f t="shared" si="94"/>
        <v>188.80444043778022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5.6546153846153828</v>
      </c>
      <c r="CT111" s="13">
        <f>IF('Données projet'!$A$140&gt;35,CT110+CS111-DB110,IF(A111&lt;'Données projet'!$A$140,$CQ$205^A111,IF(A111='Données projet'!$A$140,'Données projet'!$B$140,CT110+CS111-DB110)))</f>
        <v>250.4376923076926</v>
      </c>
      <c r="CU111" s="18">
        <f>CT111*VLOOKUP('Données projet'!$B$13,Paramètres!$A$1:$I$89,3,0)*VLOOKUP('Données projet'!$B$13,Paramètres!$A$1:$I$89,5,0)</f>
        <v>117.20484000000013</v>
      </c>
      <c r="CV111" s="14">
        <f t="shared" si="95"/>
        <v>31.022182585275505</v>
      </c>
      <c r="CW111" s="22">
        <f t="shared" si="67"/>
        <v>258.16206433602173</v>
      </c>
      <c r="CX111" s="62">
        <f t="shared" si="68"/>
        <v>551.49539766935504</v>
      </c>
      <c r="CY111" s="62">
        <f ca="1">AVERAGE(OFFSET($CX$3,0,0,'Données projet'!$E$13+1,1))-AVERAGE(OFFSET($H$3,0,0,'Données projet'!$E$13+1,1))</f>
        <v>246.73711856758143</v>
      </c>
      <c r="CZ111" s="62">
        <f t="shared" si="96"/>
        <v>145.54897745089966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3.2051282051282044</v>
      </c>
      <c r="DO111" s="13">
        <f>IF('Données projet'!$A$166&gt;35,DO110+DN111-DW110,IF(A111&lt;'Données projet'!$A$166,$DL$205^A111,IF(A111='Données projet'!$A$166,'Données projet'!$B$166,DO110+DN111-DW110)))</f>
        <v>314.74358974358938</v>
      </c>
      <c r="DP111" s="18">
        <f>DO111*VLOOKUP('Données projet'!$B$14,Paramètres!$A$1:$I$89,3,0)*VLOOKUP('Données projet'!$B$14,Paramètres!$A$1:$I$89,5,0)</f>
        <v>328.96999999999969</v>
      </c>
      <c r="DQ111" s="14">
        <f t="shared" si="97"/>
        <v>77.216723056433693</v>
      </c>
      <c r="DR111" s="22">
        <f t="shared" si="70"/>
        <v>707.44187598995484</v>
      </c>
      <c r="DS111" s="62">
        <f t="shared" si="71"/>
        <v>1000.7752093232882</v>
      </c>
      <c r="DT111" s="62">
        <f ca="1">AVERAGE(OFFSET($DS$3,0,0,'Données projet'!$E$14+1,1))-AVERAGE(OFFSET($H$3,0,0,'Données projet'!$E$14+1,1))</f>
        <v>493.70175665335978</v>
      </c>
      <c r="DU111" s="62">
        <f t="shared" si="98"/>
        <v>325.12357781685949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-1.7053025658242404E-13</v>
      </c>
      <c r="EK111" s="18">
        <f>EJ111*VLOOKUP('Données projet'!$B$15,Paramètres!$A$1:$I$89,3,0)*VLOOKUP('Données projet'!$B$15,Paramètres!$A$1:$I$89,5,0)</f>
        <v>-1.4897523215040567E-13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202.86354781280403</v>
      </c>
      <c r="EP111" s="62">
        <f t="shared" si="100"/>
        <v>217.25323885665131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3.0769230769230775</v>
      </c>
      <c r="FE111" s="13">
        <f>IF('Données projet'!$A$218&gt;35,FE110+FD111-FM110,IF(A111&lt;'Données projet'!$A$218,$FB$205^A111,IF(A111='Données projet'!$A$218,'Données projet'!$B$218,FE110+FD111-FM110)))</f>
        <v>250.8974358974358</v>
      </c>
      <c r="FF111" s="18">
        <f>FE111*VLOOKUP('Données projet'!$B$16,Paramètres!$A$1:$I$89,3,0)*VLOOKUP('Données projet'!$B$16,Paramètres!$A$1:$I$89,5,0)</f>
        <v>238.75399999999991</v>
      </c>
      <c r="FG111" s="14">
        <f t="shared" si="101"/>
        <v>58.171366352922625</v>
      </c>
      <c r="FH111" s="22">
        <f t="shared" si="76"/>
        <v>517.14501306467344</v>
      </c>
      <c r="FI111" s="62">
        <f t="shared" si="77"/>
        <v>810.47834639800681</v>
      </c>
      <c r="FJ111" s="62">
        <f ca="1">AVERAGE(OFFSET($FI$3,0,0,'Données projet'!$E$16+1,1))-AVERAGE(OFFSET($H$3,0,0,'Données projet'!$E$16+1,1))</f>
        <v>353.61481736740694</v>
      </c>
      <c r="FK111" s="62">
        <f t="shared" si="102"/>
        <v>244.7141066773861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3</v>
      </c>
      <c r="FZ111" s="13">
        <f>IF('Données projet'!$A$244&gt;35,FZ110+FY111-GH110,IF(A111&lt;'Données projet'!$A$244,$FW$205^A111,IF(A111='Données projet'!$A$244,'Données projet'!$B$244,FZ110+FY111-GH110)))</f>
        <v>175.00000000000006</v>
      </c>
      <c r="GA111" s="18">
        <f>FZ111*VLOOKUP('Données projet'!$B$17,Paramètres!$A$1:$I$89,3,0)*VLOOKUP('Données projet'!$B$17,Paramètres!$A$1:$I$89,5,0)</f>
        <v>188.37000000000006</v>
      </c>
      <c r="GB111" s="14">
        <f t="shared" si="103"/>
        <v>47.179402486491298</v>
      </c>
      <c r="GC111" s="22">
        <f t="shared" si="79"/>
        <v>410.2485426639725</v>
      </c>
      <c r="GD111" s="62">
        <f t="shared" si="80"/>
        <v>703.58187599730581</v>
      </c>
      <c r="GE111" s="62">
        <f ca="1">AVERAGE(OFFSET($GD$3,0,0,'Données projet'!$E$17+1,1))-AVERAGE(OFFSET($H$3,0,0,'Données projet'!$E$17+1,1))</f>
        <v>280.20599015000306</v>
      </c>
      <c r="GF111" s="62">
        <f t="shared" si="104"/>
        <v>166.97658184507787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3.0769230769230829</v>
      </c>
      <c r="GU111" s="13">
        <f>IF('Données projet'!$A$270&gt;35,GU110+GT111-HC110,IF(A111&lt;'Données projet'!$A$270,$GR$205^A111,IF(A111='Données projet'!$A$270,'Données projet'!$B$270,GU110+GT111-HC110)))</f>
        <v>279.74358974358967</v>
      </c>
      <c r="GV111" s="18">
        <f>GU111*VLOOKUP('Données projet'!$B$18,Paramètres!$A$1:$I$89,3,0)*VLOOKUP('Données projet'!$B$18,Paramètres!$A$1:$I$89,5,0)</f>
        <v>187.65199999999996</v>
      </c>
      <c r="GW111" s="14">
        <f t="shared" si="105"/>
        <v>47.020468301498148</v>
      </c>
      <c r="GX111" s="22">
        <f t="shared" si="82"/>
        <v>408.72121562510921</v>
      </c>
      <c r="GY111" s="62">
        <f t="shared" si="83"/>
        <v>702.05454895844252</v>
      </c>
      <c r="GZ111" s="62">
        <f ca="1">AVERAGE(OFFSET($GY$3,0,0,'Données projet'!$E$18+1,1))-AVERAGE(OFFSET($H$3,0,0,'Données projet'!$E$18+1,1))</f>
        <v>291.18686311753402</v>
      </c>
      <c r="HA111" s="62">
        <f t="shared" si="106"/>
        <v>215.44422413249839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9">
        <f t="shared" si="56"/>
        <v>256.66666666666669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260.02504691866199</v>
      </c>
      <c r="T112" s="62">
        <f t="shared" si="88"/>
        <v>270.11268336406368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2.0935956142168908</v>
      </c>
      <c r="AA112" s="23">
        <f>EXP(-LN(2)/25)*AA111+(1-EXP(-LN(2)/25))/(LN(2)/25)*Calculateur!V112*Calculateur!X112*VLOOKUP('Données projet'!$B$9,Paramètres!$A$1:$I$89,3,0)*0.475*44/12</f>
        <v>1.8388331974104883</v>
      </c>
      <c r="AB112" s="23">
        <f>EXP(-LN(2)/2)*AB111+(1-EXP(-LN(2)/2))/(LN(2)/2)*V112*Y112*VLOOKUP('Données projet'!$B$9,Paramètres!$A$1:$I$89,3,0)*0.475*44/12</f>
        <v>8.1545829331310019E-12</v>
      </c>
      <c r="AC112" s="24">
        <f t="shared" si="57"/>
        <v>3.9324288116355337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2">
        <f t="shared" si="59"/>
        <v>949.92765331066835</v>
      </c>
      <c r="AN112" s="62">
        <f ca="1">AVERAGE(OFFSET($AM$3,0,0,'Données projet'!$E$10+1,1))-AVERAGE(OFFSET($H$3,0,0,'Données projet'!$E$10+1,1))</f>
        <v>475.47920969424894</v>
      </c>
      <c r="AO112" s="62">
        <f t="shared" si="90"/>
        <v>271.73544012419364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271.98287999999962</v>
      </c>
      <c r="BF112" s="14">
        <f t="shared" si="91"/>
        <v>65.269907092018684</v>
      </c>
      <c r="BG112" s="22">
        <f t="shared" si="61"/>
        <v>587.38193751859842</v>
      </c>
      <c r="BH112" s="62">
        <f t="shared" si="62"/>
        <v>880.71527085193179</v>
      </c>
      <c r="BI112" s="62">
        <f ca="1">AVERAGE(OFFSET($BH$3,0,0,'Données projet'!$E$11+1,1))-AVERAGE(OFFSET($H$3,0,0,'Données projet'!$E$11+1,1))</f>
        <v>428.8489304403459</v>
      </c>
      <c r="BJ112" s="62">
        <f t="shared" si="92"/>
        <v>247.01165577562966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-1.9895196601282805E-13</v>
      </c>
      <c r="BZ112" s="14">
        <f>BY112*VLOOKUP('Données projet'!$B$12,Paramètres!$A$1:$I$89,3,0)*VLOOKUP('Données projet'!$B$12,Paramètres!$A$1:$I$89,5,0)</f>
        <v>-1.6138983482960614E-13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236.22643401787644</v>
      </c>
      <c r="CE112" s="62">
        <f t="shared" si="94"/>
        <v>188.80444043778022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>
        <f>VLOOKUP(A112,'Données projet'!$A$139:$I$159,2,0)</f>
        <v>256.09230769230771</v>
      </c>
      <c r="CR112" s="13">
        <f>VLOOKUP(A112,'Données projet'!$A$139:$I$159,9,0)</f>
        <v>5.6546153846153828</v>
      </c>
      <c r="CS112" s="13">
        <f t="array" ref="CS112">INDEX(CR:CR,MIN(IF(ISNUMBER(CR112:CR308),ROW(CR112:CR308),"")))</f>
        <v>5.6546153846153828</v>
      </c>
      <c r="CT112" s="13">
        <f>IF('Données projet'!$A$140&gt;35,CT111+CS112-DB111,IF(A112&lt;'Données projet'!$A$140,$CQ$205^A112,IF(A112='Données projet'!$A$140,'Données projet'!$B$140,CT111+CS112-DB111)))</f>
        <v>256.092307692308</v>
      </c>
      <c r="CU112" s="18">
        <f>CT112*VLOOKUP('Données projet'!$B$13,Paramètres!$A$1:$I$89,3,0)*VLOOKUP('Données projet'!$B$13,Paramètres!$A$1:$I$89,5,0)</f>
        <v>119.85120000000015</v>
      </c>
      <c r="CV112" s="14">
        <f t="shared" si="95"/>
        <v>31.640291631938243</v>
      </c>
      <c r="CW112" s="22">
        <f t="shared" si="67"/>
        <v>263.84768125895937</v>
      </c>
      <c r="CX112" s="62">
        <f t="shared" si="68"/>
        <v>557.18101459229274</v>
      </c>
      <c r="CY112" s="62">
        <f ca="1">AVERAGE(OFFSET($CX$3,0,0,'Données projet'!$E$13+1,1))-AVERAGE(OFFSET($H$3,0,0,'Données projet'!$E$13+1,1))</f>
        <v>246.73711856758143</v>
      </c>
      <c r="CZ112" s="62">
        <f t="shared" si="96"/>
        <v>145.54897745089966</v>
      </c>
      <c r="DA112" s="16">
        <f>IF(ISNA(VLOOKUP(A112,'Données projet'!$A$139:$I$159,3,0)),0,VLOOKUP(A112,'Données projet'!$A$139:$I$159,3,0))</f>
        <v>6</v>
      </c>
      <c r="DB112" s="16">
        <f>IF(ISNA(VLOOKUP(A112,'Données projet'!$A$139:$I$159,4,0)),0,VLOOKUP(A112,'Données projet'!$A$139:$I$159,4,0))</f>
        <v>256.09230769230771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3.2051282051282044</v>
      </c>
      <c r="DO112" s="13">
        <f>IF('Données projet'!$A$166&gt;35,DO111+DN112-DW111,IF(A112&lt;'Données projet'!$A$166,$DL$205^A112,IF(A112='Données projet'!$A$166,'Données projet'!$B$166,DO111+DN112-DW111)))</f>
        <v>317.94871794871756</v>
      </c>
      <c r="DP112" s="18">
        <f>DO112*VLOOKUP('Données projet'!$B$14,Paramètres!$A$1:$I$89,3,0)*VLOOKUP('Données projet'!$B$14,Paramètres!$A$1:$I$89,5,0)</f>
        <v>332.3199999999996</v>
      </c>
      <c r="DQ112" s="14">
        <f t="shared" si="97"/>
        <v>77.911106070111614</v>
      </c>
      <c r="DR112" s="22">
        <f t="shared" si="70"/>
        <v>714.48584307211024</v>
      </c>
      <c r="DS112" s="62">
        <f t="shared" si="71"/>
        <v>1007.8191764054436</v>
      </c>
      <c r="DT112" s="62">
        <f ca="1">AVERAGE(OFFSET($DS$3,0,0,'Données projet'!$E$14+1,1))-AVERAGE(OFFSET($H$3,0,0,'Données projet'!$E$14+1,1))</f>
        <v>493.70175665335978</v>
      </c>
      <c r="DU112" s="62">
        <f t="shared" si="98"/>
        <v>325.12357781685949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-1.7053025658242404E-13</v>
      </c>
      <c r="EK112" s="18">
        <f>EJ112*VLOOKUP('Données projet'!$B$15,Paramètres!$A$1:$I$89,3,0)*VLOOKUP('Données projet'!$B$15,Paramètres!$A$1:$I$89,5,0)</f>
        <v>-1.4897523215040567E-13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202.86354781280403</v>
      </c>
      <c r="EP112" s="62">
        <f t="shared" si="100"/>
        <v>217.25323885665131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3.0769230769230775</v>
      </c>
      <c r="FE112" s="13">
        <f>IF('Données projet'!$A$218&gt;35,FE111+FD112-FM111,IF(A112&lt;'Données projet'!$A$218,$FB$205^A112,IF(A112='Données projet'!$A$218,'Données projet'!$B$218,FE111+FD112-FM111)))</f>
        <v>253.97435897435886</v>
      </c>
      <c r="FF112" s="18">
        <f>FE112*VLOOKUP('Données projet'!$B$16,Paramètres!$A$1:$I$89,3,0)*VLOOKUP('Données projet'!$B$16,Paramètres!$A$1:$I$89,5,0)</f>
        <v>241.6819999999999</v>
      </c>
      <c r="FG112" s="14">
        <f t="shared" si="101"/>
        <v>58.801273749741775</v>
      </c>
      <c r="FH112" s="22">
        <f t="shared" si="76"/>
        <v>523.34170178080001</v>
      </c>
      <c r="FI112" s="62">
        <f t="shared" si="77"/>
        <v>816.67503511413338</v>
      </c>
      <c r="FJ112" s="62">
        <f ca="1">AVERAGE(OFFSET($FI$3,0,0,'Données projet'!$E$16+1,1))-AVERAGE(OFFSET($H$3,0,0,'Données projet'!$E$16+1,1))</f>
        <v>353.61481736740694</v>
      </c>
      <c r="FK112" s="62">
        <f t="shared" si="102"/>
        <v>244.7141066773861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3</v>
      </c>
      <c r="FZ112" s="13">
        <f>IF('Données projet'!$A$244&gt;35,FZ111+FY112-GH111,IF(A112&lt;'Données projet'!$A$244,$FW$205^A112,IF(A112='Données projet'!$A$244,'Données projet'!$B$244,FZ111+FY112-GH111)))</f>
        <v>178.00000000000006</v>
      </c>
      <c r="GA112" s="18">
        <f>FZ112*VLOOKUP('Données projet'!$B$17,Paramètres!$A$1:$I$89,3,0)*VLOOKUP('Données projet'!$B$17,Paramètres!$A$1:$I$89,5,0)</f>
        <v>191.59920000000005</v>
      </c>
      <c r="GB112" s="14">
        <f t="shared" si="103"/>
        <v>47.893340610341859</v>
      </c>
      <c r="GC112" s="22">
        <f t="shared" si="79"/>
        <v>417.11617489634546</v>
      </c>
      <c r="GD112" s="62">
        <f t="shared" si="80"/>
        <v>710.44950822967871</v>
      </c>
      <c r="GE112" s="62">
        <f ca="1">AVERAGE(OFFSET($GD$3,0,0,'Données projet'!$E$17+1,1))-AVERAGE(OFFSET($H$3,0,0,'Données projet'!$E$17+1,1))</f>
        <v>280.20599015000306</v>
      </c>
      <c r="GF112" s="62">
        <f t="shared" si="104"/>
        <v>166.97658184507787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3.0769230769230829</v>
      </c>
      <c r="GU112" s="13">
        <f>IF('Données projet'!$A$270&gt;35,GU111+GT112-HC111,IF(A112&lt;'Données projet'!$A$270,$GR$205^A112,IF(A112='Données projet'!$A$270,'Données projet'!$B$270,GU111+GT112-HC111)))</f>
        <v>282.82051282051276</v>
      </c>
      <c r="GV112" s="18">
        <f>GU112*VLOOKUP('Données projet'!$B$18,Paramètres!$A$1:$I$89,3,0)*VLOOKUP('Données projet'!$B$18,Paramètres!$A$1:$I$89,5,0)</f>
        <v>189.71599999999998</v>
      </c>
      <c r="GW112" s="14">
        <f t="shared" si="105"/>
        <v>47.477159018288674</v>
      </c>
      <c r="GX112" s="22">
        <f t="shared" si="82"/>
        <v>413.11141862351934</v>
      </c>
      <c r="GY112" s="62">
        <f t="shared" si="83"/>
        <v>706.44475195685266</v>
      </c>
      <c r="GZ112" s="62">
        <f ca="1">AVERAGE(OFFSET($GY$3,0,0,'Données projet'!$E$18+1,1))-AVERAGE(OFFSET($H$3,0,0,'Données projet'!$E$18+1,1))</f>
        <v>291.18686311753402</v>
      </c>
      <c r="HA112" s="62">
        <f t="shared" si="106"/>
        <v>215.44422413249839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9">
        <f t="shared" si="56"/>
        <v>256.66666666666669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260.02504691866199</v>
      </c>
      <c r="T113" s="62">
        <f t="shared" si="88"/>
        <v>270.11268336406368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2.0525414811893321</v>
      </c>
      <c r="AA113" s="23">
        <f>EXP(-LN(2)/25)*AA112+(1-EXP(-LN(2)/25))/(LN(2)/25)*Calculateur!V113*Calculateur!X113*VLOOKUP('Données projet'!$B$9,Paramètres!$A$1:$I$89,3,0)*0.475*44/12</f>
        <v>1.7885502069272634</v>
      </c>
      <c r="AB113" s="23">
        <f>EXP(-LN(2)/2)*AB112+(1-EXP(-LN(2)/2))/(LN(2)/2)*V113*Y113*VLOOKUP('Données projet'!$B$9,Paramètres!$A$1:$I$89,3,0)*0.475*44/12</f>
        <v>5.7661608897650183E-12</v>
      </c>
      <c r="AC113" s="24">
        <f t="shared" si="57"/>
        <v>3.8410916881223613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2">
        <f t="shared" si="59"/>
        <v>959.32290372320404</v>
      </c>
      <c r="AN113" s="62">
        <f ca="1">AVERAGE(OFFSET($AM$3,0,0,'Données projet'!$E$10+1,1))-AVERAGE(OFFSET($H$3,0,0,'Données projet'!$E$10+1,1))</f>
        <v>475.47920969424894</v>
      </c>
      <c r="AO113" s="62">
        <f t="shared" si="90"/>
        <v>271.73544012419364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275.9639999999996</v>
      </c>
      <c r="BF113" s="14">
        <f t="shared" si="91"/>
        <v>66.113366665488797</v>
      </c>
      <c r="BG113" s="22">
        <f t="shared" si="61"/>
        <v>595.7847469423923</v>
      </c>
      <c r="BH113" s="62">
        <f t="shared" si="62"/>
        <v>889.11808027572556</v>
      </c>
      <c r="BI113" s="62">
        <f ca="1">AVERAGE(OFFSET($BH$3,0,0,'Données projet'!$E$11+1,1))-AVERAGE(OFFSET($H$3,0,0,'Données projet'!$E$11+1,1))</f>
        <v>428.8489304403459</v>
      </c>
      <c r="BJ113" s="62">
        <f t="shared" si="92"/>
        <v>247.01165577562966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-1.9895196601282805E-13</v>
      </c>
      <c r="BZ113" s="14">
        <f>BY113*VLOOKUP('Données projet'!$B$12,Paramètres!$A$1:$I$89,3,0)*VLOOKUP('Données projet'!$B$12,Paramètres!$A$1:$I$89,5,0)</f>
        <v>-1.6138983482960614E-13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236.22643401787644</v>
      </c>
      <c r="CE113" s="62">
        <f t="shared" si="94"/>
        <v>188.80444043778022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2.8421709430404007E-13</v>
      </c>
      <c r="CU113" s="18">
        <f>CT113*VLOOKUP('Données projet'!$B$13,Paramètres!$A$1:$I$89,3,0)*VLOOKUP('Données projet'!$B$13,Paramètres!$A$1:$I$89,5,0)</f>
        <v>1.3301360013429075E-13</v>
      </c>
      <c r="CV113" s="14">
        <f t="shared" si="95"/>
        <v>1.9329766731057041E-12</v>
      </c>
      <c r="CW113" s="22">
        <f t="shared" si="67"/>
        <v>3.5982663925596575E-12</v>
      </c>
      <c r="CX113" s="62">
        <f t="shared" si="68"/>
        <v>293.3333333333369</v>
      </c>
      <c r="CY113" s="62">
        <f ca="1">AVERAGE(OFFSET($CX$3,0,0,'Données projet'!$E$13+1,1))-AVERAGE(OFFSET($H$3,0,0,'Données projet'!$E$13+1,1))</f>
        <v>246.73711856758143</v>
      </c>
      <c r="CZ113" s="62">
        <f t="shared" si="96"/>
        <v>145.54897745089966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321.15384615384613</v>
      </c>
      <c r="DM113" s="13">
        <f>VLOOKUP(A113,'Données projet'!$A$165:$I$185,9,0)</f>
        <v>3.2051282051282044</v>
      </c>
      <c r="DN113" s="13">
        <f t="array" ref="DN113">INDEX(DM:DM,MIN(IF(ISNUMBER(DM113:DM309),ROW(DM113:DM309),"")))</f>
        <v>3.2051282051282044</v>
      </c>
      <c r="DO113" s="13">
        <f>IF('Données projet'!$A$166&gt;35,DO112+DN113-DW112,IF(A113&lt;'Données projet'!$A$166,$DL$205^A113,IF(A113='Données projet'!$A$166,'Données projet'!$B$166,DO112+DN113-DW112)))</f>
        <v>321.15384615384573</v>
      </c>
      <c r="DP113" s="18">
        <f>DO113*VLOOKUP('Données projet'!$B$14,Paramètres!$A$1:$I$89,3,0)*VLOOKUP('Données projet'!$B$14,Paramètres!$A$1:$I$89,5,0)</f>
        <v>335.66999999999956</v>
      </c>
      <c r="DQ113" s="14">
        <f t="shared" si="97"/>
        <v>78.604674766974242</v>
      </c>
      <c r="DR113" s="22">
        <f t="shared" si="70"/>
        <v>721.52839188581265</v>
      </c>
      <c r="DS113" s="62">
        <f t="shared" si="71"/>
        <v>1014.8617252191459</v>
      </c>
      <c r="DT113" s="62">
        <f ca="1">AVERAGE(OFFSET($DS$3,0,0,'Données projet'!$E$14+1,1))-AVERAGE(OFFSET($H$3,0,0,'Données projet'!$E$14+1,1))</f>
        <v>493.70175665335978</v>
      </c>
      <c r="DU113" s="62">
        <f t="shared" si="98"/>
        <v>325.12357781685949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19.23076923076923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-1.7053025658242404E-13</v>
      </c>
      <c r="EK113" s="18">
        <f>EJ113*VLOOKUP('Données projet'!$B$15,Paramètres!$A$1:$I$89,3,0)*VLOOKUP('Données projet'!$B$15,Paramètres!$A$1:$I$89,5,0)</f>
        <v>-1.4897523215040567E-13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202.86354781280403</v>
      </c>
      <c r="EP113" s="62">
        <f t="shared" si="100"/>
        <v>217.25323885665131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257.05128205128204</v>
      </c>
      <c r="FC113" s="13">
        <f>VLOOKUP(A113,'Données projet'!$A$217:$I$237,9,0)</f>
        <v>3.0769230769230775</v>
      </c>
      <c r="FD113" s="13">
        <f t="array" ref="FD113">INDEX(FC:FC,MIN(IF(ISNUMBER(FC113:FC309),ROW(FC113:FC309),"")))</f>
        <v>3.0769230769230775</v>
      </c>
      <c r="FE113" s="13">
        <f>IF('Données projet'!$A$218&gt;35,FE112+FD113-FM112,IF(A113&lt;'Données projet'!$A$218,$FB$205^A113,IF(A113='Données projet'!$A$218,'Données projet'!$B$218,FE112+FD113-FM112)))</f>
        <v>257.05128205128193</v>
      </c>
      <c r="FF113" s="18">
        <f>FE113*VLOOKUP('Données projet'!$B$16,Paramètres!$A$1:$I$89,3,0)*VLOOKUP('Données projet'!$B$16,Paramètres!$A$1:$I$89,5,0)</f>
        <v>244.6099999999999</v>
      </c>
      <c r="FG113" s="14">
        <f t="shared" si="101"/>
        <v>59.430293456197688</v>
      </c>
      <c r="FH113" s="22">
        <f t="shared" si="76"/>
        <v>529.5368444362108</v>
      </c>
      <c r="FI113" s="62">
        <f t="shared" si="77"/>
        <v>822.87017776954417</v>
      </c>
      <c r="FJ113" s="62">
        <f ca="1">AVERAGE(OFFSET($FI$3,0,0,'Données projet'!$E$16+1,1))-AVERAGE(OFFSET($H$3,0,0,'Données projet'!$E$16+1,1))</f>
        <v>353.61481736740694</v>
      </c>
      <c r="FK113" s="62">
        <f t="shared" si="102"/>
        <v>244.7141066773861</v>
      </c>
      <c r="FL113" s="16">
        <f>IF(ISNA(VLOOKUP(A113,'Données projet'!$A$217:$I$237,3,0)),0,VLOOKUP(A113,'Données projet'!$A$217:$I$237,3,0))</f>
        <v>9</v>
      </c>
      <c r="FM113" s="16">
        <f>IF(ISNA(VLOOKUP(A113,'Données projet'!$A$217:$I$237,4,0)),0,VLOOKUP(A113,'Données projet'!$A$217:$I$237,4,0))</f>
        <v>33.333333333333336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181</v>
      </c>
      <c r="FX113" s="13">
        <f>VLOOKUP(A113,'Données projet'!$A$243:$I$263,9,0)</f>
        <v>3</v>
      </c>
      <c r="FY113" s="13">
        <f t="array" ref="FY113">INDEX(FX:FX,MIN(IF(ISNUMBER(FX113:FX309),ROW(FX113:FX309),"")))</f>
        <v>3</v>
      </c>
      <c r="FZ113" s="13">
        <f>IF('Données projet'!$A$244&gt;35,FZ112+FY113-GH112,IF(A113&lt;'Données projet'!$A$244,$FW$205^A113,IF(A113='Données projet'!$A$244,'Données projet'!$B$244,FZ112+FY113-GH112)))</f>
        <v>181.00000000000006</v>
      </c>
      <c r="GA113" s="18">
        <f>FZ113*VLOOKUP('Données projet'!$B$17,Paramètres!$A$1:$I$89,3,0)*VLOOKUP('Données projet'!$B$17,Paramètres!$A$1:$I$89,5,0)</f>
        <v>194.82840000000004</v>
      </c>
      <c r="GB113" s="14">
        <f t="shared" si="103"/>
        <v>48.605879434898533</v>
      </c>
      <c r="GC113" s="22">
        <f t="shared" si="79"/>
        <v>423.98137001578169</v>
      </c>
      <c r="GD113" s="62">
        <f t="shared" si="80"/>
        <v>717.31470334911501</v>
      </c>
      <c r="GE113" s="62">
        <f ca="1">AVERAGE(OFFSET($GD$3,0,0,'Données projet'!$E$17+1,1))-AVERAGE(OFFSET($H$3,0,0,'Données projet'!$E$17+1,1))</f>
        <v>280.20599015000306</v>
      </c>
      <c r="GF113" s="62">
        <f t="shared" si="104"/>
        <v>166.97658184507787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285.89743589743591</v>
      </c>
      <c r="GS113" s="13">
        <f>VLOOKUP(A113,'Données projet'!$A$269:$I$289,9,0)</f>
        <v>3.0769230769230829</v>
      </c>
      <c r="GT113" s="13">
        <f t="array" ref="GT113">INDEX(GS:GS,MIN(IF(ISNUMBER(GS113:GS309),ROW(GS113:GS309),"")))</f>
        <v>3.0769230769230829</v>
      </c>
      <c r="GU113" s="13">
        <f>IF('Données projet'!$A$270&gt;35,GU112+GT113-HC112,IF(A113&lt;'Données projet'!$A$270,$GR$205^A113,IF(A113='Données projet'!$A$270,'Données projet'!$B$270,GU112+GT113-HC112)))</f>
        <v>285.89743589743586</v>
      </c>
      <c r="GV113" s="18">
        <f>GU113*VLOOKUP('Données projet'!$B$18,Paramètres!$A$1:$I$89,3,0)*VLOOKUP('Données projet'!$B$18,Paramètres!$A$1:$I$89,5,0)</f>
        <v>191.77999999999997</v>
      </c>
      <c r="GW113" s="14">
        <f t="shared" si="105"/>
        <v>47.93327175216595</v>
      </c>
      <c r="GX113" s="22">
        <f t="shared" si="82"/>
        <v>417.50061496835565</v>
      </c>
      <c r="GY113" s="62">
        <f t="shared" si="83"/>
        <v>710.83394830168891</v>
      </c>
      <c r="GZ113" s="62">
        <f ca="1">AVERAGE(OFFSET($GY$3,0,0,'Données projet'!$E$18+1,1))-AVERAGE(OFFSET($H$3,0,0,'Données projet'!$E$18+1,1))</f>
        <v>291.18686311753402</v>
      </c>
      <c r="HA113" s="62">
        <f t="shared" si="106"/>
        <v>215.44422413249839</v>
      </c>
      <c r="HB113" s="16">
        <f>IF(ISNA(VLOOKUP(A113,'Données projet'!$A$269:$I$289,3,0)),0,VLOOKUP(A113,'Données projet'!$A$269:$I$289,3,0))</f>
        <v>10</v>
      </c>
      <c r="HC113" s="16">
        <f>IF(ISNA(VLOOKUP(A113,'Données projet'!$A$269:$I$289,4,0)),0,VLOOKUP(A113,'Données projet'!$A$269:$I$289,4,0))</f>
        <v>285.89743589743591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9">
        <f t="shared" si="56"/>
        <v>256.66666666666669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260.02504691866199</v>
      </c>
      <c r="T114" s="62">
        <f t="shared" si="88"/>
        <v>270.11268336406368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2.0122923946698954</v>
      </c>
      <c r="AA114" s="23">
        <f>EXP(-LN(2)/25)*AA113+(1-EXP(-LN(2)/25))/(LN(2)/25)*Calculateur!V114*Calculateur!X114*VLOOKUP('Données projet'!$B$9,Paramètres!$A$1:$I$89,3,0)*0.475*44/12</f>
        <v>1.7396422074630697</v>
      </c>
      <c r="AB114" s="23">
        <f>EXP(-LN(2)/2)*AB113+(1-EXP(-LN(2)/2))/(LN(2)/2)*V114*Y114*VLOOKUP('Données projet'!$B$9,Paramètres!$A$1:$I$89,3,0)*0.475*44/12</f>
        <v>4.0772914665655009E-12</v>
      </c>
      <c r="AC114" s="24">
        <f t="shared" si="57"/>
        <v>3.7519346021370423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2">
        <f t="shared" si="59"/>
        <v>883.86661576478514</v>
      </c>
      <c r="AN114" s="62">
        <f ca="1">AVERAGE(OFFSET($AM$3,0,0,'Données projet'!$E$10+1,1))-AVERAGE(OFFSET($H$3,0,0,'Données projet'!$E$10+1,1))</f>
        <v>475.47920969424894</v>
      </c>
      <c r="AO114" s="62">
        <f t="shared" si="90"/>
        <v>271.73544012419364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244.02455999999964</v>
      </c>
      <c r="BF114" s="14">
        <f t="shared" si="91"/>
        <v>59.304594314969229</v>
      </c>
      <c r="BG114" s="22">
        <f t="shared" si="61"/>
        <v>528.29827709857079</v>
      </c>
      <c r="BH114" s="62">
        <f t="shared" si="62"/>
        <v>821.63161043190416</v>
      </c>
      <c r="BI114" s="62">
        <f ca="1">AVERAGE(OFFSET($BH$3,0,0,'Données projet'!$E$11+1,1))-AVERAGE(OFFSET($H$3,0,0,'Données projet'!$E$11+1,1))</f>
        <v>428.8489304403459</v>
      </c>
      <c r="BJ114" s="62">
        <f t="shared" si="92"/>
        <v>247.01165577562966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-1.9895196601282805E-13</v>
      </c>
      <c r="BZ114" s="14">
        <f>BY114*VLOOKUP('Données projet'!$B$12,Paramètres!$A$1:$I$89,3,0)*VLOOKUP('Données projet'!$B$12,Paramètres!$A$1:$I$89,5,0)</f>
        <v>-1.6138983482960614E-13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236.22643401787644</v>
      </c>
      <c r="CE114" s="62">
        <f t="shared" si="94"/>
        <v>188.80444043778022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2.8421709430404007E-13</v>
      </c>
      <c r="CU114" s="18">
        <f>CT114*VLOOKUP('Données projet'!$B$13,Paramètres!$A$1:$I$89,3,0)*VLOOKUP('Données projet'!$B$13,Paramètres!$A$1:$I$89,5,0)</f>
        <v>1.3301360013429075E-13</v>
      </c>
      <c r="CV114" s="14">
        <f t="shared" si="95"/>
        <v>1.9329766731057041E-12</v>
      </c>
      <c r="CW114" s="22">
        <f t="shared" si="67"/>
        <v>3.5982663925596575E-12</v>
      </c>
      <c r="CX114" s="62">
        <f t="shared" si="68"/>
        <v>293.3333333333369</v>
      </c>
      <c r="CY114" s="62">
        <f ca="1">AVERAGE(OFFSET($CX$3,0,0,'Données projet'!$E$13+1,1))-AVERAGE(OFFSET($H$3,0,0,'Données projet'!$E$13+1,1))</f>
        <v>246.73711856758143</v>
      </c>
      <c r="CZ114" s="62">
        <f t="shared" si="96"/>
        <v>145.54897745089966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2.8846153846153868</v>
      </c>
      <c r="DO114" s="13">
        <f>IF('Données projet'!$A$166&gt;35,DO113+DN114-DW113,IF(A114&lt;'Données projet'!$A$166,$DL$205^A114,IF(A114='Données projet'!$A$166,'Données projet'!$B$166,DO113+DN114-DW113)))</f>
        <v>304.80769230769187</v>
      </c>
      <c r="DP114" s="18">
        <f>DO114*VLOOKUP('Données projet'!$B$14,Paramètres!$A$1:$I$89,3,0)*VLOOKUP('Données projet'!$B$14,Paramètres!$A$1:$I$89,5,0)</f>
        <v>318.58499999999958</v>
      </c>
      <c r="DQ114" s="14">
        <f t="shared" si="97"/>
        <v>75.058859499755215</v>
      </c>
      <c r="DR114" s="22">
        <f t="shared" si="70"/>
        <v>685.59638862873953</v>
      </c>
      <c r="DS114" s="62">
        <f t="shared" si="71"/>
        <v>978.92972196207279</v>
      </c>
      <c r="DT114" s="62">
        <f ca="1">AVERAGE(OFFSET($DS$3,0,0,'Données projet'!$E$14+1,1))-AVERAGE(OFFSET($H$3,0,0,'Données projet'!$E$14+1,1))</f>
        <v>493.70175665335978</v>
      </c>
      <c r="DU114" s="62">
        <f t="shared" si="98"/>
        <v>325.12357781685949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-1.7053025658242404E-13</v>
      </c>
      <c r="EK114" s="18">
        <f>EJ114*VLOOKUP('Données projet'!$B$15,Paramètres!$A$1:$I$89,3,0)*VLOOKUP('Données projet'!$B$15,Paramètres!$A$1:$I$89,5,0)</f>
        <v>-1.4897523215040567E-13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202.86354781280403</v>
      </c>
      <c r="EP114" s="62">
        <f t="shared" si="100"/>
        <v>217.25323885665131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2.7564102564102568</v>
      </c>
      <c r="FE114" s="13">
        <f>IF('Données projet'!$A$218&gt;35,FE113+FD114-FM113,IF(A114&lt;'Données projet'!$A$218,$FB$205^A114,IF(A114='Données projet'!$A$218,'Données projet'!$B$218,FE113+FD114-FM113)))</f>
        <v>226.47435897435886</v>
      </c>
      <c r="FF114" s="18">
        <f>FE114*VLOOKUP('Données projet'!$B$16,Paramètres!$A$1:$I$89,3,0)*VLOOKUP('Données projet'!$B$16,Paramètres!$A$1:$I$89,5,0)</f>
        <v>215.51299999999989</v>
      </c>
      <c r="FG114" s="14">
        <f t="shared" si="101"/>
        <v>53.138491948042898</v>
      </c>
      <c r="FH114" s="22">
        <f t="shared" si="76"/>
        <v>467.90134847617452</v>
      </c>
      <c r="FI114" s="62">
        <f t="shared" si="77"/>
        <v>761.23468180950783</v>
      </c>
      <c r="FJ114" s="62">
        <f ca="1">AVERAGE(OFFSET($FI$3,0,0,'Données projet'!$E$16+1,1))-AVERAGE(OFFSET($H$3,0,0,'Données projet'!$E$16+1,1))</f>
        <v>353.61481736740694</v>
      </c>
      <c r="FK114" s="62">
        <f t="shared" si="102"/>
        <v>244.7141066773861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3</v>
      </c>
      <c r="FZ114" s="13">
        <f>IF('Données projet'!$A$244&gt;35,FZ113+FY114-GH113,IF(A114&lt;'Données projet'!$A$244,$FW$205^A114,IF(A114='Données projet'!$A$244,'Données projet'!$B$244,FZ113+FY114-GH113)))</f>
        <v>184.00000000000006</v>
      </c>
      <c r="GA114" s="18">
        <f>FZ114*VLOOKUP('Données projet'!$B$17,Paramètres!$A$1:$I$89,3,0)*VLOOKUP('Données projet'!$B$17,Paramètres!$A$1:$I$89,5,0)</f>
        <v>198.05760000000006</v>
      </c>
      <c r="GB114" s="14">
        <f t="shared" si="103"/>
        <v>49.317044830035982</v>
      </c>
      <c r="GC114" s="22">
        <f t="shared" si="79"/>
        <v>430.8441730789794</v>
      </c>
      <c r="GD114" s="62">
        <f t="shared" si="80"/>
        <v>724.17750641231271</v>
      </c>
      <c r="GE114" s="62">
        <f ca="1">AVERAGE(OFFSET($GD$3,0,0,'Données projet'!$E$17+1,1))-AVERAGE(OFFSET($H$3,0,0,'Données projet'!$E$17+1,1))</f>
        <v>280.20599015000306</v>
      </c>
      <c r="GF114" s="62">
        <f t="shared" si="104"/>
        <v>166.97658184507787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-5.6843418860808015E-14</v>
      </c>
      <c r="GV114" s="18">
        <f>GU114*VLOOKUP('Données projet'!$B$18,Paramètres!$A$1:$I$89,3,0)*VLOOKUP('Données projet'!$B$18,Paramètres!$A$1:$I$89,5,0)</f>
        <v>-3.813056537183002E-14</v>
      </c>
      <c r="GW114" s="14" t="e">
        <f t="shared" si="105"/>
        <v>#NUM!</v>
      </c>
      <c r="GX114" s="22" t="e">
        <f t="shared" si="82"/>
        <v>#NUM!</v>
      </c>
      <c r="GY114" s="62" t="e">
        <f t="shared" si="83"/>
        <v>#NUM!</v>
      </c>
      <c r="GZ114" s="62">
        <f ca="1">AVERAGE(OFFSET($GY$3,0,0,'Données projet'!$E$18+1,1))-AVERAGE(OFFSET($H$3,0,0,'Données projet'!$E$18+1,1))</f>
        <v>291.18686311753402</v>
      </c>
      <c r="HA114" s="62">
        <f t="shared" si="106"/>
        <v>215.44422413249839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9">
        <f t="shared" si="56"/>
        <v>256.66666666666669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260.02504691866199</v>
      </c>
      <c r="T115" s="62">
        <f t="shared" si="88"/>
        <v>270.11268336406368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1.972832568187586</v>
      </c>
      <c r="AA115" s="23">
        <f>EXP(-LN(2)/25)*AA114+(1-EXP(-LN(2)/25))/(LN(2)/25)*Calculateur!V115*Calculateur!X115*VLOOKUP('Données projet'!$B$9,Paramètres!$A$1:$I$89,3,0)*0.475*44/12</f>
        <v>1.6920715998161844</v>
      </c>
      <c r="AB115" s="23">
        <f>EXP(-LN(2)/2)*AB114+(1-EXP(-LN(2)/2))/(LN(2)/2)*V115*Y115*VLOOKUP('Données projet'!$B$9,Paramètres!$A$1:$I$89,3,0)*0.475*44/12</f>
        <v>2.8830804448825091E-12</v>
      </c>
      <c r="AC115" s="24">
        <f t="shared" si="57"/>
        <v>3.6649041680066534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2">
        <f t="shared" si="59"/>
        <v>891.78459897725043</v>
      </c>
      <c r="AN115" s="62">
        <f ca="1">AVERAGE(OFFSET($AM$3,0,0,'Données projet'!$E$10+1,1))-AVERAGE(OFFSET($H$3,0,0,'Données projet'!$E$10+1,1))</f>
        <v>475.47920969424894</v>
      </c>
      <c r="AO115" s="62">
        <f t="shared" si="90"/>
        <v>271.73544012419364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247.3723199999996</v>
      </c>
      <c r="BF115" s="14">
        <f t="shared" si="91"/>
        <v>60.022917171130942</v>
      </c>
      <c r="BG115" s="22">
        <f t="shared" si="61"/>
        <v>535.38003807305233</v>
      </c>
      <c r="BH115" s="62">
        <f t="shared" si="62"/>
        <v>828.7133714063857</v>
      </c>
      <c r="BI115" s="62">
        <f ca="1">AVERAGE(OFFSET($BH$3,0,0,'Données projet'!$E$11+1,1))-AVERAGE(OFFSET($H$3,0,0,'Données projet'!$E$11+1,1))</f>
        <v>428.8489304403459</v>
      </c>
      <c r="BJ115" s="62">
        <f t="shared" si="92"/>
        <v>247.01165577562966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-1.9895196601282805E-13</v>
      </c>
      <c r="BZ115" s="14">
        <f>BY115*VLOOKUP('Données projet'!$B$12,Paramètres!$A$1:$I$89,3,0)*VLOOKUP('Données projet'!$B$12,Paramètres!$A$1:$I$89,5,0)</f>
        <v>-1.6138983482960614E-13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236.22643401787644</v>
      </c>
      <c r="CE115" s="62">
        <f t="shared" si="94"/>
        <v>188.80444043778022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2.8421709430404007E-13</v>
      </c>
      <c r="CU115" s="18">
        <f>CT115*VLOOKUP('Données projet'!$B$13,Paramètres!$A$1:$I$89,3,0)*VLOOKUP('Données projet'!$B$13,Paramètres!$A$1:$I$89,5,0)</f>
        <v>1.3301360013429075E-13</v>
      </c>
      <c r="CV115" s="14">
        <f t="shared" si="95"/>
        <v>1.9329766731057041E-12</v>
      </c>
      <c r="CW115" s="22">
        <f t="shared" si="67"/>
        <v>3.5982663925596575E-12</v>
      </c>
      <c r="CX115" s="62">
        <f t="shared" si="68"/>
        <v>293.3333333333369</v>
      </c>
      <c r="CY115" s="62">
        <f ca="1">AVERAGE(OFFSET($CX$3,0,0,'Données projet'!$E$13+1,1))-AVERAGE(OFFSET($H$3,0,0,'Données projet'!$E$13+1,1))</f>
        <v>246.73711856758143</v>
      </c>
      <c r="CZ115" s="62">
        <f t="shared" si="96"/>
        <v>145.54897745089966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2.8846153846153868</v>
      </c>
      <c r="DO115" s="13">
        <f>IF('Données projet'!$A$166&gt;35,DO114+DN115-DW114,IF(A115&lt;'Données projet'!$A$166,$DL$205^A115,IF(A115='Données projet'!$A$166,'Données projet'!$B$166,DO114+DN115-DW114)))</f>
        <v>307.69230769230728</v>
      </c>
      <c r="DP115" s="18">
        <f>DO115*VLOOKUP('Données projet'!$B$14,Paramètres!$A$1:$I$89,3,0)*VLOOKUP('Données projet'!$B$14,Paramètres!$A$1:$I$89,5,0)</f>
        <v>321.59999999999962</v>
      </c>
      <c r="DQ115" s="14">
        <f t="shared" si="97"/>
        <v>75.686168081957248</v>
      </c>
      <c r="DR115" s="22">
        <f t="shared" si="70"/>
        <v>691.94007607607489</v>
      </c>
      <c r="DS115" s="62">
        <f t="shared" si="71"/>
        <v>985.27340940940826</v>
      </c>
      <c r="DT115" s="62">
        <f ca="1">AVERAGE(OFFSET($DS$3,0,0,'Données projet'!$E$14+1,1))-AVERAGE(OFFSET($H$3,0,0,'Données projet'!$E$14+1,1))</f>
        <v>493.70175665335978</v>
      </c>
      <c r="DU115" s="62">
        <f t="shared" si="98"/>
        <v>325.12357781685949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-1.7053025658242404E-13</v>
      </c>
      <c r="EK115" s="18">
        <f>EJ115*VLOOKUP('Données projet'!$B$15,Paramètres!$A$1:$I$89,3,0)*VLOOKUP('Données projet'!$B$15,Paramètres!$A$1:$I$89,5,0)</f>
        <v>-1.4897523215040567E-13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202.86354781280403</v>
      </c>
      <c r="EP115" s="62">
        <f t="shared" si="100"/>
        <v>217.25323885665131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2.7564102564102568</v>
      </c>
      <c r="FE115" s="13">
        <f>IF('Données projet'!$A$218&gt;35,FE114+FD115-FM114,IF(A115&lt;'Données projet'!$A$218,$FB$205^A115,IF(A115='Données projet'!$A$218,'Données projet'!$B$218,FE114+FD115-FM114)))</f>
        <v>229.23076923076911</v>
      </c>
      <c r="FF115" s="18">
        <f>FE115*VLOOKUP('Données projet'!$B$16,Paramètres!$A$1:$I$89,3,0)*VLOOKUP('Données projet'!$B$16,Paramètres!$A$1:$I$89,5,0)</f>
        <v>218.13599999999991</v>
      </c>
      <c r="FG115" s="14">
        <f t="shared" si="101"/>
        <v>53.709554122184592</v>
      </c>
      <c r="FH115" s="22">
        <f t="shared" si="76"/>
        <v>473.46434009613796</v>
      </c>
      <c r="FI115" s="62">
        <f t="shared" si="77"/>
        <v>766.79767342947127</v>
      </c>
      <c r="FJ115" s="62">
        <f ca="1">AVERAGE(OFFSET($FI$3,0,0,'Données projet'!$E$16+1,1))-AVERAGE(OFFSET($H$3,0,0,'Données projet'!$E$16+1,1))</f>
        <v>353.61481736740694</v>
      </c>
      <c r="FK115" s="62">
        <f t="shared" si="102"/>
        <v>244.7141066773861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3</v>
      </c>
      <c r="FZ115" s="13">
        <f>IF('Données projet'!$A$244&gt;35,FZ114+FY115-GH114,IF(A115&lt;'Données projet'!$A$244,$FW$205^A115,IF(A115='Données projet'!$A$244,'Données projet'!$B$244,FZ114+FY115-GH114)))</f>
        <v>187.00000000000006</v>
      </c>
      <c r="GA115" s="18">
        <f>FZ115*VLOOKUP('Données projet'!$B$17,Paramètres!$A$1:$I$89,3,0)*VLOOKUP('Données projet'!$B$17,Paramètres!$A$1:$I$89,5,0)</f>
        <v>201.28680000000006</v>
      </c>
      <c r="GB115" s="14">
        <f t="shared" si="103"/>
        <v>50.026861773677666</v>
      </c>
      <c r="GC115" s="22">
        <f t="shared" si="79"/>
        <v>437.70462758915534</v>
      </c>
      <c r="GD115" s="62">
        <f t="shared" si="80"/>
        <v>731.03796092248865</v>
      </c>
      <c r="GE115" s="62">
        <f ca="1">AVERAGE(OFFSET($GD$3,0,0,'Données projet'!$E$17+1,1))-AVERAGE(OFFSET($H$3,0,0,'Données projet'!$E$17+1,1))</f>
        <v>280.20599015000306</v>
      </c>
      <c r="GF115" s="62">
        <f t="shared" si="104"/>
        <v>166.97658184507787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-5.6843418860808015E-14</v>
      </c>
      <c r="GV115" s="18">
        <f>GU115*VLOOKUP('Données projet'!$B$18,Paramètres!$A$1:$I$89,3,0)*VLOOKUP('Données projet'!$B$18,Paramètres!$A$1:$I$89,5,0)</f>
        <v>-3.813056537183002E-14</v>
      </c>
      <c r="GW115" s="14" t="e">
        <f t="shared" si="105"/>
        <v>#NUM!</v>
      </c>
      <c r="GX115" s="22" t="e">
        <f t="shared" si="82"/>
        <v>#NUM!</v>
      </c>
      <c r="GY115" s="62" t="e">
        <f t="shared" si="83"/>
        <v>#NUM!</v>
      </c>
      <c r="GZ115" s="62">
        <f ca="1">AVERAGE(OFFSET($GY$3,0,0,'Données projet'!$E$18+1,1))-AVERAGE(OFFSET($H$3,0,0,'Données projet'!$E$18+1,1))</f>
        <v>291.18686311753402</v>
      </c>
      <c r="HA115" s="62">
        <f t="shared" si="106"/>
        <v>215.44422413249839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9">
        <f t="shared" si="56"/>
        <v>256.66666666666669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260.02504691866199</v>
      </c>
      <c r="T116" s="62">
        <f t="shared" si="88"/>
        <v>270.11268336406368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1.9341465248344771</v>
      </c>
      <c r="AA116" s="23">
        <f>EXP(-LN(2)/25)*AA115+(1-EXP(-LN(2)/25))/(LN(2)/25)*Calculateur!V116*Calculateur!X116*VLOOKUP('Données projet'!$B$9,Paramètres!$A$1:$I$89,3,0)*0.475*44/12</f>
        <v>1.6458018129370326</v>
      </c>
      <c r="AB116" s="23">
        <f>EXP(-LN(2)/2)*AB115+(1-EXP(-LN(2)/2))/(LN(2)/2)*V116*Y116*VLOOKUP('Données projet'!$B$9,Paramètres!$A$1:$I$89,3,0)*0.475*44/12</f>
        <v>2.0386457332827505E-12</v>
      </c>
      <c r="AC116" s="24">
        <f t="shared" si="57"/>
        <v>3.5799483377735486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2">
        <f t="shared" si="59"/>
        <v>899.70040428847165</v>
      </c>
      <c r="AN116" s="62">
        <f ca="1">AVERAGE(OFFSET($AM$3,0,0,'Données projet'!$E$10+1,1))-AVERAGE(OFFSET($H$3,0,0,'Données projet'!$E$10+1,1))</f>
        <v>475.47920969424894</v>
      </c>
      <c r="AO116" s="62">
        <f t="shared" si="90"/>
        <v>271.73544012419364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250.7200799999996</v>
      </c>
      <c r="BF116" s="14">
        <f t="shared" si="91"/>
        <v>60.740109326032709</v>
      </c>
      <c r="BG116" s="22">
        <f t="shared" si="61"/>
        <v>542.45982974283959</v>
      </c>
      <c r="BH116" s="62">
        <f t="shared" si="62"/>
        <v>835.79316307617296</v>
      </c>
      <c r="BI116" s="62">
        <f ca="1">AVERAGE(OFFSET($BH$3,0,0,'Données projet'!$E$11+1,1))-AVERAGE(OFFSET($H$3,0,0,'Données projet'!$E$11+1,1))</f>
        <v>428.8489304403459</v>
      </c>
      <c r="BJ116" s="62">
        <f t="shared" si="92"/>
        <v>247.01165577562966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-1.9895196601282805E-13</v>
      </c>
      <c r="BZ116" s="14">
        <f>BY116*VLOOKUP('Données projet'!$B$12,Paramètres!$A$1:$I$89,3,0)*VLOOKUP('Données projet'!$B$12,Paramètres!$A$1:$I$89,5,0)</f>
        <v>-1.6138983482960614E-13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236.22643401787644</v>
      </c>
      <c r="CE116" s="62">
        <f t="shared" si="94"/>
        <v>188.80444043778022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2.8421709430404007E-13</v>
      </c>
      <c r="CU116" s="18">
        <f>CT116*VLOOKUP('Données projet'!$B$13,Paramètres!$A$1:$I$89,3,0)*VLOOKUP('Données projet'!$B$13,Paramètres!$A$1:$I$89,5,0)</f>
        <v>1.3301360013429075E-13</v>
      </c>
      <c r="CV116" s="14">
        <f t="shared" si="95"/>
        <v>1.9329766731057041E-12</v>
      </c>
      <c r="CW116" s="22">
        <f t="shared" si="67"/>
        <v>3.5982663925596575E-12</v>
      </c>
      <c r="CX116" s="62">
        <f t="shared" si="68"/>
        <v>293.3333333333369</v>
      </c>
      <c r="CY116" s="62">
        <f ca="1">AVERAGE(OFFSET($CX$3,0,0,'Données projet'!$E$13+1,1))-AVERAGE(OFFSET($H$3,0,0,'Données projet'!$E$13+1,1))</f>
        <v>246.73711856758143</v>
      </c>
      <c r="CZ116" s="62">
        <f t="shared" si="96"/>
        <v>145.54897745089966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2.8846153846153868</v>
      </c>
      <c r="DO116" s="13">
        <f>IF('Données projet'!$A$166&gt;35,DO115+DN116-DW115,IF(A116&lt;'Données projet'!$A$166,$DL$205^A116,IF(A116='Données projet'!$A$166,'Données projet'!$B$166,DO115+DN116-DW115)))</f>
        <v>310.57692307692264</v>
      </c>
      <c r="DP116" s="18">
        <f>DO116*VLOOKUP('Données projet'!$B$14,Paramètres!$A$1:$I$89,3,0)*VLOOKUP('Données projet'!$B$14,Paramètres!$A$1:$I$89,5,0)</f>
        <v>324.61499999999955</v>
      </c>
      <c r="DQ116" s="14">
        <f t="shared" si="97"/>
        <v>76.312792476440805</v>
      </c>
      <c r="DR116" s="22">
        <f t="shared" si="70"/>
        <v>698.28257189646683</v>
      </c>
      <c r="DS116" s="62">
        <f t="shared" si="71"/>
        <v>991.61590522980009</v>
      </c>
      <c r="DT116" s="62">
        <f ca="1">AVERAGE(OFFSET($DS$3,0,0,'Données projet'!$E$14+1,1))-AVERAGE(OFFSET($H$3,0,0,'Données projet'!$E$14+1,1))</f>
        <v>493.70175665335978</v>
      </c>
      <c r="DU116" s="62">
        <f t="shared" si="98"/>
        <v>325.12357781685949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-1.7053025658242404E-13</v>
      </c>
      <c r="EK116" s="18">
        <f>EJ116*VLOOKUP('Données projet'!$B$15,Paramètres!$A$1:$I$89,3,0)*VLOOKUP('Données projet'!$B$15,Paramètres!$A$1:$I$89,5,0)</f>
        <v>-1.4897523215040567E-13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202.86354781280403</v>
      </c>
      <c r="EP116" s="62">
        <f t="shared" si="100"/>
        <v>217.25323885665131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2.7564102564102568</v>
      </c>
      <c r="FE116" s="13">
        <f>IF('Données projet'!$A$218&gt;35,FE115+FD116-FM115,IF(A116&lt;'Données projet'!$A$218,$FB$205^A116,IF(A116='Données projet'!$A$218,'Données projet'!$B$218,FE115+FD116-FM115)))</f>
        <v>231.98717948717936</v>
      </c>
      <c r="FF116" s="18">
        <f>FE116*VLOOKUP('Données projet'!$B$16,Paramètres!$A$1:$I$89,3,0)*VLOOKUP('Données projet'!$B$16,Paramètres!$A$1:$I$89,5,0)</f>
        <v>220.75899999999987</v>
      </c>
      <c r="FG116" s="14">
        <f t="shared" si="101"/>
        <v>54.279817539670319</v>
      </c>
      <c r="FH116" s="22">
        <f t="shared" si="76"/>
        <v>479.02594054825886</v>
      </c>
      <c r="FI116" s="62">
        <f t="shared" si="77"/>
        <v>772.35927388159212</v>
      </c>
      <c r="FJ116" s="62">
        <f ca="1">AVERAGE(OFFSET($FI$3,0,0,'Données projet'!$E$16+1,1))-AVERAGE(OFFSET($H$3,0,0,'Données projet'!$E$16+1,1))</f>
        <v>353.61481736740694</v>
      </c>
      <c r="FK116" s="62">
        <f t="shared" si="102"/>
        <v>244.7141066773861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3</v>
      </c>
      <c r="FZ116" s="13">
        <f>IF('Données projet'!$A$244&gt;35,FZ115+FY116-GH115,IF(A116&lt;'Données projet'!$A$244,$FW$205^A116,IF(A116='Données projet'!$A$244,'Données projet'!$B$244,FZ115+FY116-GH115)))</f>
        <v>190.00000000000006</v>
      </c>
      <c r="GA116" s="18">
        <f>FZ116*VLOOKUP('Données projet'!$B$17,Paramètres!$A$1:$I$89,3,0)*VLOOKUP('Données projet'!$B$17,Paramètres!$A$1:$I$89,5,0)</f>
        <v>204.51600000000005</v>
      </c>
      <c r="GB116" s="14">
        <f t="shared" si="103"/>
        <v>50.735354396355888</v>
      </c>
      <c r="GC116" s="22">
        <f t="shared" si="79"/>
        <v>444.5627755736532</v>
      </c>
      <c r="GD116" s="62">
        <f t="shared" si="80"/>
        <v>737.89610890698646</v>
      </c>
      <c r="GE116" s="62">
        <f ca="1">AVERAGE(OFFSET($GD$3,0,0,'Données projet'!$E$17+1,1))-AVERAGE(OFFSET($H$3,0,0,'Données projet'!$E$17+1,1))</f>
        <v>280.20599015000306</v>
      </c>
      <c r="GF116" s="62">
        <f t="shared" si="104"/>
        <v>166.97658184507787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-5.6843418860808015E-14</v>
      </c>
      <c r="GV116" s="18">
        <f>GU116*VLOOKUP('Données projet'!$B$18,Paramètres!$A$1:$I$89,3,0)*VLOOKUP('Données projet'!$B$18,Paramètres!$A$1:$I$89,5,0)</f>
        <v>-3.813056537183002E-14</v>
      </c>
      <c r="GW116" s="14" t="e">
        <f t="shared" si="105"/>
        <v>#NUM!</v>
      </c>
      <c r="GX116" s="22" t="e">
        <f t="shared" si="82"/>
        <v>#NUM!</v>
      </c>
      <c r="GY116" s="62" t="e">
        <f t="shared" si="83"/>
        <v>#NUM!</v>
      </c>
      <c r="GZ116" s="62">
        <f ca="1">AVERAGE(OFFSET($GY$3,0,0,'Données projet'!$E$18+1,1))-AVERAGE(OFFSET($H$3,0,0,'Données projet'!$E$18+1,1))</f>
        <v>291.18686311753402</v>
      </c>
      <c r="HA116" s="62">
        <f t="shared" si="106"/>
        <v>215.44422413249839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9">
        <f t="shared" si="56"/>
        <v>256.66666666666669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260.02504691866199</v>
      </c>
      <c r="T117" s="62">
        <f t="shared" si="88"/>
        <v>270.11268336406368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1.8962190911953662</v>
      </c>
      <c r="AA117" s="23">
        <f>EXP(-LN(2)/25)*AA116+(1-EXP(-LN(2)/25))/(LN(2)/25)*Calculateur!V117*Calculateur!X117*VLOOKUP('Données projet'!$B$9,Paramètres!$A$1:$I$89,3,0)*0.475*44/12</f>
        <v>1.6007972758133138</v>
      </c>
      <c r="AB117" s="23">
        <f>EXP(-LN(2)/2)*AB116+(1-EXP(-LN(2)/2))/(LN(2)/2)*V117*Y117*VLOOKUP('Données projet'!$B$9,Paramètres!$A$1:$I$89,3,0)*0.475*44/12</f>
        <v>1.4415402224412546E-12</v>
      </c>
      <c r="AC117" s="24">
        <f t="shared" si="57"/>
        <v>3.4970163670101213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2">
        <f t="shared" si="59"/>
        <v>907.61406414075464</v>
      </c>
      <c r="AN117" s="62">
        <f ca="1">AVERAGE(OFFSET($AM$3,0,0,'Données projet'!$E$10+1,1))-AVERAGE(OFFSET($H$3,0,0,'Données projet'!$E$10+1,1))</f>
        <v>475.47920969424894</v>
      </c>
      <c r="AO117" s="62">
        <f t="shared" si="90"/>
        <v>271.73544012419364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254.06783999999956</v>
      </c>
      <c r="BF117" s="14">
        <f t="shared" si="91"/>
        <v>61.456187622750669</v>
      </c>
      <c r="BG117" s="22">
        <f t="shared" si="61"/>
        <v>549.53768144295657</v>
      </c>
      <c r="BH117" s="62">
        <f t="shared" si="62"/>
        <v>842.87101477628994</v>
      </c>
      <c r="BI117" s="62">
        <f ca="1">AVERAGE(OFFSET($BH$3,0,0,'Données projet'!$E$11+1,1))-AVERAGE(OFFSET($H$3,0,0,'Données projet'!$E$11+1,1))</f>
        <v>428.8489304403459</v>
      </c>
      <c r="BJ117" s="62">
        <f t="shared" si="92"/>
        <v>247.01165577562966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-1.9895196601282805E-13</v>
      </c>
      <c r="BZ117" s="14">
        <f>BY117*VLOOKUP('Données projet'!$B$12,Paramètres!$A$1:$I$89,3,0)*VLOOKUP('Données projet'!$B$12,Paramètres!$A$1:$I$89,5,0)</f>
        <v>-1.6138983482960614E-13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236.22643401787644</v>
      </c>
      <c r="CE117" s="62">
        <f t="shared" si="94"/>
        <v>188.80444043778022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2.8421709430404007E-13</v>
      </c>
      <c r="CU117" s="18">
        <f>CT117*VLOOKUP('Données projet'!$B$13,Paramètres!$A$1:$I$89,3,0)*VLOOKUP('Données projet'!$B$13,Paramètres!$A$1:$I$89,5,0)</f>
        <v>1.3301360013429075E-13</v>
      </c>
      <c r="CV117" s="14">
        <f t="shared" si="95"/>
        <v>1.9329766731057041E-12</v>
      </c>
      <c r="CW117" s="22">
        <f t="shared" si="67"/>
        <v>3.5982663925596575E-12</v>
      </c>
      <c r="CX117" s="62">
        <f t="shared" si="68"/>
        <v>293.3333333333369</v>
      </c>
      <c r="CY117" s="62">
        <f ca="1">AVERAGE(OFFSET($CX$3,0,0,'Données projet'!$E$13+1,1))-AVERAGE(OFFSET($H$3,0,0,'Données projet'!$E$13+1,1))</f>
        <v>246.73711856758143</v>
      </c>
      <c r="CZ117" s="62">
        <f t="shared" si="96"/>
        <v>145.54897745089966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2.8846153846153868</v>
      </c>
      <c r="DO117" s="13">
        <f>IF('Données projet'!$A$166&gt;35,DO116+DN117-DW116,IF(A117&lt;'Données projet'!$A$166,$DL$205^A117,IF(A117='Données projet'!$A$166,'Données projet'!$B$166,DO116+DN117-DW116)))</f>
        <v>313.461538461538</v>
      </c>
      <c r="DP117" s="18">
        <f>DO117*VLOOKUP('Données projet'!$B$14,Paramètres!$A$1:$I$89,3,0)*VLOOKUP('Données projet'!$B$14,Paramètres!$A$1:$I$89,5,0)</f>
        <v>327.62999999999954</v>
      </c>
      <c r="DQ117" s="14">
        <f t="shared" si="97"/>
        <v>76.938739773947404</v>
      </c>
      <c r="DR117" s="22">
        <f t="shared" si="70"/>
        <v>704.62388843962435</v>
      </c>
      <c r="DS117" s="62">
        <f t="shared" si="71"/>
        <v>997.95722177295761</v>
      </c>
      <c r="DT117" s="62">
        <f ca="1">AVERAGE(OFFSET($DS$3,0,0,'Données projet'!$E$14+1,1))-AVERAGE(OFFSET($H$3,0,0,'Données projet'!$E$14+1,1))</f>
        <v>493.70175665335978</v>
      </c>
      <c r="DU117" s="62">
        <f t="shared" si="98"/>
        <v>325.12357781685949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-1.7053025658242404E-13</v>
      </c>
      <c r="EK117" s="18">
        <f>EJ117*VLOOKUP('Données projet'!$B$15,Paramètres!$A$1:$I$89,3,0)*VLOOKUP('Données projet'!$B$15,Paramètres!$A$1:$I$89,5,0)</f>
        <v>-1.4897523215040567E-13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202.86354781280403</v>
      </c>
      <c r="EP117" s="62">
        <f t="shared" si="100"/>
        <v>217.25323885665131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2.7564102564102568</v>
      </c>
      <c r="FE117" s="13">
        <f>IF('Données projet'!$A$218&gt;35,FE116+FD117-FM116,IF(A117&lt;'Données projet'!$A$218,$FB$205^A117,IF(A117='Données projet'!$A$218,'Données projet'!$B$218,FE116+FD117-FM116)))</f>
        <v>234.74358974358961</v>
      </c>
      <c r="FF117" s="18">
        <f>FE117*VLOOKUP('Données projet'!$B$16,Paramètres!$A$1:$I$89,3,0)*VLOOKUP('Données projet'!$B$16,Paramètres!$A$1:$I$89,5,0)</f>
        <v>223.38199999999986</v>
      </c>
      <c r="FG117" s="14">
        <f t="shared" si="101"/>
        <v>54.849292789000252</v>
      </c>
      <c r="FH117" s="22">
        <f t="shared" si="76"/>
        <v>484.58616827417518</v>
      </c>
      <c r="FI117" s="62">
        <f t="shared" si="77"/>
        <v>777.91950160750844</v>
      </c>
      <c r="FJ117" s="62">
        <f ca="1">AVERAGE(OFFSET($FI$3,0,0,'Données projet'!$E$16+1,1))-AVERAGE(OFFSET($H$3,0,0,'Données projet'!$E$16+1,1))</f>
        <v>353.61481736740694</v>
      </c>
      <c r="FK117" s="62">
        <f t="shared" si="102"/>
        <v>244.7141066773861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3</v>
      </c>
      <c r="FZ117" s="13">
        <f>IF('Données projet'!$A$244&gt;35,FZ116+FY117-GH116,IF(A117&lt;'Données projet'!$A$244,$FW$205^A117,IF(A117='Données projet'!$A$244,'Données projet'!$B$244,FZ116+FY117-GH116)))</f>
        <v>193.00000000000006</v>
      </c>
      <c r="GA117" s="18">
        <f>FZ117*VLOOKUP('Données projet'!$B$17,Paramètres!$A$1:$I$89,3,0)*VLOOKUP('Données projet'!$B$17,Paramètres!$A$1:$I$89,5,0)</f>
        <v>207.74520000000004</v>
      </c>
      <c r="GB117" s="14">
        <f t="shared" si="103"/>
        <v>51.442546022877416</v>
      </c>
      <c r="GC117" s="22">
        <f t="shared" si="79"/>
        <v>451.41865765651147</v>
      </c>
      <c r="GD117" s="62">
        <f t="shared" si="80"/>
        <v>744.75199098984478</v>
      </c>
      <c r="GE117" s="62">
        <f ca="1">AVERAGE(OFFSET($GD$3,0,0,'Données projet'!$E$17+1,1))-AVERAGE(OFFSET($H$3,0,0,'Données projet'!$E$17+1,1))</f>
        <v>280.20599015000306</v>
      </c>
      <c r="GF117" s="62">
        <f t="shared" si="104"/>
        <v>166.97658184507787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-5.6843418860808015E-14</v>
      </c>
      <c r="GV117" s="18">
        <f>GU117*VLOOKUP('Données projet'!$B$18,Paramètres!$A$1:$I$89,3,0)*VLOOKUP('Données projet'!$B$18,Paramètres!$A$1:$I$89,5,0)</f>
        <v>-3.813056537183002E-14</v>
      </c>
      <c r="GW117" s="14" t="e">
        <f t="shared" si="105"/>
        <v>#NUM!</v>
      </c>
      <c r="GX117" s="22" t="e">
        <f t="shared" si="82"/>
        <v>#NUM!</v>
      </c>
      <c r="GY117" s="62" t="e">
        <f t="shared" si="83"/>
        <v>#NUM!</v>
      </c>
      <c r="GZ117" s="62">
        <f ca="1">AVERAGE(OFFSET($GY$3,0,0,'Données projet'!$E$18+1,1))-AVERAGE(OFFSET($H$3,0,0,'Données projet'!$E$18+1,1))</f>
        <v>291.18686311753402</v>
      </c>
      <c r="HA117" s="62">
        <f t="shared" si="106"/>
        <v>215.44422413249839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9">
        <f t="shared" si="56"/>
        <v>256.66666666666669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260.02504691866199</v>
      </c>
      <c r="T118" s="62">
        <f t="shared" si="88"/>
        <v>270.11268336406368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1.8590353913964681</v>
      </c>
      <c r="AA118" s="23">
        <f>EXP(-LN(2)/25)*AA117+(1-EXP(-LN(2)/25))/(LN(2)/25)*Calculateur!V118*Calculateur!X118*VLOOKUP('Données projet'!$B$9,Paramètres!$A$1:$I$89,3,0)*0.475*44/12</f>
        <v>1.5570233901239285</v>
      </c>
      <c r="AB118" s="23">
        <f>EXP(-LN(2)/2)*AB117+(1-EXP(-LN(2)/2))/(LN(2)/2)*V118*Y118*VLOOKUP('Données projet'!$B$9,Paramètres!$A$1:$I$89,3,0)*0.475*44/12</f>
        <v>1.0193228666413752E-12</v>
      </c>
      <c r="AC118" s="24">
        <f t="shared" si="57"/>
        <v>3.4160587815214156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2">
        <f t="shared" si="59"/>
        <v>915.52561007230179</v>
      </c>
      <c r="AN118" s="62">
        <f ca="1">AVERAGE(OFFSET($AM$3,0,0,'Données projet'!$E$10+1,1))-AVERAGE(OFFSET($H$3,0,0,'Données projet'!$E$10+1,1))</f>
        <v>475.47920969424894</v>
      </c>
      <c r="AO118" s="62">
        <f t="shared" si="90"/>
        <v>271.73544012419364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257.41559999999959</v>
      </c>
      <c r="BF118" s="14">
        <f t="shared" si="91"/>
        <v>62.171168434977062</v>
      </c>
      <c r="BG118" s="22">
        <f t="shared" si="61"/>
        <v>556.61362169091774</v>
      </c>
      <c r="BH118" s="62">
        <f t="shared" si="62"/>
        <v>849.94695502425111</v>
      </c>
      <c r="BI118" s="62">
        <f ca="1">AVERAGE(OFFSET($BH$3,0,0,'Données projet'!$E$11+1,1))-AVERAGE(OFFSET($H$3,0,0,'Données projet'!$E$11+1,1))</f>
        <v>428.8489304403459</v>
      </c>
      <c r="BJ118" s="62">
        <f t="shared" si="92"/>
        <v>247.01165577562966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-1.9895196601282805E-13</v>
      </c>
      <c r="BZ118" s="14">
        <f>BY118*VLOOKUP('Données projet'!$B$12,Paramètres!$A$1:$I$89,3,0)*VLOOKUP('Données projet'!$B$12,Paramètres!$A$1:$I$89,5,0)</f>
        <v>-1.6138983482960614E-13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236.22643401787644</v>
      </c>
      <c r="CE118" s="62">
        <f t="shared" si="94"/>
        <v>188.80444043778022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2.8421709430404007E-13</v>
      </c>
      <c r="CU118" s="18">
        <f>CT118*VLOOKUP('Données projet'!$B$13,Paramètres!$A$1:$I$89,3,0)*VLOOKUP('Données projet'!$B$13,Paramètres!$A$1:$I$89,5,0)</f>
        <v>1.3301360013429075E-13</v>
      </c>
      <c r="CV118" s="14">
        <f t="shared" si="95"/>
        <v>1.9329766731057041E-12</v>
      </c>
      <c r="CW118" s="22">
        <f t="shared" si="67"/>
        <v>3.5982663925596575E-12</v>
      </c>
      <c r="CX118" s="62">
        <f t="shared" si="68"/>
        <v>293.3333333333369</v>
      </c>
      <c r="CY118" s="62">
        <f ca="1">AVERAGE(OFFSET($CX$3,0,0,'Données projet'!$E$13+1,1))-AVERAGE(OFFSET($H$3,0,0,'Données projet'!$E$13+1,1))</f>
        <v>246.73711856758143</v>
      </c>
      <c r="CZ118" s="62">
        <f t="shared" si="96"/>
        <v>145.54897745089966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2.8846153846153868</v>
      </c>
      <c r="DO118" s="13">
        <f>IF('Données projet'!$A$166&gt;35,DO117+DN118-DW117,IF(A118&lt;'Données projet'!$A$166,$DL$205^A118,IF(A118='Données projet'!$A$166,'Données projet'!$B$166,DO117+DN118-DW117)))</f>
        <v>316.34615384615336</v>
      </c>
      <c r="DP118" s="18">
        <f>DO118*VLOOKUP('Données projet'!$B$14,Paramètres!$A$1:$I$89,3,0)*VLOOKUP('Données projet'!$B$14,Paramètres!$A$1:$I$89,5,0)</f>
        <v>330.64499999999953</v>
      </c>
      <c r="DQ118" s="14">
        <f t="shared" si="97"/>
        <v>77.564016927186358</v>
      </c>
      <c r="DR118" s="22">
        <f t="shared" si="70"/>
        <v>710.96403781484867</v>
      </c>
      <c r="DS118" s="62">
        <f t="shared" si="71"/>
        <v>1004.297371148182</v>
      </c>
      <c r="DT118" s="62">
        <f ca="1">AVERAGE(OFFSET($DS$3,0,0,'Données projet'!$E$14+1,1))-AVERAGE(OFFSET($H$3,0,0,'Données projet'!$E$14+1,1))</f>
        <v>493.70175665335978</v>
      </c>
      <c r="DU118" s="62">
        <f t="shared" si="98"/>
        <v>325.12357781685949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-1.7053025658242404E-13</v>
      </c>
      <c r="EK118" s="18">
        <f>EJ118*VLOOKUP('Données projet'!$B$15,Paramètres!$A$1:$I$89,3,0)*VLOOKUP('Données projet'!$B$15,Paramètres!$A$1:$I$89,5,0)</f>
        <v>-1.4897523215040567E-13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202.86354781280403</v>
      </c>
      <c r="EP118" s="62">
        <f t="shared" si="100"/>
        <v>217.25323885665131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2.7564102564102568</v>
      </c>
      <c r="FE118" s="13">
        <f>IF('Données projet'!$A$218&gt;35,FE117+FD118-FM117,IF(A118&lt;'Données projet'!$A$218,$FB$205^A118,IF(A118='Données projet'!$A$218,'Données projet'!$B$218,FE117+FD118-FM117)))</f>
        <v>237.49999999999986</v>
      </c>
      <c r="FF118" s="18">
        <f>FE118*VLOOKUP('Données projet'!$B$16,Paramètres!$A$1:$I$89,3,0)*VLOOKUP('Données projet'!$B$16,Paramètres!$A$1:$I$89,5,0)</f>
        <v>226.00499999999988</v>
      </c>
      <c r="FG118" s="14">
        <f t="shared" si="101"/>
        <v>55.417990195699112</v>
      </c>
      <c r="FH118" s="22">
        <f t="shared" si="76"/>
        <v>490.14504125750909</v>
      </c>
      <c r="FI118" s="62">
        <f t="shared" si="77"/>
        <v>783.47837459084235</v>
      </c>
      <c r="FJ118" s="62">
        <f ca="1">AVERAGE(OFFSET($FI$3,0,0,'Données projet'!$E$16+1,1))-AVERAGE(OFFSET($H$3,0,0,'Données projet'!$E$16+1,1))</f>
        <v>353.61481736740694</v>
      </c>
      <c r="FK118" s="62">
        <f t="shared" si="102"/>
        <v>244.7141066773861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3</v>
      </c>
      <c r="FZ118" s="13">
        <f>IF('Données projet'!$A$244&gt;35,FZ117+FY118-GH117,IF(A118&lt;'Données projet'!$A$244,$FW$205^A118,IF(A118='Données projet'!$A$244,'Données projet'!$B$244,FZ117+FY118-GH117)))</f>
        <v>196.00000000000006</v>
      </c>
      <c r="GA118" s="18">
        <f>FZ118*VLOOKUP('Données projet'!$B$17,Paramètres!$A$1:$I$89,3,0)*VLOOKUP('Données projet'!$B$17,Paramètres!$A$1:$I$89,5,0)</f>
        <v>210.97440000000006</v>
      </c>
      <c r="GB118" s="14">
        <f t="shared" si="103"/>
        <v>52.148459211324706</v>
      </c>
      <c r="GC118" s="22">
        <f t="shared" si="79"/>
        <v>458.27231312639066</v>
      </c>
      <c r="GD118" s="62">
        <f t="shared" si="80"/>
        <v>751.60564645972397</v>
      </c>
      <c r="GE118" s="62">
        <f ca="1">AVERAGE(OFFSET($GD$3,0,0,'Données projet'!$E$17+1,1))-AVERAGE(OFFSET($H$3,0,0,'Données projet'!$E$17+1,1))</f>
        <v>280.20599015000306</v>
      </c>
      <c r="GF118" s="62">
        <f t="shared" si="104"/>
        <v>166.97658184507787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-5.6843418860808015E-14</v>
      </c>
      <c r="GV118" s="18">
        <f>GU118*VLOOKUP('Données projet'!$B$18,Paramètres!$A$1:$I$89,3,0)*VLOOKUP('Données projet'!$B$18,Paramètres!$A$1:$I$89,5,0)</f>
        <v>-3.813056537183002E-14</v>
      </c>
      <c r="GW118" s="14" t="e">
        <f t="shared" si="105"/>
        <v>#NUM!</v>
      </c>
      <c r="GX118" s="22" t="e">
        <f t="shared" si="82"/>
        <v>#NUM!</v>
      </c>
      <c r="GY118" s="62" t="e">
        <f t="shared" si="83"/>
        <v>#NUM!</v>
      </c>
      <c r="GZ118" s="62">
        <f ca="1">AVERAGE(OFFSET($GY$3,0,0,'Données projet'!$E$18+1,1))-AVERAGE(OFFSET($H$3,0,0,'Données projet'!$E$18+1,1))</f>
        <v>291.18686311753402</v>
      </c>
      <c r="HA118" s="62">
        <f t="shared" si="106"/>
        <v>215.44422413249839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9">
        <f t="shared" si="56"/>
        <v>256.66666666666669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260.02504691866199</v>
      </c>
      <c r="T119" s="62">
        <f t="shared" si="88"/>
        <v>270.11268336406368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1.8225808412708089</v>
      </c>
      <c r="AA119" s="23">
        <f>EXP(-LN(2)/25)*AA118+(1-EXP(-LN(2)/25))/(LN(2)/25)*Calculateur!V119*Calculateur!X119*VLOOKUP('Données projet'!$B$9,Paramètres!$A$1:$I$89,3,0)*0.475*44/12</f>
        <v>1.5144465036406882</v>
      </c>
      <c r="AB119" s="23">
        <f>EXP(-LN(2)/2)*AB118+(1-EXP(-LN(2)/2))/(LN(2)/2)*V119*Y119*VLOOKUP('Données projet'!$B$9,Paramètres!$A$1:$I$89,3,0)*0.475*44/12</f>
        <v>7.2077011122062728E-13</v>
      </c>
      <c r="AC119" s="24">
        <f t="shared" si="57"/>
        <v>3.3370273449122179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2">
        <f t="shared" si="59"/>
        <v>923.43507275383013</v>
      </c>
      <c r="AN119" s="62">
        <f ca="1">AVERAGE(OFFSET($AM$3,0,0,'Données projet'!$E$10+1,1))-AVERAGE(OFFSET($H$3,0,0,'Données projet'!$E$10+1,1))</f>
        <v>475.47920969424894</v>
      </c>
      <c r="AO119" s="62">
        <f t="shared" si="90"/>
        <v>271.73544012419364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260.76335999999958</v>
      </c>
      <c r="BF119" s="14">
        <f t="shared" si="91"/>
        <v>62.885067686031896</v>
      </c>
      <c r="BG119" s="22">
        <f t="shared" si="61"/>
        <v>563.68767821983818</v>
      </c>
      <c r="BH119" s="62">
        <f t="shared" si="62"/>
        <v>857.02101155317155</v>
      </c>
      <c r="BI119" s="62">
        <f ca="1">AVERAGE(OFFSET($BH$3,0,0,'Données projet'!$E$11+1,1))-AVERAGE(OFFSET($H$3,0,0,'Données projet'!$E$11+1,1))</f>
        <v>428.8489304403459</v>
      </c>
      <c r="BJ119" s="62">
        <f t="shared" si="92"/>
        <v>247.01165577562966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-1.9895196601282805E-13</v>
      </c>
      <c r="BZ119" s="14">
        <f>BY119*VLOOKUP('Données projet'!$B$12,Paramètres!$A$1:$I$89,3,0)*VLOOKUP('Données projet'!$B$12,Paramètres!$A$1:$I$89,5,0)</f>
        <v>-1.6138983482960614E-13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236.22643401787644</v>
      </c>
      <c r="CE119" s="62">
        <f t="shared" si="94"/>
        <v>188.80444043778022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2.8421709430404007E-13</v>
      </c>
      <c r="CU119" s="18">
        <f>CT119*VLOOKUP('Données projet'!$B$13,Paramètres!$A$1:$I$89,3,0)*VLOOKUP('Données projet'!$B$13,Paramètres!$A$1:$I$89,5,0)</f>
        <v>1.3301360013429075E-13</v>
      </c>
      <c r="CV119" s="14">
        <f t="shared" si="95"/>
        <v>1.9329766731057041E-12</v>
      </c>
      <c r="CW119" s="22">
        <f t="shared" si="67"/>
        <v>3.5982663925596575E-12</v>
      </c>
      <c r="CX119" s="62">
        <f t="shared" si="68"/>
        <v>293.3333333333369</v>
      </c>
      <c r="CY119" s="62">
        <f ca="1">AVERAGE(OFFSET($CX$3,0,0,'Données projet'!$E$13+1,1))-AVERAGE(OFFSET($H$3,0,0,'Données projet'!$E$13+1,1))</f>
        <v>246.73711856758143</v>
      </c>
      <c r="CZ119" s="62">
        <f t="shared" si="96"/>
        <v>145.54897745089966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2.8846153846153868</v>
      </c>
      <c r="DO119" s="13">
        <f>IF('Données projet'!$A$166&gt;35,DO118+DN119-DW118,IF(A119&lt;'Données projet'!$A$166,$DL$205^A119,IF(A119='Données projet'!$A$166,'Données projet'!$B$166,DO118+DN119-DW118)))</f>
        <v>319.23076923076871</v>
      </c>
      <c r="DP119" s="18">
        <f>DO119*VLOOKUP('Données projet'!$B$14,Paramètres!$A$1:$I$89,3,0)*VLOOKUP('Données projet'!$B$14,Paramètres!$A$1:$I$89,5,0)</f>
        <v>333.65999999999946</v>
      </c>
      <c r="DQ119" s="14">
        <f t="shared" si="97"/>
        <v>78.188630754756275</v>
      </c>
      <c r="DR119" s="22">
        <f t="shared" si="70"/>
        <v>717.30303189786616</v>
      </c>
      <c r="DS119" s="62">
        <f t="shared" si="71"/>
        <v>1010.6363652311995</v>
      </c>
      <c r="DT119" s="62">
        <f ca="1">AVERAGE(OFFSET($DS$3,0,0,'Données projet'!$E$14+1,1))-AVERAGE(OFFSET($H$3,0,0,'Données projet'!$E$14+1,1))</f>
        <v>493.70175665335978</v>
      </c>
      <c r="DU119" s="62">
        <f t="shared" si="98"/>
        <v>325.12357781685949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-1.7053025658242404E-13</v>
      </c>
      <c r="EK119" s="18">
        <f>EJ119*VLOOKUP('Données projet'!$B$15,Paramètres!$A$1:$I$89,3,0)*VLOOKUP('Données projet'!$B$15,Paramètres!$A$1:$I$89,5,0)</f>
        <v>-1.4897523215040567E-13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202.86354781280403</v>
      </c>
      <c r="EP119" s="62">
        <f t="shared" si="100"/>
        <v>217.25323885665131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2.7564102564102568</v>
      </c>
      <c r="FE119" s="13">
        <f>IF('Données projet'!$A$218&gt;35,FE118+FD119-FM118,IF(A119&lt;'Données projet'!$A$218,$FB$205^A119,IF(A119='Données projet'!$A$218,'Données projet'!$B$218,FE118+FD119-FM118)))</f>
        <v>240.25641025641011</v>
      </c>
      <c r="FF119" s="18">
        <f>FE119*VLOOKUP('Données projet'!$B$16,Paramètres!$A$1:$I$89,3,0)*VLOOKUP('Données projet'!$B$16,Paramètres!$A$1:$I$89,5,0)</f>
        <v>228.62799999999987</v>
      </c>
      <c r="FG119" s="14">
        <f t="shared" si="101"/>
        <v>55.98591983182213</v>
      </c>
      <c r="FH119" s="22">
        <f t="shared" si="76"/>
        <v>495.70257704042325</v>
      </c>
      <c r="FI119" s="62">
        <f t="shared" si="77"/>
        <v>789.03591037375656</v>
      </c>
      <c r="FJ119" s="62">
        <f ca="1">AVERAGE(OFFSET($FI$3,0,0,'Données projet'!$E$16+1,1))-AVERAGE(OFFSET($H$3,0,0,'Données projet'!$E$16+1,1))</f>
        <v>353.61481736740694</v>
      </c>
      <c r="FK119" s="62">
        <f t="shared" si="102"/>
        <v>244.7141066773861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3</v>
      </c>
      <c r="FZ119" s="13">
        <f>IF('Données projet'!$A$244&gt;35,FZ118+FY119-GH118,IF(A119&lt;'Données projet'!$A$244,$FW$205^A119,IF(A119='Données projet'!$A$244,'Données projet'!$B$244,FZ118+FY119-GH118)))</f>
        <v>199.00000000000006</v>
      </c>
      <c r="GA119" s="18">
        <f>FZ119*VLOOKUP('Données projet'!$B$17,Paramètres!$A$1:$I$89,3,0)*VLOOKUP('Données projet'!$B$17,Paramètres!$A$1:$I$89,5,0)</f>
        <v>214.20360000000005</v>
      </c>
      <c r="GB119" s="14">
        <f t="shared" si="103"/>
        <v>52.853115789602029</v>
      </c>
      <c r="GC119" s="22">
        <f t="shared" si="79"/>
        <v>465.12378000022363</v>
      </c>
      <c r="GD119" s="62">
        <f t="shared" si="80"/>
        <v>758.45711333355689</v>
      </c>
      <c r="GE119" s="62">
        <f ca="1">AVERAGE(OFFSET($GD$3,0,0,'Données projet'!$E$17+1,1))-AVERAGE(OFFSET($H$3,0,0,'Données projet'!$E$17+1,1))</f>
        <v>280.20599015000306</v>
      </c>
      <c r="GF119" s="62">
        <f t="shared" si="104"/>
        <v>166.97658184507787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-5.6843418860808015E-14</v>
      </c>
      <c r="GV119" s="18">
        <f>GU119*VLOOKUP('Données projet'!$B$18,Paramètres!$A$1:$I$89,3,0)*VLOOKUP('Données projet'!$B$18,Paramètres!$A$1:$I$89,5,0)</f>
        <v>-3.813056537183002E-14</v>
      </c>
      <c r="GW119" s="14" t="e">
        <f t="shared" si="105"/>
        <v>#NUM!</v>
      </c>
      <c r="GX119" s="22" t="e">
        <f t="shared" si="82"/>
        <v>#NUM!</v>
      </c>
      <c r="GY119" s="62" t="e">
        <f t="shared" si="83"/>
        <v>#NUM!</v>
      </c>
      <c r="GZ119" s="62">
        <f ca="1">AVERAGE(OFFSET($GY$3,0,0,'Données projet'!$E$18+1,1))-AVERAGE(OFFSET($H$3,0,0,'Données projet'!$E$18+1,1))</f>
        <v>291.18686311753402</v>
      </c>
      <c r="HA119" s="62">
        <f t="shared" si="106"/>
        <v>215.44422413249839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9">
        <f t="shared" si="56"/>
        <v>256.66666666666669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260.02504691866199</v>
      </c>
      <c r="T120" s="62">
        <f t="shared" si="88"/>
        <v>270.11268336406368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1.7868411426380337</v>
      </c>
      <c r="AA120" s="23">
        <f>EXP(-LN(2)/25)*AA119+(1-EXP(-LN(2)/25))/(LN(2)/25)*Calculateur!V120*Calculateur!X120*VLOOKUP('Données projet'!$B$9,Paramètres!$A$1:$I$89,3,0)*0.475*44/12</f>
        <v>1.4730338843573534</v>
      </c>
      <c r="AB120" s="23">
        <f>EXP(-LN(2)/2)*AB119+(1-EXP(-LN(2)/2))/(LN(2)/2)*V120*Y120*VLOOKUP('Données projet'!$B$9,Paramètres!$A$1:$I$89,3,0)*0.475*44/12</f>
        <v>5.0966143332068762E-13</v>
      </c>
      <c r="AC120" s="24">
        <f t="shared" si="57"/>
        <v>3.2598750269958972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2">
        <f t="shared" si="59"/>
        <v>931.34248202325739</v>
      </c>
      <c r="AN120" s="62">
        <f ca="1">AVERAGE(OFFSET($AM$3,0,0,'Données projet'!$E$10+1,1))-AVERAGE(OFFSET($H$3,0,0,'Données projet'!$E$10+1,1))</f>
        <v>475.47920969424894</v>
      </c>
      <c r="AO120" s="62">
        <f t="shared" si="90"/>
        <v>271.73544012419364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264.11111999999957</v>
      </c>
      <c r="BF120" s="14">
        <f t="shared" si="91"/>
        <v>63.597900866870546</v>
      </c>
      <c r="BG120" s="22">
        <f t="shared" si="61"/>
        <v>570.75987800979885</v>
      </c>
      <c r="BH120" s="62">
        <f t="shared" si="62"/>
        <v>864.09321134313223</v>
      </c>
      <c r="BI120" s="62">
        <f ca="1">AVERAGE(OFFSET($BH$3,0,0,'Données projet'!$E$11+1,1))-AVERAGE(OFFSET($H$3,0,0,'Données projet'!$E$11+1,1))</f>
        <v>428.8489304403459</v>
      </c>
      <c r="BJ120" s="62">
        <f t="shared" si="92"/>
        <v>247.01165577562966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-1.9895196601282805E-13</v>
      </c>
      <c r="BZ120" s="14">
        <f>BY120*VLOOKUP('Données projet'!$B$12,Paramètres!$A$1:$I$89,3,0)*VLOOKUP('Données projet'!$B$12,Paramètres!$A$1:$I$89,5,0)</f>
        <v>-1.6138983482960614E-13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236.22643401787644</v>
      </c>
      <c r="CE120" s="62">
        <f t="shared" si="94"/>
        <v>188.80444043778022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2.8421709430404007E-13</v>
      </c>
      <c r="CU120" s="18">
        <f>CT120*VLOOKUP('Données projet'!$B$13,Paramètres!$A$1:$I$89,3,0)*VLOOKUP('Données projet'!$B$13,Paramètres!$A$1:$I$89,5,0)</f>
        <v>1.3301360013429075E-13</v>
      </c>
      <c r="CV120" s="14">
        <f t="shared" si="95"/>
        <v>1.9329766731057041E-12</v>
      </c>
      <c r="CW120" s="22">
        <f t="shared" si="67"/>
        <v>3.5982663925596575E-12</v>
      </c>
      <c r="CX120" s="62">
        <f t="shared" si="68"/>
        <v>293.3333333333369</v>
      </c>
      <c r="CY120" s="62">
        <f ca="1">AVERAGE(OFFSET($CX$3,0,0,'Données projet'!$E$13+1,1))-AVERAGE(OFFSET($H$3,0,0,'Données projet'!$E$13+1,1))</f>
        <v>246.73711856758143</v>
      </c>
      <c r="CZ120" s="62">
        <f t="shared" si="96"/>
        <v>145.54897745089966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2.8846153846153868</v>
      </c>
      <c r="DO120" s="13">
        <f>IF('Données projet'!$A$166&gt;35,DO119+DN120-DW119,IF(A120&lt;'Données projet'!$A$166,$DL$205^A120,IF(A120='Données projet'!$A$166,'Données projet'!$B$166,DO119+DN120-DW119)))</f>
        <v>322.11538461538407</v>
      </c>
      <c r="DP120" s="18">
        <f>DO120*VLOOKUP('Données projet'!$B$14,Paramètres!$A$1:$I$89,3,0)*VLOOKUP('Données projet'!$B$14,Paramètres!$A$1:$I$89,5,0)</f>
        <v>336.67499999999944</v>
      </c>
      <c r="DQ120" s="14">
        <f t="shared" si="97"/>
        <v>78.8125879449194</v>
      </c>
      <c r="DR120" s="22">
        <f t="shared" si="70"/>
        <v>723.64088233740028</v>
      </c>
      <c r="DS120" s="62">
        <f t="shared" si="71"/>
        <v>1016.9742156707337</v>
      </c>
      <c r="DT120" s="62">
        <f ca="1">AVERAGE(OFFSET($DS$3,0,0,'Données projet'!$E$14+1,1))-AVERAGE(OFFSET($H$3,0,0,'Données projet'!$E$14+1,1))</f>
        <v>493.70175665335978</v>
      </c>
      <c r="DU120" s="62">
        <f t="shared" si="98"/>
        <v>325.12357781685949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-1.7053025658242404E-13</v>
      </c>
      <c r="EK120" s="18">
        <f>EJ120*VLOOKUP('Données projet'!$B$15,Paramètres!$A$1:$I$89,3,0)*VLOOKUP('Données projet'!$B$15,Paramètres!$A$1:$I$89,5,0)</f>
        <v>-1.4897523215040567E-13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202.86354781280403</v>
      </c>
      <c r="EP120" s="62">
        <f t="shared" si="100"/>
        <v>217.25323885665131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2.7564102564102568</v>
      </c>
      <c r="FE120" s="13">
        <f>IF('Données projet'!$A$218&gt;35,FE119+FD120-FM119,IF(A120&lt;'Données projet'!$A$218,$FB$205^A120,IF(A120='Données projet'!$A$218,'Données projet'!$B$218,FE119+FD120-FM119)))</f>
        <v>243.01282051282035</v>
      </c>
      <c r="FF120" s="18">
        <f>FE120*VLOOKUP('Données projet'!$B$16,Paramètres!$A$1:$I$89,3,0)*VLOOKUP('Données projet'!$B$16,Paramètres!$A$1:$I$89,5,0)</f>
        <v>231.25099999999983</v>
      </c>
      <c r="FG120" s="14">
        <f t="shared" si="101"/>
        <v>56.553091525012086</v>
      </c>
      <c r="FH120" s="22">
        <f t="shared" si="76"/>
        <v>501.2587927393958</v>
      </c>
      <c r="FI120" s="62">
        <f t="shared" si="77"/>
        <v>794.59212607272912</v>
      </c>
      <c r="FJ120" s="62">
        <f ca="1">AVERAGE(OFFSET($FI$3,0,0,'Données projet'!$E$16+1,1))-AVERAGE(OFFSET($H$3,0,0,'Données projet'!$E$16+1,1))</f>
        <v>353.61481736740694</v>
      </c>
      <c r="FK120" s="62">
        <f t="shared" si="102"/>
        <v>244.7141066773861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3</v>
      </c>
      <c r="FZ120" s="13">
        <f>IF('Données projet'!$A$244&gt;35,FZ119+FY120-GH119,IF(A120&lt;'Données projet'!$A$244,$FW$205^A120,IF(A120='Données projet'!$A$244,'Données projet'!$B$244,FZ119+FY120-GH119)))</f>
        <v>202.00000000000006</v>
      </c>
      <c r="GA120" s="18">
        <f>FZ120*VLOOKUP('Données projet'!$B$17,Paramètres!$A$1:$I$89,3,0)*VLOOKUP('Données projet'!$B$17,Paramètres!$A$1:$I$89,5,0)</f>
        <v>217.43280000000004</v>
      </c>
      <c r="GB120" s="14">
        <f t="shared" si="103"/>
        <v>53.556536889714792</v>
      </c>
      <c r="GC120" s="22">
        <f t="shared" si="79"/>
        <v>471.97309508291988</v>
      </c>
      <c r="GD120" s="62">
        <f t="shared" si="80"/>
        <v>765.3064284162532</v>
      </c>
      <c r="GE120" s="62">
        <f ca="1">AVERAGE(OFFSET($GD$3,0,0,'Données projet'!$E$17+1,1))-AVERAGE(OFFSET($H$3,0,0,'Données projet'!$E$17+1,1))</f>
        <v>280.20599015000306</v>
      </c>
      <c r="GF120" s="62">
        <f t="shared" si="104"/>
        <v>166.97658184507787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-5.6843418860808015E-14</v>
      </c>
      <c r="GV120" s="18">
        <f>GU120*VLOOKUP('Données projet'!$B$18,Paramètres!$A$1:$I$89,3,0)*VLOOKUP('Données projet'!$B$18,Paramètres!$A$1:$I$89,5,0)</f>
        <v>-3.813056537183002E-14</v>
      </c>
      <c r="GW120" s="14" t="e">
        <f t="shared" si="105"/>
        <v>#NUM!</v>
      </c>
      <c r="GX120" s="22" t="e">
        <f t="shared" si="82"/>
        <v>#NUM!</v>
      </c>
      <c r="GY120" s="62" t="e">
        <f t="shared" si="83"/>
        <v>#NUM!</v>
      </c>
      <c r="GZ120" s="62">
        <f ca="1">AVERAGE(OFFSET($GY$3,0,0,'Données projet'!$E$18+1,1))-AVERAGE(OFFSET($H$3,0,0,'Données projet'!$E$18+1,1))</f>
        <v>291.18686311753402</v>
      </c>
      <c r="HA120" s="62">
        <f t="shared" si="106"/>
        <v>215.44422413249839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9">
        <f t="shared" si="56"/>
        <v>256.66666666666669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260.02504691866199</v>
      </c>
      <c r="T121" s="62">
        <f t="shared" si="88"/>
        <v>270.11268336406368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1.7518022776963835</v>
      </c>
      <c r="AA121" s="23">
        <f>EXP(-LN(2)/25)*AA120+(1-EXP(-LN(2)/25))/(LN(2)/25)*Calculateur!V121*Calculateur!X121*VLOOKUP('Données projet'!$B$9,Paramètres!$A$1:$I$89,3,0)*0.475*44/12</f>
        <v>1.4327536953261162</v>
      </c>
      <c r="AB121" s="23">
        <f>EXP(-LN(2)/2)*AB120+(1-EXP(-LN(2)/2))/(LN(2)/2)*V121*Y121*VLOOKUP('Données projet'!$B$9,Paramètres!$A$1:$I$89,3,0)*0.475*44/12</f>
        <v>3.6038505561031364E-13</v>
      </c>
      <c r="AC121" s="24">
        <f t="shared" si="57"/>
        <v>3.1845559730228601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2">
        <f t="shared" si="59"/>
        <v>939.24786691857776</v>
      </c>
      <c r="AN121" s="62">
        <f ca="1">AVERAGE(OFFSET($AM$3,0,0,'Données projet'!$E$10+1,1))-AVERAGE(OFFSET($H$3,0,0,'Données projet'!$E$10+1,1))</f>
        <v>475.47920969424894</v>
      </c>
      <c r="AO121" s="62">
        <f t="shared" si="90"/>
        <v>271.73544012419364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267.45887999999951</v>
      </c>
      <c r="BF121" s="14">
        <f t="shared" si="91"/>
        <v>64.309683053152327</v>
      </c>
      <c r="BG121" s="22">
        <f t="shared" si="61"/>
        <v>577.8302473175728</v>
      </c>
      <c r="BH121" s="62">
        <f t="shared" si="62"/>
        <v>871.16358065090617</v>
      </c>
      <c r="BI121" s="62">
        <f ca="1">AVERAGE(OFFSET($BH$3,0,0,'Données projet'!$E$11+1,1))-AVERAGE(OFFSET($H$3,0,0,'Données projet'!$E$11+1,1))</f>
        <v>428.8489304403459</v>
      </c>
      <c r="BJ121" s="62">
        <f t="shared" si="92"/>
        <v>247.01165577562966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-1.9895196601282805E-13</v>
      </c>
      <c r="BZ121" s="14">
        <f>BY121*VLOOKUP('Données projet'!$B$12,Paramètres!$A$1:$I$89,3,0)*VLOOKUP('Données projet'!$B$12,Paramètres!$A$1:$I$89,5,0)</f>
        <v>-1.6138983482960614E-13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236.22643401787644</v>
      </c>
      <c r="CE121" s="62">
        <f t="shared" si="94"/>
        <v>188.80444043778022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2.8421709430404007E-13</v>
      </c>
      <c r="CU121" s="18">
        <f>CT121*VLOOKUP('Données projet'!$B$13,Paramètres!$A$1:$I$89,3,0)*VLOOKUP('Données projet'!$B$13,Paramètres!$A$1:$I$89,5,0)</f>
        <v>1.3301360013429075E-13</v>
      </c>
      <c r="CV121" s="14">
        <f t="shared" si="95"/>
        <v>1.9329766731057041E-12</v>
      </c>
      <c r="CW121" s="22">
        <f t="shared" si="67"/>
        <v>3.5982663925596575E-12</v>
      </c>
      <c r="CX121" s="62">
        <f t="shared" si="68"/>
        <v>293.3333333333369</v>
      </c>
      <c r="CY121" s="62">
        <f ca="1">AVERAGE(OFFSET($CX$3,0,0,'Données projet'!$E$13+1,1))-AVERAGE(OFFSET($H$3,0,0,'Données projet'!$E$13+1,1))</f>
        <v>246.73711856758143</v>
      </c>
      <c r="CZ121" s="62">
        <f t="shared" si="96"/>
        <v>145.54897745089966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2.8846153846153868</v>
      </c>
      <c r="DO121" s="13">
        <f>IF('Données projet'!$A$166&gt;35,DO120+DN121-DW120,IF(A121&lt;'Données projet'!$A$166,$DL$205^A121,IF(A121='Données projet'!$A$166,'Données projet'!$B$166,DO120+DN121-DW120)))</f>
        <v>324.99999999999943</v>
      </c>
      <c r="DP121" s="18">
        <f>DO121*VLOOKUP('Données projet'!$B$14,Paramètres!$A$1:$I$89,3,0)*VLOOKUP('Données projet'!$B$14,Paramètres!$A$1:$I$89,5,0)</f>
        <v>339.68999999999943</v>
      </c>
      <c r="DQ121" s="14">
        <f t="shared" si="97"/>
        <v>79.435895059237467</v>
      </c>
      <c r="DR121" s="22">
        <f t="shared" si="70"/>
        <v>729.97760056150412</v>
      </c>
      <c r="DS121" s="62">
        <f t="shared" si="71"/>
        <v>1023.3109338948375</v>
      </c>
      <c r="DT121" s="62">
        <f ca="1">AVERAGE(OFFSET($DS$3,0,0,'Données projet'!$E$14+1,1))-AVERAGE(OFFSET($H$3,0,0,'Données projet'!$E$14+1,1))</f>
        <v>493.70175665335978</v>
      </c>
      <c r="DU121" s="62">
        <f t="shared" si="98"/>
        <v>325.12357781685949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-1.7053025658242404E-13</v>
      </c>
      <c r="EK121" s="18">
        <f>EJ121*VLOOKUP('Données projet'!$B$15,Paramètres!$A$1:$I$89,3,0)*VLOOKUP('Données projet'!$B$15,Paramètres!$A$1:$I$89,5,0)</f>
        <v>-1.4897523215040567E-13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202.86354781280403</v>
      </c>
      <c r="EP121" s="62">
        <f t="shared" si="100"/>
        <v>217.25323885665131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2.7564102564102568</v>
      </c>
      <c r="FE121" s="13">
        <f>IF('Données projet'!$A$218&gt;35,FE120+FD121-FM120,IF(A121&lt;'Données projet'!$A$218,$FB$205^A121,IF(A121='Données projet'!$A$218,'Données projet'!$B$218,FE120+FD121-FM120)))</f>
        <v>245.7692307692306</v>
      </c>
      <c r="FF121" s="18">
        <f>FE121*VLOOKUP('Données projet'!$B$16,Paramètres!$A$1:$I$89,3,0)*VLOOKUP('Données projet'!$B$16,Paramètres!$A$1:$I$89,5,0)</f>
        <v>233.87399999999985</v>
      </c>
      <c r="FG121" s="14">
        <f t="shared" si="101"/>
        <v>57.119514867134178</v>
      </c>
      <c r="FH121" s="22">
        <f t="shared" si="76"/>
        <v>506.81370506025837</v>
      </c>
      <c r="FI121" s="62">
        <f t="shared" si="77"/>
        <v>800.14703839359163</v>
      </c>
      <c r="FJ121" s="62">
        <f ca="1">AVERAGE(OFFSET($FI$3,0,0,'Données projet'!$E$16+1,1))-AVERAGE(OFFSET($H$3,0,0,'Données projet'!$E$16+1,1))</f>
        <v>353.61481736740694</v>
      </c>
      <c r="FK121" s="62">
        <f t="shared" si="102"/>
        <v>244.7141066773861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3</v>
      </c>
      <c r="FZ121" s="13">
        <f>IF('Données projet'!$A$244&gt;35,FZ120+FY121-GH120,IF(A121&lt;'Données projet'!$A$244,$FW$205^A121,IF(A121='Données projet'!$A$244,'Données projet'!$B$244,FZ120+FY121-GH120)))</f>
        <v>205.00000000000006</v>
      </c>
      <c r="GA121" s="18">
        <f>FZ121*VLOOKUP('Données projet'!$B$17,Paramètres!$A$1:$I$89,3,0)*VLOOKUP('Données projet'!$B$17,Paramètres!$A$1:$I$89,5,0)</f>
        <v>220.66200000000003</v>
      </c>
      <c r="GB121" s="14">
        <f t="shared" si="103"/>
        <v>54.258742979954953</v>
      </c>
      <c r="GC121" s="22">
        <f t="shared" si="79"/>
        <v>478.82029402342158</v>
      </c>
      <c r="GD121" s="62">
        <f t="shared" si="80"/>
        <v>772.1536273567549</v>
      </c>
      <c r="GE121" s="62">
        <f ca="1">AVERAGE(OFFSET($GD$3,0,0,'Données projet'!$E$17+1,1))-AVERAGE(OFFSET($H$3,0,0,'Données projet'!$E$17+1,1))</f>
        <v>280.20599015000306</v>
      </c>
      <c r="GF121" s="62">
        <f t="shared" si="104"/>
        <v>166.97658184507787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-5.6843418860808015E-14</v>
      </c>
      <c r="GV121" s="18">
        <f>GU121*VLOOKUP('Données projet'!$B$18,Paramètres!$A$1:$I$89,3,0)*VLOOKUP('Données projet'!$B$18,Paramètres!$A$1:$I$89,5,0)</f>
        <v>-3.813056537183002E-14</v>
      </c>
      <c r="GW121" s="14" t="e">
        <f t="shared" si="105"/>
        <v>#NUM!</v>
      </c>
      <c r="GX121" s="22" t="e">
        <f t="shared" si="82"/>
        <v>#NUM!</v>
      </c>
      <c r="GY121" s="62" t="e">
        <f t="shared" si="83"/>
        <v>#NUM!</v>
      </c>
      <c r="GZ121" s="62">
        <f ca="1">AVERAGE(OFFSET($GY$3,0,0,'Données projet'!$E$18+1,1))-AVERAGE(OFFSET($H$3,0,0,'Données projet'!$E$18+1,1))</f>
        <v>291.18686311753402</v>
      </c>
      <c r="HA121" s="62">
        <f t="shared" si="106"/>
        <v>215.44422413249839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9">
        <f t="shared" si="56"/>
        <v>256.66666666666669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260.02504691866199</v>
      </c>
      <c r="T122" s="62">
        <f t="shared" si="88"/>
        <v>270.11268336406368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1.7174505035246419</v>
      </c>
      <c r="AA122" s="23">
        <f>EXP(-LN(2)/25)*AA121+(1-EXP(-LN(2)/25))/(LN(2)/25)*Calculateur!V122*Calculateur!X122*VLOOKUP('Données projet'!$B$9,Paramètres!$A$1:$I$89,3,0)*0.475*44/12</f>
        <v>1.3935749701821813</v>
      </c>
      <c r="AB122" s="23">
        <f>EXP(-LN(2)/2)*AB121+(1-EXP(-LN(2)/2))/(LN(2)/2)*V122*Y122*VLOOKUP('Données projet'!$B$9,Paramètres!$A$1:$I$89,3,0)*0.475*44/12</f>
        <v>2.5483071666034381E-13</v>
      </c>
      <c r="AC122" s="24">
        <f t="shared" si="57"/>
        <v>3.1110254737070782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2">
        <f t="shared" si="59"/>
        <v>947.15125570904661</v>
      </c>
      <c r="AN122" s="62">
        <f ca="1">AVERAGE(OFFSET($AM$3,0,0,'Données projet'!$E$10+1,1))-AVERAGE(OFFSET($H$3,0,0,'Données projet'!$E$10+1,1))</f>
        <v>475.47920969424894</v>
      </c>
      <c r="AO122" s="62">
        <f t="shared" si="90"/>
        <v>271.73544012419364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270.80663999999956</v>
      </c>
      <c r="BF122" s="14">
        <f t="shared" si="91"/>
        <v>65.020428921429911</v>
      </c>
      <c r="BG122" s="22">
        <f t="shared" si="61"/>
        <v>584.89881170482306</v>
      </c>
      <c r="BH122" s="62">
        <f t="shared" si="62"/>
        <v>878.23214503815643</v>
      </c>
      <c r="BI122" s="62">
        <f ca="1">AVERAGE(OFFSET($BH$3,0,0,'Données projet'!$E$11+1,1))-AVERAGE(OFFSET($H$3,0,0,'Données projet'!$E$11+1,1))</f>
        <v>428.8489304403459</v>
      </c>
      <c r="BJ122" s="62">
        <f t="shared" si="92"/>
        <v>247.01165577562966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-1.9895196601282805E-13</v>
      </c>
      <c r="BZ122" s="14">
        <f>BY122*VLOOKUP('Données projet'!$B$12,Paramètres!$A$1:$I$89,3,0)*VLOOKUP('Données projet'!$B$12,Paramètres!$A$1:$I$89,5,0)</f>
        <v>-1.6138983482960614E-13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236.22643401787644</v>
      </c>
      <c r="CE122" s="62">
        <f t="shared" si="94"/>
        <v>188.80444043778022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2.8421709430404007E-13</v>
      </c>
      <c r="CU122" s="18">
        <f>CT122*VLOOKUP('Données projet'!$B$13,Paramètres!$A$1:$I$89,3,0)*VLOOKUP('Données projet'!$B$13,Paramètres!$A$1:$I$89,5,0)</f>
        <v>1.3301360013429075E-13</v>
      </c>
      <c r="CV122" s="14">
        <f t="shared" si="95"/>
        <v>1.9329766731057041E-12</v>
      </c>
      <c r="CW122" s="22">
        <f t="shared" si="67"/>
        <v>3.5982663925596575E-12</v>
      </c>
      <c r="CX122" s="62">
        <f t="shared" si="68"/>
        <v>293.3333333333369</v>
      </c>
      <c r="CY122" s="62">
        <f ca="1">AVERAGE(OFFSET($CX$3,0,0,'Données projet'!$E$13+1,1))-AVERAGE(OFFSET($H$3,0,0,'Données projet'!$E$13+1,1))</f>
        <v>246.73711856758143</v>
      </c>
      <c r="CZ122" s="62">
        <f t="shared" si="96"/>
        <v>145.54897745089966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2.8846153846153868</v>
      </c>
      <c r="DO122" s="13">
        <f>IF('Données projet'!$A$166&gt;35,DO121+DN122-DW121,IF(A122&lt;'Données projet'!$A$166,$DL$205^A122,IF(A122='Données projet'!$A$166,'Données projet'!$B$166,DO121+DN122-DW121)))</f>
        <v>327.88461538461479</v>
      </c>
      <c r="DP122" s="18">
        <f>DO122*VLOOKUP('Données projet'!$B$14,Paramètres!$A$1:$I$89,3,0)*VLOOKUP('Données projet'!$B$14,Paramètres!$A$1:$I$89,5,0)</f>
        <v>342.70499999999942</v>
      </c>
      <c r="DQ122" s="14">
        <f t="shared" si="97"/>
        <v>80.058558536074614</v>
      </c>
      <c r="DR122" s="22">
        <f t="shared" si="70"/>
        <v>736.31319778366208</v>
      </c>
      <c r="DS122" s="62">
        <f t="shared" si="71"/>
        <v>1029.6465311169954</v>
      </c>
      <c r="DT122" s="62">
        <f ca="1">AVERAGE(OFFSET($DS$3,0,0,'Données projet'!$E$14+1,1))-AVERAGE(OFFSET($H$3,0,0,'Données projet'!$E$14+1,1))</f>
        <v>493.70175665335978</v>
      </c>
      <c r="DU122" s="62">
        <f t="shared" si="98"/>
        <v>325.12357781685949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-1.7053025658242404E-13</v>
      </c>
      <c r="EK122" s="18">
        <f>EJ122*VLOOKUP('Données projet'!$B$15,Paramètres!$A$1:$I$89,3,0)*VLOOKUP('Données projet'!$B$15,Paramètres!$A$1:$I$89,5,0)</f>
        <v>-1.4897523215040567E-13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202.86354781280403</v>
      </c>
      <c r="EP122" s="62">
        <f t="shared" si="100"/>
        <v>217.25323885665131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2.7564102564102568</v>
      </c>
      <c r="FE122" s="13">
        <f>IF('Données projet'!$A$218&gt;35,FE121+FD122-FM121,IF(A122&lt;'Données projet'!$A$218,$FB$205^A122,IF(A122='Données projet'!$A$218,'Données projet'!$B$218,FE121+FD122-FM121)))</f>
        <v>248.52564102564085</v>
      </c>
      <c r="FF122" s="18">
        <f>FE122*VLOOKUP('Données projet'!$B$16,Paramètres!$A$1:$I$89,3,0)*VLOOKUP('Données projet'!$B$16,Paramètres!$A$1:$I$89,5,0)</f>
        <v>236.49699999999984</v>
      </c>
      <c r="FG122" s="14">
        <f t="shared" si="101"/>
        <v>57.685199222511848</v>
      </c>
      <c r="FH122" s="22">
        <f t="shared" si="76"/>
        <v>512.36733031254118</v>
      </c>
      <c r="FI122" s="62">
        <f t="shared" si="77"/>
        <v>805.70066364587456</v>
      </c>
      <c r="FJ122" s="62">
        <f ca="1">AVERAGE(OFFSET($FI$3,0,0,'Données projet'!$E$16+1,1))-AVERAGE(OFFSET($H$3,0,0,'Données projet'!$E$16+1,1))</f>
        <v>353.61481736740694</v>
      </c>
      <c r="FK122" s="62">
        <f t="shared" si="102"/>
        <v>244.7141066773861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3</v>
      </c>
      <c r="FZ122" s="13">
        <f>IF('Données projet'!$A$244&gt;35,FZ121+FY122-GH121,IF(A122&lt;'Données projet'!$A$244,$FW$205^A122,IF(A122='Données projet'!$A$244,'Données projet'!$B$244,FZ121+FY122-GH121)))</f>
        <v>208.00000000000006</v>
      </c>
      <c r="GA122" s="18">
        <f>FZ122*VLOOKUP('Données projet'!$B$17,Paramètres!$A$1:$I$89,3,0)*VLOOKUP('Données projet'!$B$17,Paramètres!$A$1:$I$89,5,0)</f>
        <v>223.89120000000005</v>
      </c>
      <c r="GB122" s="14">
        <f t="shared" si="103"/>
        <v>54.95975389514863</v>
      </c>
      <c r="GC122" s="22">
        <f t="shared" si="79"/>
        <v>485.66541136738397</v>
      </c>
      <c r="GD122" s="62">
        <f t="shared" si="80"/>
        <v>778.99874470071722</v>
      </c>
      <c r="GE122" s="62">
        <f ca="1">AVERAGE(OFFSET($GD$3,0,0,'Données projet'!$E$17+1,1))-AVERAGE(OFFSET($H$3,0,0,'Données projet'!$E$17+1,1))</f>
        <v>280.20599015000306</v>
      </c>
      <c r="GF122" s="62">
        <f t="shared" si="104"/>
        <v>166.97658184507787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-5.6843418860808015E-14</v>
      </c>
      <c r="GV122" s="18">
        <f>GU122*VLOOKUP('Données projet'!$B$18,Paramètres!$A$1:$I$89,3,0)*VLOOKUP('Données projet'!$B$18,Paramètres!$A$1:$I$89,5,0)</f>
        <v>-3.813056537183002E-14</v>
      </c>
      <c r="GW122" s="14" t="e">
        <f t="shared" si="105"/>
        <v>#NUM!</v>
      </c>
      <c r="GX122" s="22" t="e">
        <f t="shared" si="82"/>
        <v>#NUM!</v>
      </c>
      <c r="GY122" s="62" t="e">
        <f t="shared" si="83"/>
        <v>#NUM!</v>
      </c>
      <c r="GZ122" s="62">
        <f ca="1">AVERAGE(OFFSET($GY$3,0,0,'Données projet'!$E$18+1,1))-AVERAGE(OFFSET($H$3,0,0,'Données projet'!$E$18+1,1))</f>
        <v>291.18686311753402</v>
      </c>
      <c r="HA122" s="62">
        <f t="shared" si="106"/>
        <v>215.44422413249839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9">
        <f t="shared" si="56"/>
        <v>256.66666666666669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260.02504691866199</v>
      </c>
      <c r="T123" s="62">
        <f t="shared" si="88"/>
        <v>270.11268336406368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1.6837723466918948</v>
      </c>
      <c r="AA123" s="23">
        <f>EXP(-LN(2)/25)*AA122+(1-EXP(-LN(2)/25))/(LN(2)/25)*Calculateur!V123*Calculateur!X123*VLOOKUP('Données projet'!$B$9,Paramètres!$A$1:$I$89,3,0)*0.475*44/12</f>
        <v>1.3554675893376269</v>
      </c>
      <c r="AB123" s="23">
        <f>EXP(-LN(2)/2)*AB122+(1-EXP(-LN(2)/2))/(LN(2)/2)*V123*Y123*VLOOKUP('Données projet'!$B$9,Paramètres!$A$1:$I$89,3,0)*0.475*44/12</f>
        <v>1.8019252780515682E-13</v>
      </c>
      <c r="AC123" s="24">
        <f t="shared" si="57"/>
        <v>3.039239936029702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2">
        <f t="shared" si="59"/>
        <v>955.05267592477753</v>
      </c>
      <c r="AN123" s="62">
        <f ca="1">AVERAGE(OFFSET($AM$3,0,0,'Données projet'!$E$10+1,1))-AVERAGE(OFFSET($H$3,0,0,'Données projet'!$E$10+1,1))</f>
        <v>475.47920969424894</v>
      </c>
      <c r="AO123" s="62">
        <f t="shared" si="90"/>
        <v>271.73544012419364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274.15439999999955</v>
      </c>
      <c r="BF123" s="14">
        <f t="shared" si="91"/>
        <v>65.730152764515779</v>
      </c>
      <c r="BG123" s="22">
        <f t="shared" si="61"/>
        <v>591.96559606486414</v>
      </c>
      <c r="BH123" s="62">
        <f t="shared" si="62"/>
        <v>885.29892939819752</v>
      </c>
      <c r="BI123" s="62">
        <f ca="1">AVERAGE(OFFSET($BH$3,0,0,'Données projet'!$E$11+1,1))-AVERAGE(OFFSET($H$3,0,0,'Données projet'!$E$11+1,1))</f>
        <v>428.8489304403459</v>
      </c>
      <c r="BJ123" s="62">
        <f t="shared" si="92"/>
        <v>247.01165577562966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-1.9895196601282805E-13</v>
      </c>
      <c r="BZ123" s="14">
        <f>BY123*VLOOKUP('Données projet'!$B$12,Paramètres!$A$1:$I$89,3,0)*VLOOKUP('Données projet'!$B$12,Paramètres!$A$1:$I$89,5,0)</f>
        <v>-1.6138983482960614E-13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236.22643401787644</v>
      </c>
      <c r="CE123" s="62">
        <f t="shared" si="94"/>
        <v>188.80444043778022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2.8421709430404007E-13</v>
      </c>
      <c r="CU123" s="18">
        <f>CT123*VLOOKUP('Données projet'!$B$13,Paramètres!$A$1:$I$89,3,0)*VLOOKUP('Données projet'!$B$13,Paramètres!$A$1:$I$89,5,0)</f>
        <v>1.3301360013429075E-13</v>
      </c>
      <c r="CV123" s="14">
        <f t="shared" si="95"/>
        <v>1.9329766731057041E-12</v>
      </c>
      <c r="CW123" s="22">
        <f t="shared" si="67"/>
        <v>3.5982663925596575E-12</v>
      </c>
      <c r="CX123" s="62">
        <f t="shared" si="68"/>
        <v>293.3333333333369</v>
      </c>
      <c r="CY123" s="62">
        <f ca="1">AVERAGE(OFFSET($CX$3,0,0,'Données projet'!$E$13+1,1))-AVERAGE(OFFSET($H$3,0,0,'Données projet'!$E$13+1,1))</f>
        <v>246.73711856758143</v>
      </c>
      <c r="CZ123" s="62">
        <f t="shared" si="96"/>
        <v>145.54897745089966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330.76923076923077</v>
      </c>
      <c r="DM123" s="13">
        <f>VLOOKUP(A123,'Données projet'!$A$165:$I$185,9,0)</f>
        <v>2.8846153846153868</v>
      </c>
      <c r="DN123" s="13">
        <f t="array" ref="DN123">INDEX(DM:DM,MIN(IF(ISNUMBER(DM123:DM319),ROW(DM123:DM319),"")))</f>
        <v>2.8846153846153868</v>
      </c>
      <c r="DO123" s="13">
        <f>IF('Données projet'!$A$166&gt;35,DO122+DN123-DW122,IF(A123&lt;'Données projet'!$A$166,$DL$205^A123,IF(A123='Données projet'!$A$166,'Données projet'!$B$166,DO122+DN123-DW122)))</f>
        <v>330.76923076923015</v>
      </c>
      <c r="DP123" s="18">
        <f>DO123*VLOOKUP('Données projet'!$B$14,Paramètres!$A$1:$I$89,3,0)*VLOOKUP('Données projet'!$B$14,Paramètres!$A$1:$I$89,5,0)</f>
        <v>345.7199999999994</v>
      </c>
      <c r="DQ123" s="14">
        <f t="shared" si="97"/>
        <v>80.6805846939736</v>
      </c>
      <c r="DR123" s="22">
        <f t="shared" si="70"/>
        <v>742.64768500866955</v>
      </c>
      <c r="DS123" s="62">
        <f t="shared" si="71"/>
        <v>1035.9810183420029</v>
      </c>
      <c r="DT123" s="62">
        <f ca="1">AVERAGE(OFFSET($DS$3,0,0,'Données projet'!$E$14+1,1))-AVERAGE(OFFSET($H$3,0,0,'Données projet'!$E$14+1,1))</f>
        <v>493.70175665335978</v>
      </c>
      <c r="DU123" s="62">
        <f t="shared" si="98"/>
        <v>325.12357781685949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17.948717948717949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-1.7053025658242404E-13</v>
      </c>
      <c r="EK123" s="18">
        <f>EJ123*VLOOKUP('Données projet'!$B$15,Paramètres!$A$1:$I$89,3,0)*VLOOKUP('Données projet'!$B$15,Paramètres!$A$1:$I$89,5,0)</f>
        <v>-1.4897523215040567E-13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202.86354781280403</v>
      </c>
      <c r="EP123" s="62">
        <f t="shared" si="100"/>
        <v>217.25323885665131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251.28205128205127</v>
      </c>
      <c r="FC123" s="13">
        <f>VLOOKUP(A123,'Données projet'!$A$217:$I$237,9,0)</f>
        <v>2.7564102564102568</v>
      </c>
      <c r="FD123" s="13">
        <f t="array" ref="FD123">INDEX(FC:FC,MIN(IF(ISNUMBER(FC123:FC319),ROW(FC123:FC319),"")))</f>
        <v>2.7564102564102568</v>
      </c>
      <c r="FE123" s="13">
        <f>IF('Données projet'!$A$218&gt;35,FE122+FD123-FM122,IF(A123&lt;'Données projet'!$A$218,$FB$205^A123,IF(A123='Données projet'!$A$218,'Données projet'!$B$218,FE122+FD123-FM122)))</f>
        <v>251.2820512820511</v>
      </c>
      <c r="FF123" s="18">
        <f>FE123*VLOOKUP('Données projet'!$B$16,Paramètres!$A$1:$I$89,3,0)*VLOOKUP('Données projet'!$B$16,Paramètres!$A$1:$I$89,5,0)</f>
        <v>239.11999999999981</v>
      </c>
      <c r="FG123" s="14">
        <f t="shared" si="101"/>
        <v>58.2501537357874</v>
      </c>
      <c r="FH123" s="22">
        <f t="shared" si="76"/>
        <v>517.91968442316272</v>
      </c>
      <c r="FI123" s="62">
        <f t="shared" si="77"/>
        <v>811.25301775649609</v>
      </c>
      <c r="FJ123" s="62">
        <f ca="1">AVERAGE(OFFSET($FI$3,0,0,'Données projet'!$E$16+1,1))-AVERAGE(OFFSET($H$3,0,0,'Données projet'!$E$16+1,1))</f>
        <v>353.61481736740694</v>
      </c>
      <c r="FK123" s="62">
        <f t="shared" si="102"/>
        <v>244.7141066773861</v>
      </c>
      <c r="FL123" s="16">
        <f>IF(ISNA(VLOOKUP(A123,'Données projet'!$A$217:$I$237,3,0)),0,VLOOKUP(A123,'Données projet'!$A$217:$I$237,3,0))</f>
        <v>10</v>
      </c>
      <c r="FM123" s="16">
        <f>IF(ISNA(VLOOKUP(A123,'Données projet'!$A$217:$I$237,4,0)),0,VLOOKUP(A123,'Données projet'!$A$217:$I$237,4,0))</f>
        <v>251.28205128205127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211</v>
      </c>
      <c r="FX123" s="13">
        <f>VLOOKUP(A123,'Données projet'!$A$243:$I$263,9,0)</f>
        <v>3</v>
      </c>
      <c r="FY123" s="13">
        <f t="array" ref="FY123">INDEX(FX:FX,MIN(IF(ISNUMBER(FX123:FX319),ROW(FX123:FX319),"")))</f>
        <v>3</v>
      </c>
      <c r="FZ123" s="13">
        <f>IF('Données projet'!$A$244&gt;35,FZ122+FY123-GH122,IF(A123&lt;'Données projet'!$A$244,$FW$205^A123,IF(A123='Données projet'!$A$244,'Données projet'!$B$244,FZ122+FY123-GH122)))</f>
        <v>211.00000000000006</v>
      </c>
      <c r="GA123" s="18">
        <f>FZ123*VLOOKUP('Données projet'!$B$17,Paramètres!$A$1:$I$89,3,0)*VLOOKUP('Données projet'!$B$17,Paramètres!$A$1:$I$89,5,0)</f>
        <v>227.12040000000005</v>
      </c>
      <c r="GB123" s="14">
        <f t="shared" si="103"/>
        <v>55.6595888651092</v>
      </c>
      <c r="GC123" s="22">
        <f t="shared" si="79"/>
        <v>492.50848060673189</v>
      </c>
      <c r="GD123" s="62">
        <f t="shared" si="80"/>
        <v>785.84181394006521</v>
      </c>
      <c r="GE123" s="62">
        <f ca="1">AVERAGE(OFFSET($GD$3,0,0,'Données projet'!$E$17+1,1))-AVERAGE(OFFSET($H$3,0,0,'Données projet'!$E$17+1,1))</f>
        <v>280.20599015000306</v>
      </c>
      <c r="GF123" s="62">
        <f t="shared" si="104"/>
        <v>166.97658184507787</v>
      </c>
      <c r="GG123" s="16">
        <f>IF(ISNA(VLOOKUP(A123,'Données projet'!$A$243:$I$263,3,0)),0,VLOOKUP(A123,'Données projet'!$A$243:$I$263,3,0))</f>
        <v>9</v>
      </c>
      <c r="GH123" s="16">
        <f>IF(ISNA(VLOOKUP(A123,'Données projet'!$A$243:$I$263,4,0)),0,VLOOKUP(A123,'Données projet'!$A$243:$I$263,4,0))</f>
        <v>211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-5.6843418860808015E-14</v>
      </c>
      <c r="GV123" s="18">
        <f>GU123*VLOOKUP('Données projet'!$B$18,Paramètres!$A$1:$I$89,3,0)*VLOOKUP('Données projet'!$B$18,Paramètres!$A$1:$I$89,5,0)</f>
        <v>-3.813056537183002E-14</v>
      </c>
      <c r="GW123" s="14" t="e">
        <f t="shared" si="105"/>
        <v>#NUM!</v>
      </c>
      <c r="GX123" s="22" t="e">
        <f t="shared" si="82"/>
        <v>#NUM!</v>
      </c>
      <c r="GY123" s="62" t="e">
        <f t="shared" si="83"/>
        <v>#NUM!</v>
      </c>
      <c r="GZ123" s="62">
        <f ca="1">AVERAGE(OFFSET($GY$3,0,0,'Données projet'!$E$18+1,1))-AVERAGE(OFFSET($H$3,0,0,'Données projet'!$E$18+1,1))</f>
        <v>291.18686311753402</v>
      </c>
      <c r="HA123" s="62">
        <f t="shared" si="106"/>
        <v>215.44422413249839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9">
        <f t="shared" si="56"/>
        <v>256.66666666666669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260.02504691866199</v>
      </c>
      <c r="T124" s="62">
        <f t="shared" si="88"/>
        <v>270.11268336406368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1.6507545979729905</v>
      </c>
      <c r="AA124" s="23">
        <f>EXP(-LN(2)/25)*AA123+(1-EXP(-LN(2)/25))/(LN(2)/25)*Calculateur!V124*Calculateur!X124*VLOOKUP('Données projet'!$B$9,Paramètres!$A$1:$I$89,3,0)*0.475*44/12</f>
        <v>1.318402256826247</v>
      </c>
      <c r="AB124" s="23">
        <f>EXP(-LN(2)/2)*AB123+(1-EXP(-LN(2)/2))/(LN(2)/2)*V124*Y124*VLOOKUP('Données projet'!$B$9,Paramètres!$A$1:$I$89,3,0)*0.475*44/12</f>
        <v>1.274153583301719E-13</v>
      </c>
      <c r="AC124" s="24">
        <f t="shared" si="57"/>
        <v>2.969156854799365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2">
        <f t="shared" si="59"/>
        <v>887.07687356967608</v>
      </c>
      <c r="AN124" s="62">
        <f ca="1">AVERAGE(OFFSET($AM$3,0,0,'Données projet'!$E$10+1,1))-AVERAGE(OFFSET($H$3,0,0,'Données projet'!$E$10+1,1))</f>
        <v>475.47920969424894</v>
      </c>
      <c r="AO124" s="62">
        <f t="shared" si="90"/>
        <v>271.73544012419364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245.3817599999995</v>
      </c>
      <c r="BF124" s="14">
        <f t="shared" si="91"/>
        <v>59.595943661626663</v>
      </c>
      <c r="BG124" s="22">
        <f t="shared" si="61"/>
        <v>531.16950054399888</v>
      </c>
      <c r="BH124" s="62">
        <f t="shared" si="62"/>
        <v>824.50283387733225</v>
      </c>
      <c r="BI124" s="62">
        <f ca="1">AVERAGE(OFFSET($BH$3,0,0,'Données projet'!$E$11+1,1))-AVERAGE(OFFSET($H$3,0,0,'Données projet'!$E$11+1,1))</f>
        <v>428.8489304403459</v>
      </c>
      <c r="BJ124" s="62">
        <f t="shared" si="92"/>
        <v>247.01165577562966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-1.9895196601282805E-13</v>
      </c>
      <c r="BZ124" s="14">
        <f>BY124*VLOOKUP('Données projet'!$B$12,Paramètres!$A$1:$I$89,3,0)*VLOOKUP('Données projet'!$B$12,Paramètres!$A$1:$I$89,5,0)</f>
        <v>-1.6138983482960614E-13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236.22643401787644</v>
      </c>
      <c r="CE124" s="62">
        <f t="shared" si="94"/>
        <v>188.80444043778022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2.8421709430404007E-13</v>
      </c>
      <c r="CU124" s="18">
        <f>CT124*VLOOKUP('Données projet'!$B$13,Paramètres!$A$1:$I$89,3,0)*VLOOKUP('Données projet'!$B$13,Paramètres!$A$1:$I$89,5,0)</f>
        <v>1.3301360013429075E-13</v>
      </c>
      <c r="CV124" s="14">
        <f t="shared" si="95"/>
        <v>1.9329766731057041E-12</v>
      </c>
      <c r="CW124" s="22">
        <f t="shared" si="67"/>
        <v>3.5982663925596575E-12</v>
      </c>
      <c r="CX124" s="62">
        <f t="shared" si="68"/>
        <v>293.3333333333369</v>
      </c>
      <c r="CY124" s="62">
        <f ca="1">AVERAGE(OFFSET($CX$3,0,0,'Données projet'!$E$13+1,1))-AVERAGE(OFFSET($H$3,0,0,'Données projet'!$E$13+1,1))</f>
        <v>246.73711856758143</v>
      </c>
      <c r="CZ124" s="62">
        <f t="shared" si="96"/>
        <v>145.54897745089966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2.6282051282051269</v>
      </c>
      <c r="DO124" s="13">
        <f>IF('Données projet'!$A$166&gt;35,DO123+DN124-DW123,IF(A124&lt;'Données projet'!$A$166,$DL$205^A124,IF(A124='Données projet'!$A$166,'Données projet'!$B$166,DO123+DN124-DW123)))</f>
        <v>315.44871794871733</v>
      </c>
      <c r="DP124" s="18">
        <f>DO124*VLOOKUP('Données projet'!$B$14,Paramètres!$A$1:$I$89,3,0)*VLOOKUP('Données projet'!$B$14,Paramètres!$A$1:$I$89,5,0)</f>
        <v>329.70699999999937</v>
      </c>
      <c r="DQ124" s="14">
        <f t="shared" si="97"/>
        <v>77.369557656320978</v>
      </c>
      <c r="DR124" s="22">
        <f t="shared" si="70"/>
        <v>708.99167125142458</v>
      </c>
      <c r="DS124" s="62">
        <f t="shared" si="71"/>
        <v>1002.3250045847578</v>
      </c>
      <c r="DT124" s="62">
        <f ca="1">AVERAGE(OFFSET($DS$3,0,0,'Données projet'!$E$14+1,1))-AVERAGE(OFFSET($H$3,0,0,'Données projet'!$E$14+1,1))</f>
        <v>493.70175665335978</v>
      </c>
      <c r="DU124" s="62">
        <f t="shared" si="98"/>
        <v>325.12357781685949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-1.7053025658242404E-13</v>
      </c>
      <c r="EK124" s="18">
        <f>EJ124*VLOOKUP('Données projet'!$B$15,Paramètres!$A$1:$I$89,3,0)*VLOOKUP('Données projet'!$B$15,Paramètres!$A$1:$I$89,5,0)</f>
        <v>-1.4897523215040567E-13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202.86354781280403</v>
      </c>
      <c r="EP124" s="62">
        <f t="shared" si="100"/>
        <v>217.25323885665131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-1.7053025658242404E-13</v>
      </c>
      <c r="FF124" s="18">
        <f>FE124*VLOOKUP('Données projet'!$B$16,Paramètres!$A$1:$I$89,3,0)*VLOOKUP('Données projet'!$B$16,Paramètres!$A$1:$I$89,5,0)</f>
        <v>-1.6227659216383472E-13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353.61481736740694</v>
      </c>
      <c r="FK124" s="62">
        <f t="shared" si="102"/>
        <v>244.7141066773861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5.6843418860808015E-14</v>
      </c>
      <c r="GA124" s="18">
        <f>FZ124*VLOOKUP('Données projet'!$B$17,Paramètres!$A$1:$I$89,3,0)*VLOOKUP('Données projet'!$B$17,Paramètres!$A$1:$I$89,5,0)</f>
        <v>6.1186256061773749E-14</v>
      </c>
      <c r="GB124" s="14">
        <f t="shared" si="103"/>
        <v>9.7328366192051127E-13</v>
      </c>
      <c r="GC124" s="22">
        <f t="shared" si="79"/>
        <v>1.8017017738191463E-12</v>
      </c>
      <c r="GD124" s="62">
        <f t="shared" si="80"/>
        <v>293.33333333333513</v>
      </c>
      <c r="GE124" s="62">
        <f ca="1">AVERAGE(OFFSET($GD$3,0,0,'Données projet'!$E$17+1,1))-AVERAGE(OFFSET($H$3,0,0,'Données projet'!$E$17+1,1))</f>
        <v>280.20599015000306</v>
      </c>
      <c r="GF124" s="62">
        <f t="shared" si="104"/>
        <v>166.97658184507787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-5.6843418860808015E-14</v>
      </c>
      <c r="GV124" s="18">
        <f>GU124*VLOOKUP('Données projet'!$B$18,Paramètres!$A$1:$I$89,3,0)*VLOOKUP('Données projet'!$B$18,Paramètres!$A$1:$I$89,5,0)</f>
        <v>-3.813056537183002E-14</v>
      </c>
      <c r="GW124" s="14" t="e">
        <f t="shared" si="105"/>
        <v>#NUM!</v>
      </c>
      <c r="GX124" s="22" t="e">
        <f t="shared" si="82"/>
        <v>#NUM!</v>
      </c>
      <c r="GY124" s="62" t="e">
        <f t="shared" si="83"/>
        <v>#NUM!</v>
      </c>
      <c r="GZ124" s="62">
        <f ca="1">AVERAGE(OFFSET($GY$3,0,0,'Données projet'!$E$18+1,1))-AVERAGE(OFFSET($H$3,0,0,'Données projet'!$E$18+1,1))</f>
        <v>291.18686311753402</v>
      </c>
      <c r="HA124" s="62">
        <f t="shared" si="106"/>
        <v>215.44422413249839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9">
        <f t="shared" si="56"/>
        <v>256.66666666666669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260.02504691866199</v>
      </c>
      <c r="T125" s="62">
        <f t="shared" si="88"/>
        <v>270.11268336406368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1.6183843071676256</v>
      </c>
      <c r="AA125" s="23">
        <f>EXP(-LN(2)/25)*AA124+(1-EXP(-LN(2)/25))/(LN(2)/25)*Calculateur!V125*Calculateur!X125*VLOOKUP('Données projet'!$B$9,Paramètres!$A$1:$I$89,3,0)*0.475*44/12</f>
        <v>1.2823504777815717</v>
      </c>
      <c r="AB125" s="23">
        <f>EXP(-LN(2)/2)*AB124+(1-EXP(-LN(2)/2))/(LN(2)/2)*V125*Y125*VLOOKUP('Données projet'!$B$9,Paramètres!$A$1:$I$89,3,0)*0.475*44/12</f>
        <v>9.009626390257841E-14</v>
      </c>
      <c r="AC125" s="24">
        <f t="shared" si="57"/>
        <v>2.9007347849492873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2">
        <f t="shared" si="59"/>
        <v>893.92421921427581</v>
      </c>
      <c r="AN125" s="62">
        <f ca="1">AVERAGE(OFFSET($AM$3,0,0,'Données projet'!$E$10+1,1))-AVERAGE(OFFSET($H$3,0,0,'Données projet'!$E$10+1,1))</f>
        <v>475.47920969424894</v>
      </c>
      <c r="AO125" s="62">
        <f t="shared" si="90"/>
        <v>271.73544012419364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248.27711999999951</v>
      </c>
      <c r="BF125" s="14">
        <f t="shared" si="91"/>
        <v>60.216863677580257</v>
      </c>
      <c r="BG125" s="22">
        <f t="shared" si="61"/>
        <v>537.29368823845141</v>
      </c>
      <c r="BH125" s="62">
        <f t="shared" si="62"/>
        <v>830.62702157178478</v>
      </c>
      <c r="BI125" s="62">
        <f ca="1">AVERAGE(OFFSET($BH$3,0,0,'Données projet'!$E$11+1,1))-AVERAGE(OFFSET($H$3,0,0,'Données projet'!$E$11+1,1))</f>
        <v>428.8489304403459</v>
      </c>
      <c r="BJ125" s="62">
        <f t="shared" si="92"/>
        <v>247.01165577562966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-1.9895196601282805E-13</v>
      </c>
      <c r="BZ125" s="14">
        <f>BY125*VLOOKUP('Données projet'!$B$12,Paramètres!$A$1:$I$89,3,0)*VLOOKUP('Données projet'!$B$12,Paramètres!$A$1:$I$89,5,0)</f>
        <v>-1.6138983482960614E-13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236.22643401787644</v>
      </c>
      <c r="CE125" s="62">
        <f t="shared" si="94"/>
        <v>188.80444043778022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2.8421709430404007E-13</v>
      </c>
      <c r="CU125" s="18">
        <f>CT125*VLOOKUP('Données projet'!$B$13,Paramètres!$A$1:$I$89,3,0)*VLOOKUP('Données projet'!$B$13,Paramètres!$A$1:$I$89,5,0)</f>
        <v>1.3301360013429075E-13</v>
      </c>
      <c r="CV125" s="14">
        <f t="shared" si="95"/>
        <v>1.9329766731057041E-12</v>
      </c>
      <c r="CW125" s="22">
        <f t="shared" si="67"/>
        <v>3.5982663925596575E-12</v>
      </c>
      <c r="CX125" s="62">
        <f t="shared" si="68"/>
        <v>293.3333333333369</v>
      </c>
      <c r="CY125" s="62">
        <f ca="1">AVERAGE(OFFSET($CX$3,0,0,'Données projet'!$E$13+1,1))-AVERAGE(OFFSET($H$3,0,0,'Données projet'!$E$13+1,1))</f>
        <v>246.73711856758143</v>
      </c>
      <c r="CZ125" s="62">
        <f t="shared" si="96"/>
        <v>145.54897745089966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2.6282051282051269</v>
      </c>
      <c r="DO125" s="13">
        <f>IF('Données projet'!$A$166&gt;35,DO124+DN125-DW124,IF(A125&lt;'Données projet'!$A$166,$DL$205^A125,IF(A125='Données projet'!$A$166,'Données projet'!$B$166,DO124+DN125-DW124)))</f>
        <v>318.07692307692247</v>
      </c>
      <c r="DP125" s="18">
        <f>DO125*VLOOKUP('Données projet'!$B$14,Paramètres!$A$1:$I$89,3,0)*VLOOKUP('Données projet'!$B$14,Paramètres!$A$1:$I$89,5,0)</f>
        <v>332.45399999999938</v>
      </c>
      <c r="DQ125" s="14">
        <f t="shared" si="97"/>
        <v>77.938864391883257</v>
      </c>
      <c r="DR125" s="22">
        <f t="shared" si="70"/>
        <v>714.76757214919553</v>
      </c>
      <c r="DS125" s="62">
        <f t="shared" si="71"/>
        <v>1008.1009054825288</v>
      </c>
      <c r="DT125" s="62">
        <f ca="1">AVERAGE(OFFSET($DS$3,0,0,'Données projet'!$E$14+1,1))-AVERAGE(OFFSET($H$3,0,0,'Données projet'!$E$14+1,1))</f>
        <v>493.70175665335978</v>
      </c>
      <c r="DU125" s="62">
        <f t="shared" si="98"/>
        <v>325.12357781685949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-1.7053025658242404E-13</v>
      </c>
      <c r="EK125" s="18">
        <f>EJ125*VLOOKUP('Données projet'!$B$15,Paramètres!$A$1:$I$89,3,0)*VLOOKUP('Données projet'!$B$15,Paramètres!$A$1:$I$89,5,0)</f>
        <v>-1.4897523215040567E-13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202.86354781280403</v>
      </c>
      <c r="EP125" s="62">
        <f t="shared" si="100"/>
        <v>217.25323885665131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-1.7053025658242404E-13</v>
      </c>
      <c r="FF125" s="18">
        <f>FE125*VLOOKUP('Données projet'!$B$16,Paramètres!$A$1:$I$89,3,0)*VLOOKUP('Données projet'!$B$16,Paramètres!$A$1:$I$89,5,0)</f>
        <v>-1.6227659216383472E-13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353.61481736740694</v>
      </c>
      <c r="FK125" s="62">
        <f t="shared" si="102"/>
        <v>244.7141066773861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5.6843418860808015E-14</v>
      </c>
      <c r="GA125" s="18">
        <f>FZ125*VLOOKUP('Données projet'!$B$17,Paramètres!$A$1:$I$89,3,0)*VLOOKUP('Données projet'!$B$17,Paramètres!$A$1:$I$89,5,0)</f>
        <v>6.1186256061773749E-14</v>
      </c>
      <c r="GB125" s="14">
        <f t="shared" si="103"/>
        <v>9.7328366192051127E-13</v>
      </c>
      <c r="GC125" s="22">
        <f t="shared" si="79"/>
        <v>1.8017017738191463E-12</v>
      </c>
      <c r="GD125" s="62">
        <f t="shared" si="80"/>
        <v>293.33333333333513</v>
      </c>
      <c r="GE125" s="62">
        <f ca="1">AVERAGE(OFFSET($GD$3,0,0,'Données projet'!$E$17+1,1))-AVERAGE(OFFSET($H$3,0,0,'Données projet'!$E$17+1,1))</f>
        <v>280.20599015000306</v>
      </c>
      <c r="GF125" s="62">
        <f t="shared" si="104"/>
        <v>166.97658184507787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-5.6843418860808015E-14</v>
      </c>
      <c r="GV125" s="18">
        <f>GU125*VLOOKUP('Données projet'!$B$18,Paramètres!$A$1:$I$89,3,0)*VLOOKUP('Données projet'!$B$18,Paramètres!$A$1:$I$89,5,0)</f>
        <v>-3.813056537183002E-14</v>
      </c>
      <c r="GW125" s="14" t="e">
        <f t="shared" si="105"/>
        <v>#NUM!</v>
      </c>
      <c r="GX125" s="22" t="e">
        <f t="shared" si="82"/>
        <v>#NUM!</v>
      </c>
      <c r="GY125" s="62" t="e">
        <f t="shared" si="83"/>
        <v>#NUM!</v>
      </c>
      <c r="GZ125" s="62">
        <f ca="1">AVERAGE(OFFSET($GY$3,0,0,'Données projet'!$E$18+1,1))-AVERAGE(OFFSET($H$3,0,0,'Données projet'!$E$18+1,1))</f>
        <v>291.18686311753402</v>
      </c>
      <c r="HA125" s="62">
        <f t="shared" si="106"/>
        <v>215.44422413249839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9">
        <f t="shared" si="56"/>
        <v>256.66666666666669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260.02504691866199</v>
      </c>
      <c r="T126" s="62">
        <f t="shared" si="88"/>
        <v>270.11268336406368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1.5866487780210261</v>
      </c>
      <c r="AA126" s="23">
        <f>EXP(-LN(2)/25)*AA125+(1-EXP(-LN(2)/25))/(LN(2)/25)*Calculateur!V126*Calculateur!X126*VLOOKUP('Données projet'!$B$9,Paramètres!$A$1:$I$89,3,0)*0.475*44/12</f>
        <v>1.2472845365307539</v>
      </c>
      <c r="AB126" s="23">
        <f>EXP(-LN(2)/2)*AB125+(1-EXP(-LN(2)/2))/(LN(2)/2)*V126*Y126*VLOOKUP('Données projet'!$B$9,Paramètres!$A$1:$I$89,3,0)*0.475*44/12</f>
        <v>6.3707679165085952E-14</v>
      </c>
      <c r="AC126" s="24">
        <f t="shared" si="57"/>
        <v>2.8339333145518437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2">
        <f t="shared" si="59"/>
        <v>900.76994244930756</v>
      </c>
      <c r="AN126" s="62">
        <f ca="1">AVERAGE(OFFSET($AM$3,0,0,'Données projet'!$E$10+1,1))-AVERAGE(OFFSET($H$3,0,0,'Données projet'!$E$10+1,1))</f>
        <v>475.47920969424894</v>
      </c>
      <c r="AO126" s="62">
        <f t="shared" si="90"/>
        <v>271.73544012419364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251.1724799999995</v>
      </c>
      <c r="BF126" s="14">
        <f t="shared" si="91"/>
        <v>60.836941386956575</v>
      </c>
      <c r="BG126" s="22">
        <f t="shared" si="61"/>
        <v>543.41640891561519</v>
      </c>
      <c r="BH126" s="62">
        <f t="shared" si="62"/>
        <v>836.74974224894845</v>
      </c>
      <c r="BI126" s="62">
        <f ca="1">AVERAGE(OFFSET($BH$3,0,0,'Données projet'!$E$11+1,1))-AVERAGE(OFFSET($H$3,0,0,'Données projet'!$E$11+1,1))</f>
        <v>428.8489304403459</v>
      </c>
      <c r="BJ126" s="62">
        <f t="shared" si="92"/>
        <v>247.01165577562966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-1.9895196601282805E-13</v>
      </c>
      <c r="BZ126" s="14">
        <f>BY126*VLOOKUP('Données projet'!$B$12,Paramètres!$A$1:$I$89,3,0)*VLOOKUP('Données projet'!$B$12,Paramètres!$A$1:$I$89,5,0)</f>
        <v>-1.6138983482960614E-13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236.22643401787644</v>
      </c>
      <c r="CE126" s="62">
        <f t="shared" si="94"/>
        <v>188.80444043778022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2.8421709430404007E-13</v>
      </c>
      <c r="CU126" s="18">
        <f>CT126*VLOOKUP('Données projet'!$B$13,Paramètres!$A$1:$I$89,3,0)*VLOOKUP('Données projet'!$B$13,Paramètres!$A$1:$I$89,5,0)</f>
        <v>1.3301360013429075E-13</v>
      </c>
      <c r="CV126" s="14">
        <f t="shared" si="95"/>
        <v>1.9329766731057041E-12</v>
      </c>
      <c r="CW126" s="22">
        <f t="shared" si="67"/>
        <v>3.5982663925596575E-12</v>
      </c>
      <c r="CX126" s="62">
        <f t="shared" si="68"/>
        <v>293.3333333333369</v>
      </c>
      <c r="CY126" s="62">
        <f ca="1">AVERAGE(OFFSET($CX$3,0,0,'Données projet'!$E$13+1,1))-AVERAGE(OFFSET($H$3,0,0,'Données projet'!$E$13+1,1))</f>
        <v>246.73711856758143</v>
      </c>
      <c r="CZ126" s="62">
        <f t="shared" si="96"/>
        <v>145.54897745089966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2.6282051282051269</v>
      </c>
      <c r="DO126" s="13">
        <f>IF('Données projet'!$A$166&gt;35,DO125+DN126-DW125,IF(A126&lt;'Données projet'!$A$166,$DL$205^A126,IF(A126='Données projet'!$A$166,'Données projet'!$B$166,DO125+DN126-DW125)))</f>
        <v>320.70512820512761</v>
      </c>
      <c r="DP126" s="18">
        <f>DO126*VLOOKUP('Données projet'!$B$14,Paramètres!$A$1:$I$89,3,0)*VLOOKUP('Données projet'!$B$14,Paramètres!$A$1:$I$89,5,0)</f>
        <v>335.2009999999994</v>
      </c>
      <c r="DQ126" s="14">
        <f t="shared" si="97"/>
        <v>78.507623830791573</v>
      </c>
      <c r="DR126" s="22">
        <f t="shared" si="70"/>
        <v>720.54251983862753</v>
      </c>
      <c r="DS126" s="62">
        <f t="shared" si="71"/>
        <v>1013.8758531719609</v>
      </c>
      <c r="DT126" s="62">
        <f ca="1">AVERAGE(OFFSET($DS$3,0,0,'Données projet'!$E$14+1,1))-AVERAGE(OFFSET($H$3,0,0,'Données projet'!$E$14+1,1))</f>
        <v>493.70175665335978</v>
      </c>
      <c r="DU126" s="62">
        <f t="shared" si="98"/>
        <v>325.12357781685949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-1.7053025658242404E-13</v>
      </c>
      <c r="EK126" s="18">
        <f>EJ126*VLOOKUP('Données projet'!$B$15,Paramètres!$A$1:$I$89,3,0)*VLOOKUP('Données projet'!$B$15,Paramètres!$A$1:$I$89,5,0)</f>
        <v>-1.4897523215040567E-13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202.86354781280403</v>
      </c>
      <c r="EP126" s="62">
        <f t="shared" si="100"/>
        <v>217.25323885665131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-1.7053025658242404E-13</v>
      </c>
      <c r="FF126" s="18">
        <f>FE126*VLOOKUP('Données projet'!$B$16,Paramètres!$A$1:$I$89,3,0)*VLOOKUP('Données projet'!$B$16,Paramètres!$A$1:$I$89,5,0)</f>
        <v>-1.6227659216383472E-13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353.61481736740694</v>
      </c>
      <c r="FK126" s="62">
        <f t="shared" si="102"/>
        <v>244.7141066773861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5.6843418860808015E-14</v>
      </c>
      <c r="GA126" s="18">
        <f>FZ126*VLOOKUP('Données projet'!$B$17,Paramètres!$A$1:$I$89,3,0)*VLOOKUP('Données projet'!$B$17,Paramètres!$A$1:$I$89,5,0)</f>
        <v>6.1186256061773749E-14</v>
      </c>
      <c r="GB126" s="14">
        <f t="shared" si="103"/>
        <v>9.7328366192051127E-13</v>
      </c>
      <c r="GC126" s="22">
        <f t="shared" si="79"/>
        <v>1.8017017738191463E-12</v>
      </c>
      <c r="GD126" s="62">
        <f t="shared" si="80"/>
        <v>293.33333333333513</v>
      </c>
      <c r="GE126" s="62">
        <f ca="1">AVERAGE(OFFSET($GD$3,0,0,'Données projet'!$E$17+1,1))-AVERAGE(OFFSET($H$3,0,0,'Données projet'!$E$17+1,1))</f>
        <v>280.20599015000306</v>
      </c>
      <c r="GF126" s="62">
        <f t="shared" si="104"/>
        <v>166.97658184507787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-5.6843418860808015E-14</v>
      </c>
      <c r="GV126" s="18">
        <f>GU126*VLOOKUP('Données projet'!$B$18,Paramètres!$A$1:$I$89,3,0)*VLOOKUP('Données projet'!$B$18,Paramètres!$A$1:$I$89,5,0)</f>
        <v>-3.813056537183002E-14</v>
      </c>
      <c r="GW126" s="14" t="e">
        <f t="shared" si="105"/>
        <v>#NUM!</v>
      </c>
      <c r="GX126" s="22" t="e">
        <f t="shared" si="82"/>
        <v>#NUM!</v>
      </c>
      <c r="GY126" s="62" t="e">
        <f t="shared" si="83"/>
        <v>#NUM!</v>
      </c>
      <c r="GZ126" s="62">
        <f ca="1">AVERAGE(OFFSET($GY$3,0,0,'Données projet'!$E$18+1,1))-AVERAGE(OFFSET($H$3,0,0,'Données projet'!$E$18+1,1))</f>
        <v>291.18686311753402</v>
      </c>
      <c r="HA126" s="62">
        <f t="shared" si="106"/>
        <v>215.44422413249839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9">
        <f t="shared" si="56"/>
        <v>256.66666666666669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260.02504691866199</v>
      </c>
      <c r="T127" s="62">
        <f t="shared" si="88"/>
        <v>270.11268336406368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1.55553556324423</v>
      </c>
      <c r="AA127" s="23">
        <f>EXP(-LN(2)/25)*AA126+(1-EXP(-LN(2)/25))/(LN(2)/25)*Calculateur!V127*Calculateur!X127*VLOOKUP('Données projet'!$B$9,Paramètres!$A$1:$I$89,3,0)*0.475*44/12</f>
        <v>1.2131774752874773</v>
      </c>
      <c r="AB127" s="23">
        <f>EXP(-LN(2)/2)*AB126+(1-EXP(-LN(2)/2))/(LN(2)/2)*V127*Y127*VLOOKUP('Données projet'!$B$9,Paramètres!$A$1:$I$89,3,0)*0.475*44/12</f>
        <v>4.5048131951289205E-14</v>
      </c>
      <c r="AC127" s="24">
        <f t="shared" si="57"/>
        <v>2.7687130385317524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2">
        <f t="shared" si="59"/>
        <v>907.61406414075418</v>
      </c>
      <c r="AN127" s="62">
        <f ca="1">AVERAGE(OFFSET($AM$3,0,0,'Données projet'!$E$10+1,1))-AVERAGE(OFFSET($H$3,0,0,'Données projet'!$E$10+1,1))</f>
        <v>475.47920969424894</v>
      </c>
      <c r="AO127" s="62">
        <f t="shared" si="90"/>
        <v>271.73544012419364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254.06783999999948</v>
      </c>
      <c r="BF127" s="14">
        <f t="shared" si="91"/>
        <v>61.456187622750612</v>
      </c>
      <c r="BG127" s="22">
        <f t="shared" si="61"/>
        <v>549.53768144295634</v>
      </c>
      <c r="BH127" s="62">
        <f t="shared" si="62"/>
        <v>842.87101477628971</v>
      </c>
      <c r="BI127" s="62">
        <f ca="1">AVERAGE(OFFSET($BH$3,0,0,'Données projet'!$E$11+1,1))-AVERAGE(OFFSET($H$3,0,0,'Données projet'!$E$11+1,1))</f>
        <v>428.8489304403459</v>
      </c>
      <c r="BJ127" s="62">
        <f t="shared" si="92"/>
        <v>247.01165577562966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-1.9895196601282805E-13</v>
      </c>
      <c r="BZ127" s="14">
        <f>BY127*VLOOKUP('Données projet'!$B$12,Paramètres!$A$1:$I$89,3,0)*VLOOKUP('Données projet'!$B$12,Paramètres!$A$1:$I$89,5,0)</f>
        <v>-1.6138983482960614E-13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236.22643401787644</v>
      </c>
      <c r="CE127" s="62">
        <f t="shared" si="94"/>
        <v>188.80444043778022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2.8421709430404007E-13</v>
      </c>
      <c r="CU127" s="18">
        <f>CT127*VLOOKUP('Données projet'!$B$13,Paramètres!$A$1:$I$89,3,0)*VLOOKUP('Données projet'!$B$13,Paramètres!$A$1:$I$89,5,0)</f>
        <v>1.3301360013429075E-13</v>
      </c>
      <c r="CV127" s="14">
        <f t="shared" si="95"/>
        <v>1.9329766731057041E-12</v>
      </c>
      <c r="CW127" s="22">
        <f t="shared" si="67"/>
        <v>3.5982663925596575E-12</v>
      </c>
      <c r="CX127" s="62">
        <f t="shared" si="68"/>
        <v>293.3333333333369</v>
      </c>
      <c r="CY127" s="62">
        <f ca="1">AVERAGE(OFFSET($CX$3,0,0,'Données projet'!$E$13+1,1))-AVERAGE(OFFSET($H$3,0,0,'Données projet'!$E$13+1,1))</f>
        <v>246.73711856758143</v>
      </c>
      <c r="CZ127" s="62">
        <f t="shared" si="96"/>
        <v>145.54897745089966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2.6282051282051269</v>
      </c>
      <c r="DO127" s="13">
        <f>IF('Données projet'!$A$166&gt;35,DO126+DN127-DW126,IF(A127&lt;'Données projet'!$A$166,$DL$205^A127,IF(A127='Données projet'!$A$166,'Données projet'!$B$166,DO126+DN127-DW126)))</f>
        <v>323.33333333333275</v>
      </c>
      <c r="DP127" s="18">
        <f>DO127*VLOOKUP('Données projet'!$B$14,Paramètres!$A$1:$I$89,3,0)*VLOOKUP('Données projet'!$B$14,Paramètres!$A$1:$I$89,5,0)</f>
        <v>337.94799999999941</v>
      </c>
      <c r="DQ127" s="14">
        <f t="shared" si="97"/>
        <v>79.075840977982864</v>
      </c>
      <c r="DR127" s="22">
        <f t="shared" si="70"/>
        <v>726.31652303665248</v>
      </c>
      <c r="DS127" s="62">
        <f t="shared" si="71"/>
        <v>1019.6498563699859</v>
      </c>
      <c r="DT127" s="62">
        <f ca="1">AVERAGE(OFFSET($DS$3,0,0,'Données projet'!$E$14+1,1))-AVERAGE(OFFSET($H$3,0,0,'Données projet'!$E$14+1,1))</f>
        <v>493.70175665335978</v>
      </c>
      <c r="DU127" s="62">
        <f t="shared" si="98"/>
        <v>325.12357781685949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-1.7053025658242404E-13</v>
      </c>
      <c r="EK127" s="18">
        <f>EJ127*VLOOKUP('Données projet'!$B$15,Paramètres!$A$1:$I$89,3,0)*VLOOKUP('Données projet'!$B$15,Paramètres!$A$1:$I$89,5,0)</f>
        <v>-1.4897523215040567E-13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202.86354781280403</v>
      </c>
      <c r="EP127" s="62">
        <f t="shared" si="100"/>
        <v>217.25323885665131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-1.7053025658242404E-13</v>
      </c>
      <c r="FF127" s="18">
        <f>FE127*VLOOKUP('Données projet'!$B$16,Paramètres!$A$1:$I$89,3,0)*VLOOKUP('Données projet'!$B$16,Paramètres!$A$1:$I$89,5,0)</f>
        <v>-1.6227659216383472E-13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353.61481736740694</v>
      </c>
      <c r="FK127" s="62">
        <f t="shared" si="102"/>
        <v>244.7141066773861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5.6843418860808015E-14</v>
      </c>
      <c r="GA127" s="18">
        <f>FZ127*VLOOKUP('Données projet'!$B$17,Paramètres!$A$1:$I$89,3,0)*VLOOKUP('Données projet'!$B$17,Paramètres!$A$1:$I$89,5,0)</f>
        <v>6.1186256061773749E-14</v>
      </c>
      <c r="GB127" s="14">
        <f t="shared" si="103"/>
        <v>9.7328366192051127E-13</v>
      </c>
      <c r="GC127" s="22">
        <f t="shared" si="79"/>
        <v>1.8017017738191463E-12</v>
      </c>
      <c r="GD127" s="62">
        <f t="shared" si="80"/>
        <v>293.33333333333513</v>
      </c>
      <c r="GE127" s="62">
        <f ca="1">AVERAGE(OFFSET($GD$3,0,0,'Données projet'!$E$17+1,1))-AVERAGE(OFFSET($H$3,0,0,'Données projet'!$E$17+1,1))</f>
        <v>280.20599015000306</v>
      </c>
      <c r="GF127" s="62">
        <f t="shared" si="104"/>
        <v>166.97658184507787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-5.6843418860808015E-14</v>
      </c>
      <c r="GV127" s="18">
        <f>GU127*VLOOKUP('Données projet'!$B$18,Paramètres!$A$1:$I$89,3,0)*VLOOKUP('Données projet'!$B$18,Paramètres!$A$1:$I$89,5,0)</f>
        <v>-3.813056537183002E-14</v>
      </c>
      <c r="GW127" s="14" t="e">
        <f t="shared" si="105"/>
        <v>#NUM!</v>
      </c>
      <c r="GX127" s="22" t="e">
        <f t="shared" si="82"/>
        <v>#NUM!</v>
      </c>
      <c r="GY127" s="62" t="e">
        <f t="shared" si="83"/>
        <v>#NUM!</v>
      </c>
      <c r="GZ127" s="62">
        <f ca="1">AVERAGE(OFFSET($GY$3,0,0,'Données projet'!$E$18+1,1))-AVERAGE(OFFSET($H$3,0,0,'Données projet'!$E$18+1,1))</f>
        <v>291.18686311753402</v>
      </c>
      <c r="HA127" s="62">
        <f t="shared" si="106"/>
        <v>215.44422413249839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9">
        <f t="shared" si="56"/>
        <v>256.66666666666669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260.02504691866199</v>
      </c>
      <c r="T128" s="62">
        <f t="shared" si="88"/>
        <v>270.11268336406368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1.5250324596320197</v>
      </c>
      <c r="AA128" s="23">
        <f>EXP(-LN(2)/25)*AA127+(1-EXP(-LN(2)/25))/(LN(2)/25)*Calculateur!V128*Calculateur!X128*VLOOKUP('Données projet'!$B$9,Paramètres!$A$1:$I$89,3,0)*0.475*44/12</f>
        <v>1.1800030734275107</v>
      </c>
      <c r="AB128" s="23">
        <f>EXP(-LN(2)/2)*AB127+(1-EXP(-LN(2)/2))/(LN(2)/2)*V128*Y128*VLOOKUP('Données projet'!$B$9,Paramètres!$A$1:$I$89,3,0)*0.475*44/12</f>
        <v>3.1853839582542976E-14</v>
      </c>
      <c r="AC128" s="24">
        <f t="shared" si="57"/>
        <v>2.7050355330595623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2">
        <f t="shared" si="59"/>
        <v>914.45660465164383</v>
      </c>
      <c r="AN128" s="62">
        <f ca="1">AVERAGE(OFFSET($AM$3,0,0,'Données projet'!$E$10+1,1))-AVERAGE(OFFSET($H$3,0,0,'Données projet'!$E$10+1,1))</f>
        <v>475.47920969424894</v>
      </c>
      <c r="AO128" s="62">
        <f t="shared" si="90"/>
        <v>271.73544012419364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256.96319999999946</v>
      </c>
      <c r="BF128" s="14">
        <f t="shared" si="91"/>
        <v>62.07461295683791</v>
      </c>
      <c r="BG128" s="22">
        <f t="shared" si="61"/>
        <v>555.65752423315837</v>
      </c>
      <c r="BH128" s="62">
        <f t="shared" si="62"/>
        <v>848.99085756649174</v>
      </c>
      <c r="BI128" s="62">
        <f ca="1">AVERAGE(OFFSET($BH$3,0,0,'Données projet'!$E$11+1,1))-AVERAGE(OFFSET($H$3,0,0,'Données projet'!$E$11+1,1))</f>
        <v>428.8489304403459</v>
      </c>
      <c r="BJ128" s="62">
        <f t="shared" si="92"/>
        <v>247.01165577562966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-1.9895196601282805E-13</v>
      </c>
      <c r="BZ128" s="14">
        <f>BY128*VLOOKUP('Données projet'!$B$12,Paramètres!$A$1:$I$89,3,0)*VLOOKUP('Données projet'!$B$12,Paramètres!$A$1:$I$89,5,0)</f>
        <v>-1.6138983482960614E-13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236.22643401787644</v>
      </c>
      <c r="CE128" s="62">
        <f t="shared" si="94"/>
        <v>188.80444043778022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2.8421709430404007E-13</v>
      </c>
      <c r="CU128" s="18">
        <f>CT128*VLOOKUP('Données projet'!$B$13,Paramètres!$A$1:$I$89,3,0)*VLOOKUP('Données projet'!$B$13,Paramètres!$A$1:$I$89,5,0)</f>
        <v>1.3301360013429075E-13</v>
      </c>
      <c r="CV128" s="14">
        <f t="shared" si="95"/>
        <v>1.9329766731057041E-12</v>
      </c>
      <c r="CW128" s="22">
        <f t="shared" si="67"/>
        <v>3.5982663925596575E-12</v>
      </c>
      <c r="CX128" s="62">
        <f t="shared" si="68"/>
        <v>293.3333333333369</v>
      </c>
      <c r="CY128" s="62">
        <f ca="1">AVERAGE(OFFSET($CX$3,0,0,'Données projet'!$E$13+1,1))-AVERAGE(OFFSET($H$3,0,0,'Données projet'!$E$13+1,1))</f>
        <v>246.73711856758143</v>
      </c>
      <c r="CZ128" s="62">
        <f t="shared" si="96"/>
        <v>145.54897745089966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2.6282051282051269</v>
      </c>
      <c r="DO128" s="13">
        <f>IF('Données projet'!$A$166&gt;35,DO127+DN128-DW127,IF(A128&lt;'Données projet'!$A$166,$DL$205^A128,IF(A128='Données projet'!$A$166,'Données projet'!$B$166,DO127+DN128-DW127)))</f>
        <v>325.96153846153788</v>
      </c>
      <c r="DP128" s="18">
        <f>DO128*VLOOKUP('Données projet'!$B$14,Paramètres!$A$1:$I$89,3,0)*VLOOKUP('Données projet'!$B$14,Paramètres!$A$1:$I$89,5,0)</f>
        <v>340.69499999999942</v>
      </c>
      <c r="DQ128" s="14">
        <f t="shared" si="97"/>
        <v>79.643520752331625</v>
      </c>
      <c r="DR128" s="22">
        <f t="shared" si="70"/>
        <v>732.08959031030997</v>
      </c>
      <c r="DS128" s="62">
        <f t="shared" si="71"/>
        <v>1025.4229236436433</v>
      </c>
      <c r="DT128" s="62">
        <f ca="1">AVERAGE(OFFSET($DS$3,0,0,'Données projet'!$E$14+1,1))-AVERAGE(OFFSET($H$3,0,0,'Données projet'!$E$14+1,1))</f>
        <v>493.70175665335978</v>
      </c>
      <c r="DU128" s="62">
        <f t="shared" si="98"/>
        <v>325.12357781685949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-1.7053025658242404E-13</v>
      </c>
      <c r="EK128" s="18">
        <f>EJ128*VLOOKUP('Données projet'!$B$15,Paramètres!$A$1:$I$89,3,0)*VLOOKUP('Données projet'!$B$15,Paramètres!$A$1:$I$89,5,0)</f>
        <v>-1.4897523215040567E-13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202.86354781280403</v>
      </c>
      <c r="EP128" s="62">
        <f t="shared" si="100"/>
        <v>217.25323885665131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-1.7053025658242404E-13</v>
      </c>
      <c r="FF128" s="18">
        <f>FE128*VLOOKUP('Données projet'!$B$16,Paramètres!$A$1:$I$89,3,0)*VLOOKUP('Données projet'!$B$16,Paramètres!$A$1:$I$89,5,0)</f>
        <v>-1.6227659216383472E-13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353.61481736740694</v>
      </c>
      <c r="FK128" s="62">
        <f t="shared" si="102"/>
        <v>244.7141066773861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5.6843418860808015E-14</v>
      </c>
      <c r="GA128" s="18">
        <f>FZ128*VLOOKUP('Données projet'!$B$17,Paramètres!$A$1:$I$89,3,0)*VLOOKUP('Données projet'!$B$17,Paramètres!$A$1:$I$89,5,0)</f>
        <v>6.1186256061773749E-14</v>
      </c>
      <c r="GB128" s="14">
        <f t="shared" si="103"/>
        <v>9.7328366192051127E-13</v>
      </c>
      <c r="GC128" s="22">
        <f t="shared" si="79"/>
        <v>1.8017017738191463E-12</v>
      </c>
      <c r="GD128" s="62">
        <f t="shared" si="80"/>
        <v>293.33333333333513</v>
      </c>
      <c r="GE128" s="62">
        <f ca="1">AVERAGE(OFFSET($GD$3,0,0,'Données projet'!$E$17+1,1))-AVERAGE(OFFSET($H$3,0,0,'Données projet'!$E$17+1,1))</f>
        <v>280.20599015000306</v>
      </c>
      <c r="GF128" s="62">
        <f t="shared" si="104"/>
        <v>166.97658184507787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-5.6843418860808015E-14</v>
      </c>
      <c r="GV128" s="18">
        <f>GU128*VLOOKUP('Données projet'!$B$18,Paramètres!$A$1:$I$89,3,0)*VLOOKUP('Données projet'!$B$18,Paramètres!$A$1:$I$89,5,0)</f>
        <v>-3.813056537183002E-14</v>
      </c>
      <c r="GW128" s="14" t="e">
        <f t="shared" si="105"/>
        <v>#NUM!</v>
      </c>
      <c r="GX128" s="22" t="e">
        <f t="shared" si="82"/>
        <v>#NUM!</v>
      </c>
      <c r="GY128" s="62" t="e">
        <f t="shared" si="83"/>
        <v>#NUM!</v>
      </c>
      <c r="GZ128" s="62">
        <f ca="1">AVERAGE(OFFSET($GY$3,0,0,'Données projet'!$E$18+1,1))-AVERAGE(OFFSET($H$3,0,0,'Données projet'!$E$18+1,1))</f>
        <v>291.18686311753402</v>
      </c>
      <c r="HA128" s="62">
        <f t="shared" si="106"/>
        <v>215.44422413249839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9">
        <f t="shared" si="56"/>
        <v>256.66666666666669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260.02504691866199</v>
      </c>
      <c r="T129" s="62">
        <f t="shared" si="88"/>
        <v>270.11268336406368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1.4951275032765887</v>
      </c>
      <c r="AA129" s="23">
        <f>EXP(-LN(2)/25)*AA128+(1-EXP(-LN(2)/25))/(LN(2)/25)*Calculateur!V129*Calculateur!X129*VLOOKUP('Données projet'!$B$9,Paramètres!$A$1:$I$89,3,0)*0.475*44/12</f>
        <v>1.1477358273309706</v>
      </c>
      <c r="AB129" s="23">
        <f>EXP(-LN(2)/2)*AB128+(1-EXP(-LN(2)/2))/(LN(2)/2)*V129*Y129*VLOOKUP('Données projet'!$B$9,Paramètres!$A$1:$I$89,3,0)*0.475*44/12</f>
        <v>2.2524065975644603E-14</v>
      </c>
      <c r="AC129" s="24">
        <f t="shared" si="57"/>
        <v>2.6428633306075819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2">
        <f t="shared" si="59"/>
        <v>921.29758385969899</v>
      </c>
      <c r="AN129" s="62">
        <f ca="1">AVERAGE(OFFSET($AM$3,0,0,'Données projet'!$E$10+1,1))-AVERAGE(OFFSET($H$3,0,0,'Données projet'!$E$10+1,1))</f>
        <v>475.47920969424894</v>
      </c>
      <c r="AO129" s="62">
        <f t="shared" si="90"/>
        <v>271.73544012419364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259.85855999999944</v>
      </c>
      <c r="BF129" s="14">
        <f t="shared" si="91"/>
        <v>62.692227709138365</v>
      </c>
      <c r="BG129" s="22">
        <f t="shared" si="61"/>
        <v>561.77595526008167</v>
      </c>
      <c r="BH129" s="62">
        <f t="shared" si="62"/>
        <v>855.10928859341493</v>
      </c>
      <c r="BI129" s="62">
        <f ca="1">AVERAGE(OFFSET($BH$3,0,0,'Données projet'!$E$11+1,1))-AVERAGE(OFFSET($H$3,0,0,'Données projet'!$E$11+1,1))</f>
        <v>428.8489304403459</v>
      </c>
      <c r="BJ129" s="62">
        <f t="shared" si="92"/>
        <v>247.01165577562966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-1.9895196601282805E-13</v>
      </c>
      <c r="BZ129" s="14">
        <f>BY129*VLOOKUP('Données projet'!$B$12,Paramètres!$A$1:$I$89,3,0)*VLOOKUP('Données projet'!$B$12,Paramètres!$A$1:$I$89,5,0)</f>
        <v>-1.6138983482960614E-13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236.22643401787644</v>
      </c>
      <c r="CE129" s="62">
        <f t="shared" si="94"/>
        <v>188.80444043778022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2.8421709430404007E-13</v>
      </c>
      <c r="CU129" s="18">
        <f>CT129*VLOOKUP('Données projet'!$B$13,Paramètres!$A$1:$I$89,3,0)*VLOOKUP('Données projet'!$B$13,Paramètres!$A$1:$I$89,5,0)</f>
        <v>1.3301360013429075E-13</v>
      </c>
      <c r="CV129" s="14">
        <f t="shared" si="95"/>
        <v>1.9329766731057041E-12</v>
      </c>
      <c r="CW129" s="22">
        <f t="shared" si="67"/>
        <v>3.5982663925596575E-12</v>
      </c>
      <c r="CX129" s="62">
        <f t="shared" si="68"/>
        <v>293.3333333333369</v>
      </c>
      <c r="CY129" s="62">
        <f ca="1">AVERAGE(OFFSET($CX$3,0,0,'Données projet'!$E$13+1,1))-AVERAGE(OFFSET($H$3,0,0,'Données projet'!$E$13+1,1))</f>
        <v>246.73711856758143</v>
      </c>
      <c r="CZ129" s="62">
        <f t="shared" si="96"/>
        <v>145.54897745089966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2.6282051282051269</v>
      </c>
      <c r="DO129" s="13">
        <f>IF('Données projet'!$A$166&gt;35,DO128+DN129-DW128,IF(A129&lt;'Données projet'!$A$166,$DL$205^A129,IF(A129='Données projet'!$A$166,'Données projet'!$B$166,DO128+DN129-DW128)))</f>
        <v>328.58974358974302</v>
      </c>
      <c r="DP129" s="18">
        <f>DO129*VLOOKUP('Données projet'!$B$14,Paramètres!$A$1:$I$89,3,0)*VLOOKUP('Données projet'!$B$14,Paramètres!$A$1:$I$89,5,0)</f>
        <v>343.44199999999944</v>
      </c>
      <c r="DQ129" s="14">
        <f t="shared" si="97"/>
        <v>80.210667988811437</v>
      </c>
      <c r="DR129" s="22">
        <f t="shared" si="70"/>
        <v>737.86173008051219</v>
      </c>
      <c r="DS129" s="62">
        <f t="shared" si="71"/>
        <v>1031.1950634138454</v>
      </c>
      <c r="DT129" s="62">
        <f ca="1">AVERAGE(OFFSET($DS$3,0,0,'Données projet'!$E$14+1,1))-AVERAGE(OFFSET($H$3,0,0,'Données projet'!$E$14+1,1))</f>
        <v>493.70175665335978</v>
      </c>
      <c r="DU129" s="62">
        <f t="shared" si="98"/>
        <v>325.12357781685949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-1.7053025658242404E-13</v>
      </c>
      <c r="EK129" s="18">
        <f>EJ129*VLOOKUP('Données projet'!$B$15,Paramètres!$A$1:$I$89,3,0)*VLOOKUP('Données projet'!$B$15,Paramètres!$A$1:$I$89,5,0)</f>
        <v>-1.4897523215040567E-13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202.86354781280403</v>
      </c>
      <c r="EP129" s="62">
        <f t="shared" si="100"/>
        <v>217.25323885665131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-1.7053025658242404E-13</v>
      </c>
      <c r="FF129" s="18">
        <f>FE129*VLOOKUP('Données projet'!$B$16,Paramètres!$A$1:$I$89,3,0)*VLOOKUP('Données projet'!$B$16,Paramètres!$A$1:$I$89,5,0)</f>
        <v>-1.6227659216383472E-13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353.61481736740694</v>
      </c>
      <c r="FK129" s="62">
        <f t="shared" si="102"/>
        <v>244.7141066773861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5.6843418860808015E-14</v>
      </c>
      <c r="GA129" s="18">
        <f>FZ129*VLOOKUP('Données projet'!$B$17,Paramètres!$A$1:$I$89,3,0)*VLOOKUP('Données projet'!$B$17,Paramètres!$A$1:$I$89,5,0)</f>
        <v>6.1186256061773749E-14</v>
      </c>
      <c r="GB129" s="14">
        <f t="shared" si="103"/>
        <v>9.7328366192051127E-13</v>
      </c>
      <c r="GC129" s="22">
        <f t="shared" si="79"/>
        <v>1.8017017738191463E-12</v>
      </c>
      <c r="GD129" s="62">
        <f t="shared" si="80"/>
        <v>293.33333333333513</v>
      </c>
      <c r="GE129" s="62">
        <f ca="1">AVERAGE(OFFSET($GD$3,0,0,'Données projet'!$E$17+1,1))-AVERAGE(OFFSET($H$3,0,0,'Données projet'!$E$17+1,1))</f>
        <v>280.20599015000306</v>
      </c>
      <c r="GF129" s="62">
        <f t="shared" si="104"/>
        <v>166.97658184507787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-5.6843418860808015E-14</v>
      </c>
      <c r="GV129" s="18">
        <f>GU129*VLOOKUP('Données projet'!$B$18,Paramètres!$A$1:$I$89,3,0)*VLOOKUP('Données projet'!$B$18,Paramètres!$A$1:$I$89,5,0)</f>
        <v>-3.813056537183002E-14</v>
      </c>
      <c r="GW129" s="14" t="e">
        <f t="shared" si="105"/>
        <v>#NUM!</v>
      </c>
      <c r="GX129" s="22" t="e">
        <f t="shared" si="82"/>
        <v>#NUM!</v>
      </c>
      <c r="GY129" s="62" t="e">
        <f t="shared" si="83"/>
        <v>#NUM!</v>
      </c>
      <c r="GZ129" s="62">
        <f ca="1">AVERAGE(OFFSET($GY$3,0,0,'Données projet'!$E$18+1,1))-AVERAGE(OFFSET($H$3,0,0,'Données projet'!$E$18+1,1))</f>
        <v>291.18686311753402</v>
      </c>
      <c r="HA129" s="62">
        <f t="shared" si="106"/>
        <v>215.44422413249839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9">
        <f t="shared" si="56"/>
        <v>256.66666666666669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260.02504691866199</v>
      </c>
      <c r="T130" s="62">
        <f t="shared" si="88"/>
        <v>270.11268336406368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1.4658089648750654</v>
      </c>
      <c r="AA130" s="23">
        <f>EXP(-LN(2)/25)*AA129+(1-EXP(-LN(2)/25))/(LN(2)/25)*Calculateur!V130*Calculateur!X130*VLOOKUP('Données projet'!$B$9,Paramètres!$A$1:$I$89,3,0)*0.475*44/12</f>
        <v>1.1163509307758013</v>
      </c>
      <c r="AB130" s="23">
        <f>EXP(-LN(2)/2)*AB129+(1-EXP(-LN(2)/2))/(LN(2)/2)*V130*Y130*VLOOKUP('Données projet'!$B$9,Paramètres!$A$1:$I$89,3,0)*0.475*44/12</f>
        <v>1.5926919791271488E-14</v>
      </c>
      <c r="AC130" s="24">
        <f t="shared" si="57"/>
        <v>2.5821598956508827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2">
        <f t="shared" si="59"/>
        <v>928.13702117418029</v>
      </c>
      <c r="AN130" s="62">
        <f ca="1">AVERAGE(OFFSET($AM$3,0,0,'Données projet'!$E$10+1,1))-AVERAGE(OFFSET($H$3,0,0,'Données projet'!$E$10+1,1))</f>
        <v>475.47920969424894</v>
      </c>
      <c r="AO130" s="62">
        <f t="shared" si="90"/>
        <v>271.73544012419364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262.75391999999948</v>
      </c>
      <c r="BF130" s="14">
        <f t="shared" si="91"/>
        <v>63.309041956360211</v>
      </c>
      <c r="BG130" s="22">
        <f t="shared" si="61"/>
        <v>567.89299207399313</v>
      </c>
      <c r="BH130" s="62">
        <f t="shared" si="62"/>
        <v>861.22632540732639</v>
      </c>
      <c r="BI130" s="62">
        <f ca="1">AVERAGE(OFFSET($BH$3,0,0,'Données projet'!$E$11+1,1))-AVERAGE(OFFSET($H$3,0,0,'Données projet'!$E$11+1,1))</f>
        <v>428.8489304403459</v>
      </c>
      <c r="BJ130" s="62">
        <f t="shared" si="92"/>
        <v>247.01165577562966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-1.9895196601282805E-13</v>
      </c>
      <c r="BZ130" s="14">
        <f>BY130*VLOOKUP('Données projet'!$B$12,Paramètres!$A$1:$I$89,3,0)*VLOOKUP('Données projet'!$B$12,Paramètres!$A$1:$I$89,5,0)</f>
        <v>-1.6138983482960614E-13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236.22643401787644</v>
      </c>
      <c r="CE130" s="62">
        <f t="shared" si="94"/>
        <v>188.80444043778022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2.8421709430404007E-13</v>
      </c>
      <c r="CU130" s="18">
        <f>CT130*VLOOKUP('Données projet'!$B$13,Paramètres!$A$1:$I$89,3,0)*VLOOKUP('Données projet'!$B$13,Paramètres!$A$1:$I$89,5,0)</f>
        <v>1.3301360013429075E-13</v>
      </c>
      <c r="CV130" s="14">
        <f t="shared" si="95"/>
        <v>1.9329766731057041E-12</v>
      </c>
      <c r="CW130" s="22">
        <f t="shared" si="67"/>
        <v>3.5982663925596575E-12</v>
      </c>
      <c r="CX130" s="62">
        <f t="shared" si="68"/>
        <v>293.3333333333369</v>
      </c>
      <c r="CY130" s="62">
        <f ca="1">AVERAGE(OFFSET($CX$3,0,0,'Données projet'!$E$13+1,1))-AVERAGE(OFFSET($H$3,0,0,'Données projet'!$E$13+1,1))</f>
        <v>246.73711856758143</v>
      </c>
      <c r="CZ130" s="62">
        <f t="shared" si="96"/>
        <v>145.54897745089966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2.6282051282051269</v>
      </c>
      <c r="DO130" s="13">
        <f>IF('Données projet'!$A$166&gt;35,DO129+DN130-DW129,IF(A130&lt;'Données projet'!$A$166,$DL$205^A130,IF(A130='Données projet'!$A$166,'Données projet'!$B$166,DO129+DN130-DW129)))</f>
        <v>331.21794871794816</v>
      </c>
      <c r="DP130" s="18">
        <f>DO130*VLOOKUP('Données projet'!$B$14,Paramètres!$A$1:$I$89,3,0)*VLOOKUP('Données projet'!$B$14,Paramètres!$A$1:$I$89,5,0)</f>
        <v>346.18899999999945</v>
      </c>
      <c r="DQ130" s="14">
        <f t="shared" si="97"/>
        <v>80.77728744058544</v>
      </c>
      <c r="DR130" s="22">
        <f t="shared" si="70"/>
        <v>743.63295062568523</v>
      </c>
      <c r="DS130" s="62">
        <f t="shared" si="71"/>
        <v>1036.9662839590185</v>
      </c>
      <c r="DT130" s="62">
        <f ca="1">AVERAGE(OFFSET($DS$3,0,0,'Données projet'!$E$14+1,1))-AVERAGE(OFFSET($H$3,0,0,'Données projet'!$E$14+1,1))</f>
        <v>493.70175665335978</v>
      </c>
      <c r="DU130" s="62">
        <f t="shared" si="98"/>
        <v>325.12357781685949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-1.7053025658242404E-13</v>
      </c>
      <c r="EK130" s="18">
        <f>EJ130*VLOOKUP('Données projet'!$B$15,Paramètres!$A$1:$I$89,3,0)*VLOOKUP('Données projet'!$B$15,Paramètres!$A$1:$I$89,5,0)</f>
        <v>-1.4897523215040567E-13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202.86354781280403</v>
      </c>
      <c r="EP130" s="62">
        <f t="shared" si="100"/>
        <v>217.25323885665131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-1.7053025658242404E-13</v>
      </c>
      <c r="FF130" s="18">
        <f>FE130*VLOOKUP('Données projet'!$B$16,Paramètres!$A$1:$I$89,3,0)*VLOOKUP('Données projet'!$B$16,Paramètres!$A$1:$I$89,5,0)</f>
        <v>-1.6227659216383472E-13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353.61481736740694</v>
      </c>
      <c r="FK130" s="62">
        <f t="shared" si="102"/>
        <v>244.7141066773861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5.6843418860808015E-14</v>
      </c>
      <c r="GA130" s="18">
        <f>FZ130*VLOOKUP('Données projet'!$B$17,Paramètres!$A$1:$I$89,3,0)*VLOOKUP('Données projet'!$B$17,Paramètres!$A$1:$I$89,5,0)</f>
        <v>6.1186256061773749E-14</v>
      </c>
      <c r="GB130" s="14">
        <f t="shared" si="103"/>
        <v>9.7328366192051127E-13</v>
      </c>
      <c r="GC130" s="22">
        <f t="shared" si="79"/>
        <v>1.8017017738191463E-12</v>
      </c>
      <c r="GD130" s="62">
        <f t="shared" si="80"/>
        <v>293.33333333333513</v>
      </c>
      <c r="GE130" s="62">
        <f ca="1">AVERAGE(OFFSET($GD$3,0,0,'Données projet'!$E$17+1,1))-AVERAGE(OFFSET($H$3,0,0,'Données projet'!$E$17+1,1))</f>
        <v>280.20599015000306</v>
      </c>
      <c r="GF130" s="62">
        <f t="shared" si="104"/>
        <v>166.97658184507787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-5.6843418860808015E-14</v>
      </c>
      <c r="GV130" s="18">
        <f>GU130*VLOOKUP('Données projet'!$B$18,Paramètres!$A$1:$I$89,3,0)*VLOOKUP('Données projet'!$B$18,Paramètres!$A$1:$I$89,5,0)</f>
        <v>-3.813056537183002E-14</v>
      </c>
      <c r="GW130" s="14" t="e">
        <f t="shared" si="105"/>
        <v>#NUM!</v>
      </c>
      <c r="GX130" s="22" t="e">
        <f t="shared" si="82"/>
        <v>#NUM!</v>
      </c>
      <c r="GY130" s="62" t="e">
        <f t="shared" si="83"/>
        <v>#NUM!</v>
      </c>
      <c r="GZ130" s="62">
        <f ca="1">AVERAGE(OFFSET($GY$3,0,0,'Données projet'!$E$18+1,1))-AVERAGE(OFFSET($H$3,0,0,'Données projet'!$E$18+1,1))</f>
        <v>291.18686311753402</v>
      </c>
      <c r="HA130" s="62">
        <f t="shared" si="106"/>
        <v>215.44422413249839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9">
        <f t="shared" si="56"/>
        <v>256.66666666666669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260.02504691866199</v>
      </c>
      <c r="T131" s="62">
        <f t="shared" si="88"/>
        <v>270.11268336406368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1.4370653451290534</v>
      </c>
      <c r="AA131" s="23">
        <f>EXP(-LN(2)/25)*AA130+(1-EXP(-LN(2)/25))/(LN(2)/25)*Calculateur!V131*Calculateur!X131*VLOOKUP('Données projet'!$B$9,Paramètres!$A$1:$I$89,3,0)*0.475*44/12</f>
        <v>1.085824255867393</v>
      </c>
      <c r="AB131" s="23">
        <f>EXP(-LN(2)/2)*AB130+(1-EXP(-LN(2)/2))/(LN(2)/2)*V131*Y131*VLOOKUP('Données projet'!$B$9,Paramètres!$A$1:$I$89,3,0)*0.475*44/12</f>
        <v>1.1262032987822301E-14</v>
      </c>
      <c r="AC131" s="24">
        <f t="shared" si="57"/>
        <v>2.5228896009964576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2">
        <f t="shared" si="59"/>
        <v>934.9749355519632</v>
      </c>
      <c r="AN131" s="62">
        <f ca="1">AVERAGE(OFFSET($AM$3,0,0,'Données projet'!$E$10+1,1))-AVERAGE(OFFSET($H$3,0,0,'Données projet'!$E$10+1,1))</f>
        <v>475.47920969424894</v>
      </c>
      <c r="AO131" s="62">
        <f t="shared" si="90"/>
        <v>271.73544012419364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265.64927999999946</v>
      </c>
      <c r="BF131" s="14">
        <f t="shared" si="91"/>
        <v>63.925065540346907</v>
      </c>
      <c r="BG131" s="22">
        <f t="shared" si="61"/>
        <v>574.00865181610322</v>
      </c>
      <c r="BH131" s="62">
        <f t="shared" si="62"/>
        <v>867.3419851494366</v>
      </c>
      <c r="BI131" s="62">
        <f ca="1">AVERAGE(OFFSET($BH$3,0,0,'Données projet'!$E$11+1,1))-AVERAGE(OFFSET($H$3,0,0,'Données projet'!$E$11+1,1))</f>
        <v>428.8489304403459</v>
      </c>
      <c r="BJ131" s="62">
        <f t="shared" si="92"/>
        <v>247.01165577562966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-1.9895196601282805E-13</v>
      </c>
      <c r="BZ131" s="14">
        <f>BY131*VLOOKUP('Données projet'!$B$12,Paramètres!$A$1:$I$89,3,0)*VLOOKUP('Données projet'!$B$12,Paramètres!$A$1:$I$89,5,0)</f>
        <v>-1.6138983482960614E-13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236.22643401787644</v>
      </c>
      <c r="CE131" s="62">
        <f t="shared" si="94"/>
        <v>188.80444043778022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2.8421709430404007E-13</v>
      </c>
      <c r="CU131" s="18">
        <f>CT131*VLOOKUP('Données projet'!$B$13,Paramètres!$A$1:$I$89,3,0)*VLOOKUP('Données projet'!$B$13,Paramètres!$A$1:$I$89,5,0)</f>
        <v>1.3301360013429075E-13</v>
      </c>
      <c r="CV131" s="14">
        <f t="shared" si="95"/>
        <v>1.9329766731057041E-12</v>
      </c>
      <c r="CW131" s="22">
        <f t="shared" si="67"/>
        <v>3.5982663925596575E-12</v>
      </c>
      <c r="CX131" s="62">
        <f t="shared" si="68"/>
        <v>293.3333333333369</v>
      </c>
      <c r="CY131" s="62">
        <f ca="1">AVERAGE(OFFSET($CX$3,0,0,'Données projet'!$E$13+1,1))-AVERAGE(OFFSET($H$3,0,0,'Données projet'!$E$13+1,1))</f>
        <v>246.73711856758143</v>
      </c>
      <c r="CZ131" s="62">
        <f t="shared" si="96"/>
        <v>145.54897745089966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2.6282051282051269</v>
      </c>
      <c r="DO131" s="13">
        <f>IF('Données projet'!$A$166&gt;35,DO130+DN131-DW130,IF(A131&lt;'Données projet'!$A$166,$DL$205^A131,IF(A131='Données projet'!$A$166,'Données projet'!$B$166,DO130+DN131-DW130)))</f>
        <v>333.8461538461533</v>
      </c>
      <c r="DP131" s="18">
        <f>DO131*VLOOKUP('Données projet'!$B$14,Paramètres!$A$1:$I$89,3,0)*VLOOKUP('Données projet'!$B$14,Paramètres!$A$1:$I$89,5,0)</f>
        <v>348.93599999999947</v>
      </c>
      <c r="DQ131" s="14">
        <f t="shared" si="97"/>
        <v>81.343383781028564</v>
      </c>
      <c r="DR131" s="22">
        <f t="shared" si="70"/>
        <v>749.40326008529053</v>
      </c>
      <c r="DS131" s="62">
        <f t="shared" si="71"/>
        <v>1042.7365934186239</v>
      </c>
      <c r="DT131" s="62">
        <f ca="1">AVERAGE(OFFSET($DS$3,0,0,'Données projet'!$E$14+1,1))-AVERAGE(OFFSET($H$3,0,0,'Données projet'!$E$14+1,1))</f>
        <v>493.70175665335978</v>
      </c>
      <c r="DU131" s="62">
        <f t="shared" si="98"/>
        <v>325.12357781685949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-1.7053025658242404E-13</v>
      </c>
      <c r="EK131" s="18">
        <f>EJ131*VLOOKUP('Données projet'!$B$15,Paramètres!$A$1:$I$89,3,0)*VLOOKUP('Données projet'!$B$15,Paramètres!$A$1:$I$89,5,0)</f>
        <v>-1.4897523215040567E-13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202.86354781280403</v>
      </c>
      <c r="EP131" s="62">
        <f t="shared" si="100"/>
        <v>217.25323885665131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-1.7053025658242404E-13</v>
      </c>
      <c r="FF131" s="18">
        <f>FE131*VLOOKUP('Données projet'!$B$16,Paramètres!$A$1:$I$89,3,0)*VLOOKUP('Données projet'!$B$16,Paramètres!$A$1:$I$89,5,0)</f>
        <v>-1.6227659216383472E-13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353.61481736740694</v>
      </c>
      <c r="FK131" s="62">
        <f t="shared" si="102"/>
        <v>244.7141066773861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5.6843418860808015E-14</v>
      </c>
      <c r="GA131" s="18">
        <f>FZ131*VLOOKUP('Données projet'!$B$17,Paramètres!$A$1:$I$89,3,0)*VLOOKUP('Données projet'!$B$17,Paramètres!$A$1:$I$89,5,0)</f>
        <v>6.1186256061773749E-14</v>
      </c>
      <c r="GB131" s="14">
        <f t="shared" si="103"/>
        <v>9.7328366192051127E-13</v>
      </c>
      <c r="GC131" s="22">
        <f t="shared" si="79"/>
        <v>1.8017017738191463E-12</v>
      </c>
      <c r="GD131" s="62">
        <f t="shared" si="80"/>
        <v>293.33333333333513</v>
      </c>
      <c r="GE131" s="62">
        <f ca="1">AVERAGE(OFFSET($GD$3,0,0,'Données projet'!$E$17+1,1))-AVERAGE(OFFSET($H$3,0,0,'Données projet'!$E$17+1,1))</f>
        <v>280.20599015000306</v>
      </c>
      <c r="GF131" s="62">
        <f t="shared" si="104"/>
        <v>166.97658184507787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-5.6843418860808015E-14</v>
      </c>
      <c r="GV131" s="18">
        <f>GU131*VLOOKUP('Données projet'!$B$18,Paramètres!$A$1:$I$89,3,0)*VLOOKUP('Données projet'!$B$18,Paramètres!$A$1:$I$89,5,0)</f>
        <v>-3.813056537183002E-14</v>
      </c>
      <c r="GW131" s="14" t="e">
        <f t="shared" si="105"/>
        <v>#NUM!</v>
      </c>
      <c r="GX131" s="22" t="e">
        <f t="shared" si="82"/>
        <v>#NUM!</v>
      </c>
      <c r="GY131" s="62" t="e">
        <f t="shared" si="83"/>
        <v>#NUM!</v>
      </c>
      <c r="GZ131" s="62">
        <f ca="1">AVERAGE(OFFSET($GY$3,0,0,'Données projet'!$E$18+1,1))-AVERAGE(OFFSET($H$3,0,0,'Données projet'!$E$18+1,1))</f>
        <v>291.18686311753402</v>
      </c>
      <c r="HA131" s="62">
        <f t="shared" si="106"/>
        <v>215.44422413249839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9">
        <f t="shared" ref="H132:H195" si="110">(B132+E132+F132)*44/12+(C132+D132)*0.475*44/12</f>
        <v>256.66666666666669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260.02504691866199</v>
      </c>
      <c r="T132" s="62">
        <f t="shared" si="88"/>
        <v>270.11268336406368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1.4088853702343838</v>
      </c>
      <c r="AA132" s="23">
        <f>EXP(-LN(2)/25)*AA131+(1-EXP(-LN(2)/25))/(LN(2)/25)*Calculateur!V132*Calculateur!X132*VLOOKUP('Données projet'!$B$9,Paramètres!$A$1:$I$89,3,0)*0.475*44/12</f>
        <v>1.0561323344896831</v>
      </c>
      <c r="AB132" s="23">
        <f>EXP(-LN(2)/2)*AB131+(1-EXP(-LN(2)/2))/(LN(2)/2)*V132*Y132*VLOOKUP('Données projet'!$B$9,Paramètres!$A$1:$I$89,3,0)*0.475*44/12</f>
        <v>7.963459895635744E-15</v>
      </c>
      <c r="AC132" s="24">
        <f t="shared" ref="AC132:AC153" si="111">SUM(Z132:AB132)</f>
        <v>2.4650177047240751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2">
        <f t="shared" ref="AM132:AM195" si="113">AL132+(AD132+AE132)*44/12</f>
        <v>941.81134551289711</v>
      </c>
      <c r="AN132" s="62">
        <f ca="1">AVERAGE(OFFSET($AM$3,0,0,'Données projet'!$E$10+1,1))-AVERAGE(OFFSET($H$3,0,0,'Données projet'!$E$10+1,1))</f>
        <v>475.47920969424894</v>
      </c>
      <c r="AO132" s="62">
        <f t="shared" si="90"/>
        <v>271.73544012419364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268.54463999999945</v>
      </c>
      <c r="BF132" s="14">
        <f t="shared" si="91"/>
        <v>64.540308076050593</v>
      </c>
      <c r="BG132" s="22">
        <f t="shared" ref="BG132:BG153" si="115">(BE132+BF132)*0.475*44/12</f>
        <v>580.12295123245383</v>
      </c>
      <c r="BH132" s="62">
        <f t="shared" ref="BH132:BH195" si="116">BG132+(AY132+AZ132)*44/12</f>
        <v>873.4562845657872</v>
      </c>
      <c r="BI132" s="62">
        <f ca="1">AVERAGE(OFFSET($BH$3,0,0,'Données projet'!$E$11+1,1))-AVERAGE(OFFSET($H$3,0,0,'Données projet'!$E$11+1,1))</f>
        <v>428.8489304403459</v>
      </c>
      <c r="BJ132" s="62">
        <f t="shared" si="92"/>
        <v>247.01165577562966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-1.9895196601282805E-13</v>
      </c>
      <c r="BZ132" s="14">
        <f>BY132*VLOOKUP('Données projet'!$B$12,Paramètres!$A$1:$I$89,3,0)*VLOOKUP('Données projet'!$B$12,Paramètres!$A$1:$I$89,5,0)</f>
        <v>-1.6138983482960614E-13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236.22643401787644</v>
      </c>
      <c r="CE132" s="62">
        <f t="shared" si="94"/>
        <v>188.80444043778022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2.8421709430404007E-13</v>
      </c>
      <c r="CU132" s="18">
        <f>CT132*VLOOKUP('Données projet'!$B$13,Paramètres!$A$1:$I$89,3,0)*VLOOKUP('Données projet'!$B$13,Paramètres!$A$1:$I$89,5,0)</f>
        <v>1.3301360013429075E-13</v>
      </c>
      <c r="CV132" s="14">
        <f t="shared" si="95"/>
        <v>1.9329766731057041E-12</v>
      </c>
      <c r="CW132" s="22">
        <f t="shared" ref="CW132:CW153" si="121">(CU132+CV132)*0.475*44/12</f>
        <v>3.5982663925596575E-12</v>
      </c>
      <c r="CX132" s="62">
        <f t="shared" ref="CX132:CX195" si="122">CW132+(CO132+CP132)*44/12</f>
        <v>293.3333333333369</v>
      </c>
      <c r="CY132" s="62">
        <f ca="1">AVERAGE(OFFSET($CX$3,0,0,'Données projet'!$E$13+1,1))-AVERAGE(OFFSET($H$3,0,0,'Données projet'!$E$13+1,1))</f>
        <v>246.73711856758143</v>
      </c>
      <c r="CZ132" s="62">
        <f t="shared" si="96"/>
        <v>145.54897745089966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2.6282051282051269</v>
      </c>
      <c r="DO132" s="13">
        <f>IF('Données projet'!$A$166&gt;35,DO131+DN132-DW131,IF(A132&lt;'Données projet'!$A$166,$DL$205^A132,IF(A132='Données projet'!$A$166,'Données projet'!$B$166,DO131+DN132-DW131)))</f>
        <v>336.47435897435844</v>
      </c>
      <c r="DP132" s="18">
        <f>DO132*VLOOKUP('Données projet'!$B$14,Paramètres!$A$1:$I$89,3,0)*VLOOKUP('Données projet'!$B$14,Paramètres!$A$1:$I$89,5,0)</f>
        <v>351.68299999999948</v>
      </c>
      <c r="DQ132" s="14">
        <f t="shared" si="97"/>
        <v>81.908961605684084</v>
      </c>
      <c r="DR132" s="22">
        <f t="shared" ref="DR132:DR153" si="124">(DP132+DQ132)*0.475*44/12</f>
        <v>755.17266646323208</v>
      </c>
      <c r="DS132" s="62">
        <f t="shared" ref="DS132:DS195" si="125">DR132+(DJ132+DK132)*44/12</f>
        <v>1048.5059997965654</v>
      </c>
      <c r="DT132" s="62">
        <f ca="1">AVERAGE(OFFSET($DS$3,0,0,'Données projet'!$E$14+1,1))-AVERAGE(OFFSET($H$3,0,0,'Données projet'!$E$14+1,1))</f>
        <v>493.70175665335978</v>
      </c>
      <c r="DU132" s="62">
        <f t="shared" si="98"/>
        <v>325.12357781685949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-1.7053025658242404E-13</v>
      </c>
      <c r="EK132" s="18">
        <f>EJ132*VLOOKUP('Données projet'!$B$15,Paramètres!$A$1:$I$89,3,0)*VLOOKUP('Données projet'!$B$15,Paramètres!$A$1:$I$89,5,0)</f>
        <v>-1.4897523215040567E-13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202.86354781280403</v>
      </c>
      <c r="EP132" s="62">
        <f t="shared" si="100"/>
        <v>217.25323885665131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-1.7053025658242404E-13</v>
      </c>
      <c r="FF132" s="18">
        <f>FE132*VLOOKUP('Données projet'!$B$16,Paramètres!$A$1:$I$89,3,0)*VLOOKUP('Données projet'!$B$16,Paramètres!$A$1:$I$89,5,0)</f>
        <v>-1.6227659216383472E-13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353.61481736740694</v>
      </c>
      <c r="FK132" s="62">
        <f t="shared" si="102"/>
        <v>244.7141066773861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5.6843418860808015E-14</v>
      </c>
      <c r="GA132" s="18">
        <f>FZ132*VLOOKUP('Données projet'!$B$17,Paramètres!$A$1:$I$89,3,0)*VLOOKUP('Données projet'!$B$17,Paramètres!$A$1:$I$89,5,0)</f>
        <v>6.1186256061773749E-14</v>
      </c>
      <c r="GB132" s="14">
        <f t="shared" si="103"/>
        <v>9.7328366192051127E-13</v>
      </c>
      <c r="GC132" s="22">
        <f t="shared" ref="GC132:GC153" si="133">(GA132+GB132)*0.475*44/12</f>
        <v>1.8017017738191463E-12</v>
      </c>
      <c r="GD132" s="62">
        <f t="shared" ref="GD132:GD195" si="134">GC132+(FU132+FV132)*44/12</f>
        <v>293.33333333333513</v>
      </c>
      <c r="GE132" s="62">
        <f ca="1">AVERAGE(OFFSET($GD$3,0,0,'Données projet'!$E$17+1,1))-AVERAGE(OFFSET($H$3,0,0,'Données projet'!$E$17+1,1))</f>
        <v>280.20599015000306</v>
      </c>
      <c r="GF132" s="62">
        <f t="shared" si="104"/>
        <v>166.97658184507787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-5.6843418860808015E-14</v>
      </c>
      <c r="GV132" s="18">
        <f>GU132*VLOOKUP('Données projet'!$B$18,Paramètres!$A$1:$I$89,3,0)*VLOOKUP('Données projet'!$B$18,Paramètres!$A$1:$I$89,5,0)</f>
        <v>-3.813056537183002E-14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2" t="e">
        <f t="shared" ref="GY132:GY195" si="137">GX132+(GP132+GQ132)*44/12</f>
        <v>#NUM!</v>
      </c>
      <c r="GZ132" s="62">
        <f ca="1">AVERAGE(OFFSET($GY$3,0,0,'Données projet'!$E$18+1,1))-AVERAGE(OFFSET($H$3,0,0,'Données projet'!$E$18+1,1))</f>
        <v>291.18686311753402</v>
      </c>
      <c r="HA132" s="62">
        <f t="shared" si="106"/>
        <v>215.44422413249839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9">
        <f t="shared" si="110"/>
        <v>256.66666666666669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260.02504691866199</v>
      </c>
      <c r="T133" s="62">
        <f t="shared" ref="T133:T196" si="142">$T$3</f>
        <v>270.11268336406368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1.3812579874593109</v>
      </c>
      <c r="AA133" s="23">
        <f>EXP(-LN(2)/25)*AA132+(1-EXP(-LN(2)/25))/(LN(2)/25)*Calculateur!V133*Calculateur!X133*VLOOKUP('Données projet'!$B$9,Paramètres!$A$1:$I$89,3,0)*0.475*44/12</f>
        <v>1.027252340263477</v>
      </c>
      <c r="AB133" s="23">
        <f>EXP(-LN(2)/2)*AB132+(1-EXP(-LN(2)/2))/(LN(2)/2)*V133*Y133*VLOOKUP('Données projet'!$B$9,Paramètres!$A$1:$I$89,3,0)*0.475*44/12</f>
        <v>5.6310164939111507E-15</v>
      </c>
      <c r="AC133" s="24">
        <f t="shared" si="111"/>
        <v>2.4085103277227939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2">
        <f t="shared" si="113"/>
        <v>948.6462691544782</v>
      </c>
      <c r="AN133" s="62">
        <f ca="1">AVERAGE(OFFSET($AM$3,0,0,'Données projet'!$E$10+1,1))-AVERAGE(OFFSET($H$3,0,0,'Données projet'!$E$10+1,1))</f>
        <v>475.47920969424894</v>
      </c>
      <c r="AO133" s="62">
        <f t="shared" ref="AO133:AO196" si="144">$AO$3</f>
        <v>271.73544012419364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271.43999999999943</v>
      </c>
      <c r="BF133" s="14">
        <f t="shared" ref="BF133:BF153" si="145">EXP(-1.0587+0.8836*LN(BE133)+0.284)</f>
        <v>65.154778959151116</v>
      </c>
      <c r="BG133" s="22">
        <f t="shared" si="115"/>
        <v>586.23590668718714</v>
      </c>
      <c r="BH133" s="62">
        <f t="shared" si="116"/>
        <v>879.56924002052051</v>
      </c>
      <c r="BI133" s="62">
        <f ca="1">AVERAGE(OFFSET($BH$3,0,0,'Données projet'!$E$11+1,1))-AVERAGE(OFFSET($H$3,0,0,'Données projet'!$E$11+1,1))</f>
        <v>428.8489304403459</v>
      </c>
      <c r="BJ133" s="62">
        <f t="shared" ref="BJ133:BJ196" si="146">$BJ$3</f>
        <v>247.01165577562966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-1.9895196601282805E-13</v>
      </c>
      <c r="BZ133" s="14">
        <f>BY133*VLOOKUP('Données projet'!$B$12,Paramètres!$A$1:$I$89,3,0)*VLOOKUP('Données projet'!$B$12,Paramètres!$A$1:$I$89,5,0)</f>
        <v>-1.6138983482960614E-13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236.22643401787644</v>
      </c>
      <c r="CE133" s="62">
        <f t="shared" ref="CE133:CE196" si="148">$CE$3</f>
        <v>188.80444043778022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2.8421709430404007E-13</v>
      </c>
      <c r="CU133" s="18">
        <f>CT133*VLOOKUP('Données projet'!$B$13,Paramètres!$A$1:$I$89,3,0)*VLOOKUP('Données projet'!$B$13,Paramètres!$A$1:$I$89,5,0)</f>
        <v>1.3301360013429075E-13</v>
      </c>
      <c r="CV133" s="14">
        <f t="shared" ref="CV133:CV153" si="149">EXP(-1.0587+0.8836*LN(CU133)+0.284)</f>
        <v>1.9329766731057041E-12</v>
      </c>
      <c r="CW133" s="22">
        <f t="shared" si="121"/>
        <v>3.5982663925596575E-12</v>
      </c>
      <c r="CX133" s="62">
        <f t="shared" si="122"/>
        <v>293.3333333333369</v>
      </c>
      <c r="CY133" s="62">
        <f ca="1">AVERAGE(OFFSET($CX$3,0,0,'Données projet'!$E$13+1,1))-AVERAGE(OFFSET($H$3,0,0,'Données projet'!$E$13+1,1))</f>
        <v>246.73711856758143</v>
      </c>
      <c r="CZ133" s="62">
        <f t="shared" ref="CZ133:CZ196" si="150">$CZ$3</f>
        <v>145.54897745089966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339.10256410256409</v>
      </c>
      <c r="DM133" s="13">
        <f>VLOOKUP(A133,'Données projet'!$A$165:$I$185,9,0)</f>
        <v>2.6282051282051269</v>
      </c>
      <c r="DN133" s="13">
        <f t="array" ref="DN133">INDEX(DM:DM,MIN(IF(ISNUMBER(DM133:DM329),ROW(DM133:DM329),"")))</f>
        <v>2.6282051282051269</v>
      </c>
      <c r="DO133" s="13">
        <f>IF('Données projet'!$A$166&gt;35,DO132+DN133-DW132,IF(A133&lt;'Données projet'!$A$166,$DL$205^A133,IF(A133='Données projet'!$A$166,'Données projet'!$B$166,DO132+DN133-DW132)))</f>
        <v>339.10256410256358</v>
      </c>
      <c r="DP133" s="18">
        <f>DO133*VLOOKUP('Données projet'!$B$14,Paramètres!$A$1:$I$89,3,0)*VLOOKUP('Données projet'!$B$14,Paramètres!$A$1:$I$89,5,0)</f>
        <v>354.4299999999995</v>
      </c>
      <c r="DQ133" s="14">
        <f t="shared" ref="DQ133:DQ153" si="151">EXP(-1.0587+0.8836*LN(DP133)+0.284)</f>
        <v>82.474025434157767</v>
      </c>
      <c r="DR133" s="22">
        <f t="shared" si="124"/>
        <v>760.94117763115719</v>
      </c>
      <c r="DS133" s="62">
        <f t="shared" si="125"/>
        <v>1054.2745109644904</v>
      </c>
      <c r="DT133" s="62">
        <f ca="1">AVERAGE(OFFSET($DS$3,0,0,'Données projet'!$E$14+1,1))-AVERAGE(OFFSET($H$3,0,0,'Données projet'!$E$14+1,1))</f>
        <v>493.70175665335978</v>
      </c>
      <c r="DU133" s="62">
        <f t="shared" ref="DU133:DU196" si="152">$DU$3</f>
        <v>325.12357781685949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339.10256410256409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-1.7053025658242404E-13</v>
      </c>
      <c r="EK133" s="18">
        <f>EJ133*VLOOKUP('Données projet'!$B$15,Paramètres!$A$1:$I$89,3,0)*VLOOKUP('Données projet'!$B$15,Paramètres!$A$1:$I$89,5,0)</f>
        <v>-1.4897523215040567E-13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202.86354781280403</v>
      </c>
      <c r="EP133" s="62">
        <f t="shared" ref="EP133:EP196" si="154">$EP$3</f>
        <v>217.25323885665131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-1.7053025658242404E-13</v>
      </c>
      <c r="FF133" s="18">
        <f>FE133*VLOOKUP('Données projet'!$B$16,Paramètres!$A$1:$I$89,3,0)*VLOOKUP('Données projet'!$B$16,Paramètres!$A$1:$I$89,5,0)</f>
        <v>-1.6227659216383472E-13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353.61481736740694</v>
      </c>
      <c r="FK133" s="62">
        <f t="shared" ref="FK133:FK196" si="156">$FK$3</f>
        <v>244.7141066773861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5.6843418860808015E-14</v>
      </c>
      <c r="GA133" s="18">
        <f>FZ133*VLOOKUP('Données projet'!$B$17,Paramètres!$A$1:$I$89,3,0)*VLOOKUP('Données projet'!$B$17,Paramètres!$A$1:$I$89,5,0)</f>
        <v>6.1186256061773749E-14</v>
      </c>
      <c r="GB133" s="14">
        <f t="shared" ref="GB133:GB153" si="157">EXP(-1.0587+0.8836*LN(GA133)+0.284)</f>
        <v>9.7328366192051127E-13</v>
      </c>
      <c r="GC133" s="22">
        <f t="shared" si="133"/>
        <v>1.8017017738191463E-12</v>
      </c>
      <c r="GD133" s="62">
        <f t="shared" si="134"/>
        <v>293.33333333333513</v>
      </c>
      <c r="GE133" s="62">
        <f ca="1">AVERAGE(OFFSET($GD$3,0,0,'Données projet'!$E$17+1,1))-AVERAGE(OFFSET($H$3,0,0,'Données projet'!$E$17+1,1))</f>
        <v>280.20599015000306</v>
      </c>
      <c r="GF133" s="62">
        <f t="shared" ref="GF133:GF196" si="158">$GF$3</f>
        <v>166.97658184507787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-5.6843418860808015E-14</v>
      </c>
      <c r="GV133" s="18">
        <f>GU133*VLOOKUP('Données projet'!$B$18,Paramètres!$A$1:$I$89,3,0)*VLOOKUP('Données projet'!$B$18,Paramètres!$A$1:$I$89,5,0)</f>
        <v>-3.813056537183002E-14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2" t="e">
        <f t="shared" si="137"/>
        <v>#NUM!</v>
      </c>
      <c r="GZ133" s="62">
        <f ca="1">AVERAGE(OFFSET($GY$3,0,0,'Données projet'!$E$18+1,1))-AVERAGE(OFFSET($H$3,0,0,'Données projet'!$E$18+1,1))</f>
        <v>291.18686311753402</v>
      </c>
      <c r="HA133" s="62">
        <f t="shared" ref="HA133:HA196" si="160">$HA$3</f>
        <v>215.44422413249839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9">
        <f t="shared" si="110"/>
        <v>256.66666666666669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260.02504691866199</v>
      </c>
      <c r="T134" s="62">
        <f t="shared" si="142"/>
        <v>270.11268336406368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1.3541723608094178</v>
      </c>
      <c r="AA134" s="23">
        <f>EXP(-LN(2)/25)*AA133+(1-EXP(-LN(2)/25))/(LN(2)/25)*Calculateur!V134*Calculateur!X134*VLOOKUP('Données projet'!$B$9,Paramètres!$A$1:$I$89,3,0)*0.475*44/12</f>
        <v>0.99916207099811949</v>
      </c>
      <c r="AB134" s="23">
        <f>EXP(-LN(2)/2)*AB133+(1-EXP(-LN(2)/2))/(LN(2)/2)*V134*Y134*VLOOKUP('Données projet'!$B$9,Paramètres!$A$1:$I$89,3,0)*0.475*44/12</f>
        <v>3.981729947817872E-15</v>
      </c>
      <c r="AC134" s="24">
        <f t="shared" si="111"/>
        <v>2.3533344318075415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2">
        <f t="shared" si="113"/>
        <v>888.14687913280409</v>
      </c>
      <c r="AN134" s="62">
        <f ca="1">AVERAGE(OFFSET($AM$3,0,0,'Données projet'!$E$10+1,1))-AVERAGE(OFFSET($H$3,0,0,'Données projet'!$E$10+1,1))</f>
        <v>475.47920969424894</v>
      </c>
      <c r="AO134" s="62">
        <f t="shared" si="144"/>
        <v>271.73544012419364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245.8341599999994</v>
      </c>
      <c r="BF134" s="14">
        <f t="shared" si="145"/>
        <v>59.693018383856675</v>
      </c>
      <c r="BG134" s="22">
        <f t="shared" si="115"/>
        <v>532.12650235188266</v>
      </c>
      <c r="BH134" s="62">
        <f t="shared" si="116"/>
        <v>825.45983568521592</v>
      </c>
      <c r="BI134" s="62">
        <f ca="1">AVERAGE(OFFSET($BH$3,0,0,'Données projet'!$E$11+1,1))-AVERAGE(OFFSET($H$3,0,0,'Données projet'!$E$11+1,1))</f>
        <v>428.8489304403459</v>
      </c>
      <c r="BJ134" s="62">
        <f t="shared" si="146"/>
        <v>247.01165577562966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-1.9895196601282805E-13</v>
      </c>
      <c r="BZ134" s="14">
        <f>BY134*VLOOKUP('Données projet'!$B$12,Paramètres!$A$1:$I$89,3,0)*VLOOKUP('Données projet'!$B$12,Paramètres!$A$1:$I$89,5,0)</f>
        <v>-1.6138983482960614E-13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236.22643401787644</v>
      </c>
      <c r="CE134" s="62">
        <f t="shared" si="148"/>
        <v>188.80444043778022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2.8421709430404007E-13</v>
      </c>
      <c r="CU134" s="18">
        <f>CT134*VLOOKUP('Données projet'!$B$13,Paramètres!$A$1:$I$89,3,0)*VLOOKUP('Données projet'!$B$13,Paramètres!$A$1:$I$89,5,0)</f>
        <v>1.3301360013429075E-13</v>
      </c>
      <c r="CV134" s="14">
        <f t="shared" si="149"/>
        <v>1.9329766731057041E-12</v>
      </c>
      <c r="CW134" s="22">
        <f t="shared" si="121"/>
        <v>3.5982663925596575E-12</v>
      </c>
      <c r="CX134" s="62">
        <f t="shared" si="122"/>
        <v>293.3333333333369</v>
      </c>
      <c r="CY134" s="62">
        <f ca="1">AVERAGE(OFFSET($CX$3,0,0,'Données projet'!$E$13+1,1))-AVERAGE(OFFSET($H$3,0,0,'Données projet'!$E$13+1,1))</f>
        <v>246.73711856758143</v>
      </c>
      <c r="CZ134" s="62">
        <f t="shared" si="150"/>
        <v>145.54897745089966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-5.1159076974727213E-13</v>
      </c>
      <c r="DP134" s="18">
        <f>DO134*VLOOKUP('Données projet'!$B$14,Paramètres!$A$1:$I$89,3,0)*VLOOKUP('Données projet'!$B$14,Paramètres!$A$1:$I$89,5,0)</f>
        <v>-5.3471467253984886E-13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493.70175665335978</v>
      </c>
      <c r="DU134" s="62">
        <f t="shared" si="152"/>
        <v>325.12357781685949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-1.7053025658242404E-13</v>
      </c>
      <c r="EK134" s="18">
        <f>EJ134*VLOOKUP('Données projet'!$B$15,Paramètres!$A$1:$I$89,3,0)*VLOOKUP('Données projet'!$B$15,Paramètres!$A$1:$I$89,5,0)</f>
        <v>-1.4897523215040567E-13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202.86354781280403</v>
      </c>
      <c r="EP134" s="62">
        <f t="shared" si="154"/>
        <v>217.25323885665131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-1.7053025658242404E-13</v>
      </c>
      <c r="FF134" s="18">
        <f>FE134*VLOOKUP('Données projet'!$B$16,Paramètres!$A$1:$I$89,3,0)*VLOOKUP('Données projet'!$B$16,Paramètres!$A$1:$I$89,5,0)</f>
        <v>-1.6227659216383472E-13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353.61481736740694</v>
      </c>
      <c r="FK134" s="62">
        <f t="shared" si="156"/>
        <v>244.7141066773861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5.6843418860808015E-14</v>
      </c>
      <c r="GA134" s="18">
        <f>FZ134*VLOOKUP('Données projet'!$B$17,Paramètres!$A$1:$I$89,3,0)*VLOOKUP('Données projet'!$B$17,Paramètres!$A$1:$I$89,5,0)</f>
        <v>6.1186256061773749E-14</v>
      </c>
      <c r="GB134" s="14">
        <f t="shared" si="157"/>
        <v>9.7328366192051127E-13</v>
      </c>
      <c r="GC134" s="22">
        <f t="shared" si="133"/>
        <v>1.8017017738191463E-12</v>
      </c>
      <c r="GD134" s="62">
        <f t="shared" si="134"/>
        <v>293.33333333333513</v>
      </c>
      <c r="GE134" s="62">
        <f ca="1">AVERAGE(OFFSET($GD$3,0,0,'Données projet'!$E$17+1,1))-AVERAGE(OFFSET($H$3,0,0,'Données projet'!$E$17+1,1))</f>
        <v>280.20599015000306</v>
      </c>
      <c r="GF134" s="62">
        <f t="shared" si="158"/>
        <v>166.97658184507787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-5.6843418860808015E-14</v>
      </c>
      <c r="GV134" s="18">
        <f>GU134*VLOOKUP('Données projet'!$B$18,Paramètres!$A$1:$I$89,3,0)*VLOOKUP('Données projet'!$B$18,Paramètres!$A$1:$I$89,5,0)</f>
        <v>-3.813056537183002E-14</v>
      </c>
      <c r="GW134" s="14" t="e">
        <f t="shared" si="159"/>
        <v>#NUM!</v>
      </c>
      <c r="GX134" s="22" t="e">
        <f t="shared" si="136"/>
        <v>#NUM!</v>
      </c>
      <c r="GY134" s="62" t="e">
        <f t="shared" si="137"/>
        <v>#NUM!</v>
      </c>
      <c r="GZ134" s="62">
        <f ca="1">AVERAGE(OFFSET($GY$3,0,0,'Données projet'!$E$18+1,1))-AVERAGE(OFFSET($H$3,0,0,'Données projet'!$E$18+1,1))</f>
        <v>291.18686311753402</v>
      </c>
      <c r="HA134" s="62">
        <f t="shared" si="160"/>
        <v>215.44422413249839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9">
        <f t="shared" si="110"/>
        <v>256.66666666666669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260.02504691866199</v>
      </c>
      <c r="T135" s="62">
        <f t="shared" si="142"/>
        <v>270.11268336406368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1.327617866777528</v>
      </c>
      <c r="AA135" s="23">
        <f>EXP(-LN(2)/25)*AA134+(1-EXP(-LN(2)/25))/(LN(2)/25)*Calculateur!V135*Calculateur!X135*VLOOKUP('Données projet'!$B$9,Paramètres!$A$1:$I$89,3,0)*0.475*44/12</f>
        <v>0.97183993162302618</v>
      </c>
      <c r="AB135" s="23">
        <f>EXP(-LN(2)/2)*AB134+(1-EXP(-LN(2)/2))/(LN(2)/2)*V135*Y135*VLOOKUP('Données projet'!$B$9,Paramètres!$A$1:$I$89,3,0)*0.475*44/12</f>
        <v>2.8155082469555753E-15</v>
      </c>
      <c r="AC135" s="24">
        <f t="shared" si="111"/>
        <v>2.2994577984005566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2">
        <f t="shared" si="113"/>
        <v>893.92421921427535</v>
      </c>
      <c r="AN135" s="62">
        <f ca="1">AVERAGE(OFFSET($AM$3,0,0,'Données projet'!$E$10+1,1))-AVERAGE(OFFSET($H$3,0,0,'Données projet'!$E$10+1,1))</f>
        <v>475.47920969424894</v>
      </c>
      <c r="AO135" s="62">
        <f t="shared" si="144"/>
        <v>271.73544012419364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248.2771199999994</v>
      </c>
      <c r="BF135" s="14">
        <f t="shared" si="145"/>
        <v>60.216863677580257</v>
      </c>
      <c r="BG135" s="22">
        <f t="shared" si="115"/>
        <v>537.29368823845118</v>
      </c>
      <c r="BH135" s="62">
        <f t="shared" si="116"/>
        <v>830.62702157178455</v>
      </c>
      <c r="BI135" s="62">
        <f ca="1">AVERAGE(OFFSET($BH$3,0,0,'Données projet'!$E$11+1,1))-AVERAGE(OFFSET($H$3,0,0,'Données projet'!$E$11+1,1))</f>
        <v>428.8489304403459</v>
      </c>
      <c r="BJ135" s="62">
        <f t="shared" si="146"/>
        <v>247.01165577562966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-1.9895196601282805E-13</v>
      </c>
      <c r="BZ135" s="14">
        <f>BY135*VLOOKUP('Données projet'!$B$12,Paramètres!$A$1:$I$89,3,0)*VLOOKUP('Données projet'!$B$12,Paramètres!$A$1:$I$89,5,0)</f>
        <v>-1.6138983482960614E-13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236.22643401787644</v>
      </c>
      <c r="CE135" s="62">
        <f t="shared" si="148"/>
        <v>188.80444043778022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2.8421709430404007E-13</v>
      </c>
      <c r="CU135" s="18">
        <f>CT135*VLOOKUP('Données projet'!$B$13,Paramètres!$A$1:$I$89,3,0)*VLOOKUP('Données projet'!$B$13,Paramètres!$A$1:$I$89,5,0)</f>
        <v>1.3301360013429075E-13</v>
      </c>
      <c r="CV135" s="14">
        <f t="shared" si="149"/>
        <v>1.9329766731057041E-12</v>
      </c>
      <c r="CW135" s="22">
        <f t="shared" si="121"/>
        <v>3.5982663925596575E-12</v>
      </c>
      <c r="CX135" s="62">
        <f t="shared" si="122"/>
        <v>293.3333333333369</v>
      </c>
      <c r="CY135" s="62">
        <f ca="1">AVERAGE(OFFSET($CX$3,0,0,'Données projet'!$E$13+1,1))-AVERAGE(OFFSET($H$3,0,0,'Données projet'!$E$13+1,1))</f>
        <v>246.73711856758143</v>
      </c>
      <c r="CZ135" s="62">
        <f t="shared" si="150"/>
        <v>145.54897745089966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-5.1159076974727213E-13</v>
      </c>
      <c r="DP135" s="18">
        <f>DO135*VLOOKUP('Données projet'!$B$14,Paramètres!$A$1:$I$89,3,0)*VLOOKUP('Données projet'!$B$14,Paramètres!$A$1:$I$89,5,0)</f>
        <v>-5.3471467253984886E-13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493.70175665335978</v>
      </c>
      <c r="DU135" s="62">
        <f t="shared" si="152"/>
        <v>325.12357781685949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-1.7053025658242404E-13</v>
      </c>
      <c r="EK135" s="18">
        <f>EJ135*VLOOKUP('Données projet'!$B$15,Paramètres!$A$1:$I$89,3,0)*VLOOKUP('Données projet'!$B$15,Paramètres!$A$1:$I$89,5,0)</f>
        <v>-1.4897523215040567E-13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202.86354781280403</v>
      </c>
      <c r="EP135" s="62">
        <f t="shared" si="154"/>
        <v>217.25323885665131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-1.7053025658242404E-13</v>
      </c>
      <c r="FF135" s="18">
        <f>FE135*VLOOKUP('Données projet'!$B$16,Paramètres!$A$1:$I$89,3,0)*VLOOKUP('Données projet'!$B$16,Paramètres!$A$1:$I$89,5,0)</f>
        <v>-1.6227659216383472E-13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353.61481736740694</v>
      </c>
      <c r="FK135" s="62">
        <f t="shared" si="156"/>
        <v>244.7141066773861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5.6843418860808015E-14</v>
      </c>
      <c r="GA135" s="18">
        <f>FZ135*VLOOKUP('Données projet'!$B$17,Paramètres!$A$1:$I$89,3,0)*VLOOKUP('Données projet'!$B$17,Paramètres!$A$1:$I$89,5,0)</f>
        <v>6.1186256061773749E-14</v>
      </c>
      <c r="GB135" s="14">
        <f t="shared" si="157"/>
        <v>9.7328366192051127E-13</v>
      </c>
      <c r="GC135" s="22">
        <f t="shared" si="133"/>
        <v>1.8017017738191463E-12</v>
      </c>
      <c r="GD135" s="62">
        <f t="shared" si="134"/>
        <v>293.33333333333513</v>
      </c>
      <c r="GE135" s="62">
        <f ca="1">AVERAGE(OFFSET($GD$3,0,0,'Données projet'!$E$17+1,1))-AVERAGE(OFFSET($H$3,0,0,'Données projet'!$E$17+1,1))</f>
        <v>280.20599015000306</v>
      </c>
      <c r="GF135" s="62">
        <f t="shared" si="158"/>
        <v>166.97658184507787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-5.6843418860808015E-14</v>
      </c>
      <c r="GV135" s="18">
        <f>GU135*VLOOKUP('Données projet'!$B$18,Paramètres!$A$1:$I$89,3,0)*VLOOKUP('Données projet'!$B$18,Paramètres!$A$1:$I$89,5,0)</f>
        <v>-3.813056537183002E-14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291.18686311753402</v>
      </c>
      <c r="HA135" s="62">
        <f t="shared" si="160"/>
        <v>215.44422413249839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9">
        <f t="shared" si="110"/>
        <v>256.66666666666669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260.02504691866199</v>
      </c>
      <c r="T136" s="62">
        <f t="shared" si="142"/>
        <v>270.11268336406368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1.3015840901769615</v>
      </c>
      <c r="AA136" s="23">
        <f>EXP(-LN(2)/25)*AA135+(1-EXP(-LN(2)/25))/(LN(2)/25)*Calculateur!V136*Calculateur!X136*VLOOKUP('Données projet'!$B$9,Paramètres!$A$1:$I$89,3,0)*0.475*44/12</f>
        <v>0.94526491758595366</v>
      </c>
      <c r="AB136" s="23">
        <f>EXP(-LN(2)/2)*AB135+(1-EXP(-LN(2)/2))/(LN(2)/2)*V136*Y136*VLOOKUP('Données projet'!$B$9,Paramètres!$A$1:$I$89,3,0)*0.475*44/12</f>
        <v>1.990864973908936E-15</v>
      </c>
      <c r="AC136" s="24">
        <f t="shared" si="111"/>
        <v>2.2468490077629171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2">
        <f t="shared" si="113"/>
        <v>899.70040428847096</v>
      </c>
      <c r="AN136" s="62">
        <f ca="1">AVERAGE(OFFSET($AM$3,0,0,'Données projet'!$E$10+1,1))-AVERAGE(OFFSET($H$3,0,0,'Données projet'!$E$10+1,1))</f>
        <v>475.47920969424894</v>
      </c>
      <c r="AO136" s="62">
        <f t="shared" si="144"/>
        <v>271.73544012419364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250.72007999999943</v>
      </c>
      <c r="BF136" s="14">
        <f t="shared" si="145"/>
        <v>60.740109326032709</v>
      </c>
      <c r="BG136" s="22">
        <f t="shared" si="115"/>
        <v>542.45982974283925</v>
      </c>
      <c r="BH136" s="62">
        <f t="shared" si="116"/>
        <v>835.7931630761725</v>
      </c>
      <c r="BI136" s="62">
        <f ca="1">AVERAGE(OFFSET($BH$3,0,0,'Données projet'!$E$11+1,1))-AVERAGE(OFFSET($H$3,0,0,'Données projet'!$E$11+1,1))</f>
        <v>428.8489304403459</v>
      </c>
      <c r="BJ136" s="62">
        <f t="shared" si="146"/>
        <v>247.01165577562966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-1.9895196601282805E-13</v>
      </c>
      <c r="BZ136" s="14">
        <f>BY136*VLOOKUP('Données projet'!$B$12,Paramètres!$A$1:$I$89,3,0)*VLOOKUP('Données projet'!$B$12,Paramètres!$A$1:$I$89,5,0)</f>
        <v>-1.6138983482960614E-13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236.22643401787644</v>
      </c>
      <c r="CE136" s="62">
        <f t="shared" si="148"/>
        <v>188.80444043778022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2.8421709430404007E-13</v>
      </c>
      <c r="CU136" s="18">
        <f>CT136*VLOOKUP('Données projet'!$B$13,Paramètres!$A$1:$I$89,3,0)*VLOOKUP('Données projet'!$B$13,Paramètres!$A$1:$I$89,5,0)</f>
        <v>1.3301360013429075E-13</v>
      </c>
      <c r="CV136" s="14">
        <f t="shared" si="149"/>
        <v>1.9329766731057041E-12</v>
      </c>
      <c r="CW136" s="22">
        <f t="shared" si="121"/>
        <v>3.5982663925596575E-12</v>
      </c>
      <c r="CX136" s="62">
        <f t="shared" si="122"/>
        <v>293.3333333333369</v>
      </c>
      <c r="CY136" s="62">
        <f ca="1">AVERAGE(OFFSET($CX$3,0,0,'Données projet'!$E$13+1,1))-AVERAGE(OFFSET($H$3,0,0,'Données projet'!$E$13+1,1))</f>
        <v>246.73711856758143</v>
      </c>
      <c r="CZ136" s="62">
        <f t="shared" si="150"/>
        <v>145.54897745089966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-5.1159076974727213E-13</v>
      </c>
      <c r="DP136" s="18">
        <f>DO136*VLOOKUP('Données projet'!$B$14,Paramètres!$A$1:$I$89,3,0)*VLOOKUP('Données projet'!$B$14,Paramètres!$A$1:$I$89,5,0)</f>
        <v>-5.3471467253984886E-13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493.70175665335978</v>
      </c>
      <c r="DU136" s="62">
        <f t="shared" si="152"/>
        <v>325.12357781685949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-1.7053025658242404E-13</v>
      </c>
      <c r="EK136" s="18">
        <f>EJ136*VLOOKUP('Données projet'!$B$15,Paramètres!$A$1:$I$89,3,0)*VLOOKUP('Données projet'!$B$15,Paramètres!$A$1:$I$89,5,0)</f>
        <v>-1.4897523215040567E-13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202.86354781280403</v>
      </c>
      <c r="EP136" s="62">
        <f t="shared" si="154"/>
        <v>217.25323885665131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-1.7053025658242404E-13</v>
      </c>
      <c r="FF136" s="18">
        <f>FE136*VLOOKUP('Données projet'!$B$16,Paramètres!$A$1:$I$89,3,0)*VLOOKUP('Données projet'!$B$16,Paramètres!$A$1:$I$89,5,0)</f>
        <v>-1.6227659216383472E-13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353.61481736740694</v>
      </c>
      <c r="FK136" s="62">
        <f t="shared" si="156"/>
        <v>244.7141066773861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5.6843418860808015E-14</v>
      </c>
      <c r="GA136" s="18">
        <f>FZ136*VLOOKUP('Données projet'!$B$17,Paramètres!$A$1:$I$89,3,0)*VLOOKUP('Données projet'!$B$17,Paramètres!$A$1:$I$89,5,0)</f>
        <v>6.1186256061773749E-14</v>
      </c>
      <c r="GB136" s="14">
        <f t="shared" si="157"/>
        <v>9.7328366192051127E-13</v>
      </c>
      <c r="GC136" s="22">
        <f t="shared" si="133"/>
        <v>1.8017017738191463E-12</v>
      </c>
      <c r="GD136" s="62">
        <f t="shared" si="134"/>
        <v>293.33333333333513</v>
      </c>
      <c r="GE136" s="62">
        <f ca="1">AVERAGE(OFFSET($GD$3,0,0,'Données projet'!$E$17+1,1))-AVERAGE(OFFSET($H$3,0,0,'Données projet'!$E$17+1,1))</f>
        <v>280.20599015000306</v>
      </c>
      <c r="GF136" s="62">
        <f t="shared" si="158"/>
        <v>166.97658184507787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-5.6843418860808015E-14</v>
      </c>
      <c r="GV136" s="18">
        <f>GU136*VLOOKUP('Données projet'!$B$18,Paramètres!$A$1:$I$89,3,0)*VLOOKUP('Données projet'!$B$18,Paramètres!$A$1:$I$89,5,0)</f>
        <v>-3.813056537183002E-14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291.18686311753402</v>
      </c>
      <c r="HA136" s="62">
        <f t="shared" si="160"/>
        <v>215.44422413249839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9">
        <f t="shared" si="110"/>
        <v>256.66666666666669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260.02504691866199</v>
      </c>
      <c r="T137" s="62">
        <f t="shared" si="142"/>
        <v>270.11268336406368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1.2760608200564965</v>
      </c>
      <c r="AA137" s="23">
        <f>EXP(-LN(2)/25)*AA136+(1-EXP(-LN(2)/25))/(LN(2)/25)*Calculateur!V137*Calculateur!X137*VLOOKUP('Données projet'!$B$9,Paramètres!$A$1:$I$89,3,0)*0.475*44/12</f>
        <v>0.91941659870524417</v>
      </c>
      <c r="AB137" s="23">
        <f>EXP(-LN(2)/2)*AB136+(1-EXP(-LN(2)/2))/(LN(2)/2)*V137*Y137*VLOOKUP('Données projet'!$B$9,Paramètres!$A$1:$I$89,3,0)*0.475*44/12</f>
        <v>1.4077541234777877E-15</v>
      </c>
      <c r="AC137" s="24">
        <f t="shared" si="111"/>
        <v>2.1954774187617421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2">
        <f t="shared" si="113"/>
        <v>905.47544691277926</v>
      </c>
      <c r="AN137" s="62">
        <f ca="1">AVERAGE(OFFSET($AM$3,0,0,'Données projet'!$E$10+1,1))-AVERAGE(OFFSET($H$3,0,0,'Données projet'!$E$10+1,1))</f>
        <v>475.47920969424894</v>
      </c>
      <c r="AO137" s="62">
        <f t="shared" si="144"/>
        <v>271.73544012419364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253.16303999999937</v>
      </c>
      <c r="BF137" s="14">
        <f t="shared" si="145"/>
        <v>61.262761848634923</v>
      </c>
      <c r="BG137" s="22">
        <f t="shared" si="115"/>
        <v>547.62493821970475</v>
      </c>
      <c r="BH137" s="62">
        <f t="shared" si="116"/>
        <v>840.958271553038</v>
      </c>
      <c r="BI137" s="62">
        <f ca="1">AVERAGE(OFFSET($BH$3,0,0,'Données projet'!$E$11+1,1))-AVERAGE(OFFSET($H$3,0,0,'Données projet'!$E$11+1,1))</f>
        <v>428.8489304403459</v>
      </c>
      <c r="BJ137" s="62">
        <f t="shared" si="146"/>
        <v>247.01165577562966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-1.9895196601282805E-13</v>
      </c>
      <c r="BZ137" s="14">
        <f>BY137*VLOOKUP('Données projet'!$B$12,Paramètres!$A$1:$I$89,3,0)*VLOOKUP('Données projet'!$B$12,Paramètres!$A$1:$I$89,5,0)</f>
        <v>-1.6138983482960614E-13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236.22643401787644</v>
      </c>
      <c r="CE137" s="62">
        <f t="shared" si="148"/>
        <v>188.80444043778022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2.8421709430404007E-13</v>
      </c>
      <c r="CU137" s="18">
        <f>CT137*VLOOKUP('Données projet'!$B$13,Paramètres!$A$1:$I$89,3,0)*VLOOKUP('Données projet'!$B$13,Paramètres!$A$1:$I$89,5,0)</f>
        <v>1.3301360013429075E-13</v>
      </c>
      <c r="CV137" s="14">
        <f t="shared" si="149"/>
        <v>1.9329766731057041E-12</v>
      </c>
      <c r="CW137" s="22">
        <f t="shared" si="121"/>
        <v>3.5982663925596575E-12</v>
      </c>
      <c r="CX137" s="62">
        <f t="shared" si="122"/>
        <v>293.3333333333369</v>
      </c>
      <c r="CY137" s="62">
        <f ca="1">AVERAGE(OFFSET($CX$3,0,0,'Données projet'!$E$13+1,1))-AVERAGE(OFFSET($H$3,0,0,'Données projet'!$E$13+1,1))</f>
        <v>246.73711856758143</v>
      </c>
      <c r="CZ137" s="62">
        <f t="shared" si="150"/>
        <v>145.54897745089966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-5.1159076974727213E-13</v>
      </c>
      <c r="DP137" s="18">
        <f>DO137*VLOOKUP('Données projet'!$B$14,Paramètres!$A$1:$I$89,3,0)*VLOOKUP('Données projet'!$B$14,Paramètres!$A$1:$I$89,5,0)</f>
        <v>-5.3471467253984886E-13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493.70175665335978</v>
      </c>
      <c r="DU137" s="62">
        <f t="shared" si="152"/>
        <v>325.12357781685949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-1.7053025658242404E-13</v>
      </c>
      <c r="EK137" s="18">
        <f>EJ137*VLOOKUP('Données projet'!$B$15,Paramètres!$A$1:$I$89,3,0)*VLOOKUP('Données projet'!$B$15,Paramètres!$A$1:$I$89,5,0)</f>
        <v>-1.4897523215040567E-13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202.86354781280403</v>
      </c>
      <c r="EP137" s="62">
        <f t="shared" si="154"/>
        <v>217.25323885665131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-1.7053025658242404E-13</v>
      </c>
      <c r="FF137" s="18">
        <f>FE137*VLOOKUP('Données projet'!$B$16,Paramètres!$A$1:$I$89,3,0)*VLOOKUP('Données projet'!$B$16,Paramètres!$A$1:$I$89,5,0)</f>
        <v>-1.6227659216383472E-13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353.61481736740694</v>
      </c>
      <c r="FK137" s="62">
        <f t="shared" si="156"/>
        <v>244.7141066773861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5.6843418860808015E-14</v>
      </c>
      <c r="GA137" s="18">
        <f>FZ137*VLOOKUP('Données projet'!$B$17,Paramètres!$A$1:$I$89,3,0)*VLOOKUP('Données projet'!$B$17,Paramètres!$A$1:$I$89,5,0)</f>
        <v>6.1186256061773749E-14</v>
      </c>
      <c r="GB137" s="14">
        <f t="shared" si="157"/>
        <v>9.7328366192051127E-13</v>
      </c>
      <c r="GC137" s="22">
        <f t="shared" si="133"/>
        <v>1.8017017738191463E-12</v>
      </c>
      <c r="GD137" s="62">
        <f t="shared" si="134"/>
        <v>293.33333333333513</v>
      </c>
      <c r="GE137" s="62">
        <f ca="1">AVERAGE(OFFSET($GD$3,0,0,'Données projet'!$E$17+1,1))-AVERAGE(OFFSET($H$3,0,0,'Données projet'!$E$17+1,1))</f>
        <v>280.20599015000306</v>
      </c>
      <c r="GF137" s="62">
        <f t="shared" si="158"/>
        <v>166.97658184507787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-5.6843418860808015E-14</v>
      </c>
      <c r="GV137" s="18">
        <f>GU137*VLOOKUP('Données projet'!$B$18,Paramètres!$A$1:$I$89,3,0)*VLOOKUP('Données projet'!$B$18,Paramètres!$A$1:$I$89,5,0)</f>
        <v>-3.813056537183002E-14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291.18686311753402</v>
      </c>
      <c r="HA137" s="62">
        <f t="shared" si="160"/>
        <v>215.44422413249839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9">
        <f t="shared" si="110"/>
        <v>256.66666666666669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260.02504691866199</v>
      </c>
      <c r="T138" s="62">
        <f t="shared" si="142"/>
        <v>270.11268336406368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1.251038045695436</v>
      </c>
      <c r="AA138" s="23">
        <f>EXP(-LN(2)/25)*AA137+(1-EXP(-LN(2)/25))/(LN(2)/25)*Calculateur!V138*Calculateur!X138*VLOOKUP('Données projet'!$B$9,Paramètres!$A$1:$I$89,3,0)*0.475*44/12</f>
        <v>0.8942751034636317</v>
      </c>
      <c r="AB138" s="23">
        <f>EXP(-LN(2)/2)*AB137+(1-EXP(-LN(2)/2))/(LN(2)/2)*V138*Y138*VLOOKUP('Données projet'!$B$9,Paramètres!$A$1:$I$89,3,0)*0.475*44/12</f>
        <v>9.9543248695446801E-16</v>
      </c>
      <c r="AC138" s="24">
        <f t="shared" si="111"/>
        <v>2.1453131491590685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2">
        <f t="shared" si="113"/>
        <v>911.24935938826479</v>
      </c>
      <c r="AN138" s="62">
        <f ca="1">AVERAGE(OFFSET($AM$3,0,0,'Données projet'!$E$10+1,1))-AVERAGE(OFFSET($H$3,0,0,'Données projet'!$E$10+1,1))</f>
        <v>475.47920969424894</v>
      </c>
      <c r="AO138" s="62">
        <f t="shared" si="144"/>
        <v>271.73544012419364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255.60599999999937</v>
      </c>
      <c r="BF138" s="14">
        <f t="shared" si="145"/>
        <v>61.784827631732192</v>
      </c>
      <c r="BG138" s="22">
        <f t="shared" si="115"/>
        <v>552.78902479193243</v>
      </c>
      <c r="BH138" s="62">
        <f t="shared" si="116"/>
        <v>846.12235812526569</v>
      </c>
      <c r="BI138" s="62">
        <f ca="1">AVERAGE(OFFSET($BH$3,0,0,'Données projet'!$E$11+1,1))-AVERAGE(OFFSET($H$3,0,0,'Données projet'!$E$11+1,1))</f>
        <v>428.8489304403459</v>
      </c>
      <c r="BJ138" s="62">
        <f t="shared" si="146"/>
        <v>247.01165577562966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-1.9895196601282805E-13</v>
      </c>
      <c r="BZ138" s="14">
        <f>BY138*VLOOKUP('Données projet'!$B$12,Paramètres!$A$1:$I$89,3,0)*VLOOKUP('Données projet'!$B$12,Paramètres!$A$1:$I$89,5,0)</f>
        <v>-1.6138983482960614E-13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236.22643401787644</v>
      </c>
      <c r="CE138" s="62">
        <f t="shared" si="148"/>
        <v>188.80444043778022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2.8421709430404007E-13</v>
      </c>
      <c r="CU138" s="18">
        <f>CT138*VLOOKUP('Données projet'!$B$13,Paramètres!$A$1:$I$89,3,0)*VLOOKUP('Données projet'!$B$13,Paramètres!$A$1:$I$89,5,0)</f>
        <v>1.3301360013429075E-13</v>
      </c>
      <c r="CV138" s="14">
        <f t="shared" si="149"/>
        <v>1.9329766731057041E-12</v>
      </c>
      <c r="CW138" s="22">
        <f t="shared" si="121"/>
        <v>3.5982663925596575E-12</v>
      </c>
      <c r="CX138" s="62">
        <f t="shared" si="122"/>
        <v>293.3333333333369</v>
      </c>
      <c r="CY138" s="62">
        <f ca="1">AVERAGE(OFFSET($CX$3,0,0,'Données projet'!$E$13+1,1))-AVERAGE(OFFSET($H$3,0,0,'Données projet'!$E$13+1,1))</f>
        <v>246.73711856758143</v>
      </c>
      <c r="CZ138" s="62">
        <f t="shared" si="150"/>
        <v>145.54897745089966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-5.1159076974727213E-13</v>
      </c>
      <c r="DP138" s="18">
        <f>DO138*VLOOKUP('Données projet'!$B$14,Paramètres!$A$1:$I$89,3,0)*VLOOKUP('Données projet'!$B$14,Paramètres!$A$1:$I$89,5,0)</f>
        <v>-5.3471467253984886E-13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493.70175665335978</v>
      </c>
      <c r="DU138" s="62">
        <f t="shared" si="152"/>
        <v>325.12357781685949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-1.7053025658242404E-13</v>
      </c>
      <c r="EK138" s="18">
        <f>EJ138*VLOOKUP('Données projet'!$B$15,Paramètres!$A$1:$I$89,3,0)*VLOOKUP('Données projet'!$B$15,Paramètres!$A$1:$I$89,5,0)</f>
        <v>-1.4897523215040567E-13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202.86354781280403</v>
      </c>
      <c r="EP138" s="62">
        <f t="shared" si="154"/>
        <v>217.25323885665131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-1.7053025658242404E-13</v>
      </c>
      <c r="FF138" s="18">
        <f>FE138*VLOOKUP('Données projet'!$B$16,Paramètres!$A$1:$I$89,3,0)*VLOOKUP('Données projet'!$B$16,Paramètres!$A$1:$I$89,5,0)</f>
        <v>-1.6227659216383472E-13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353.61481736740694</v>
      </c>
      <c r="FK138" s="62">
        <f t="shared" si="156"/>
        <v>244.7141066773861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5.6843418860808015E-14</v>
      </c>
      <c r="GA138" s="18">
        <f>FZ138*VLOOKUP('Données projet'!$B$17,Paramètres!$A$1:$I$89,3,0)*VLOOKUP('Données projet'!$B$17,Paramètres!$A$1:$I$89,5,0)</f>
        <v>6.1186256061773749E-14</v>
      </c>
      <c r="GB138" s="14">
        <f t="shared" si="157"/>
        <v>9.7328366192051127E-13</v>
      </c>
      <c r="GC138" s="22">
        <f t="shared" si="133"/>
        <v>1.8017017738191463E-12</v>
      </c>
      <c r="GD138" s="62">
        <f t="shared" si="134"/>
        <v>293.33333333333513</v>
      </c>
      <c r="GE138" s="62">
        <f ca="1">AVERAGE(OFFSET($GD$3,0,0,'Données projet'!$E$17+1,1))-AVERAGE(OFFSET($H$3,0,0,'Données projet'!$E$17+1,1))</f>
        <v>280.20599015000306</v>
      </c>
      <c r="GF138" s="62">
        <f t="shared" si="158"/>
        <v>166.97658184507787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-5.6843418860808015E-14</v>
      </c>
      <c r="GV138" s="18">
        <f>GU138*VLOOKUP('Données projet'!$B$18,Paramètres!$A$1:$I$89,3,0)*VLOOKUP('Données projet'!$B$18,Paramètres!$A$1:$I$89,5,0)</f>
        <v>-3.813056537183002E-14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291.18686311753402</v>
      </c>
      <c r="HA138" s="62">
        <f t="shared" si="160"/>
        <v>215.44422413249839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9">
        <f t="shared" si="110"/>
        <v>256.66666666666669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260.02504691866199</v>
      </c>
      <c r="T139" s="62">
        <f t="shared" si="142"/>
        <v>270.11268336406368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1.2265059526772106</v>
      </c>
      <c r="AA139" s="23">
        <f>EXP(-LN(2)/25)*AA138+(1-EXP(-LN(2)/25))/(LN(2)/25)*Calculateur!V139*Calculateur!X139*VLOOKUP('Données projet'!$B$9,Paramètres!$A$1:$I$89,3,0)*0.475*44/12</f>
        <v>0.86982110373153487</v>
      </c>
      <c r="AB139" s="23">
        <f>EXP(-LN(2)/2)*AB138+(1-EXP(-LN(2)/2))/(LN(2)/2)*V139*Y139*VLOOKUP('Données projet'!$B$9,Paramètres!$A$1:$I$89,3,0)*0.475*44/12</f>
        <v>7.0387706173889383E-16</v>
      </c>
      <c r="AC139" s="24">
        <f t="shared" si="111"/>
        <v>2.0963270564087466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2">
        <f t="shared" si="113"/>
        <v>917.02215376729873</v>
      </c>
      <c r="AN139" s="62">
        <f ca="1">AVERAGE(OFFSET($AM$3,0,0,'Données projet'!$E$10+1,1))-AVERAGE(OFFSET($H$3,0,0,'Données projet'!$E$10+1,1))</f>
        <v>475.47920969424894</v>
      </c>
      <c r="AO139" s="62">
        <f t="shared" si="144"/>
        <v>271.73544012419364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258.0489599999994</v>
      </c>
      <c r="BF139" s="14">
        <f t="shared" si="145"/>
        <v>62.306312932555649</v>
      </c>
      <c r="BG139" s="22">
        <f t="shared" si="115"/>
        <v>557.95210035753337</v>
      </c>
      <c r="BH139" s="62">
        <f t="shared" si="116"/>
        <v>851.28543369086674</v>
      </c>
      <c r="BI139" s="62">
        <f ca="1">AVERAGE(OFFSET($BH$3,0,0,'Données projet'!$E$11+1,1))-AVERAGE(OFFSET($H$3,0,0,'Données projet'!$E$11+1,1))</f>
        <v>428.8489304403459</v>
      </c>
      <c r="BJ139" s="62">
        <f t="shared" si="146"/>
        <v>247.01165577562966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-1.9895196601282805E-13</v>
      </c>
      <c r="BZ139" s="14">
        <f>BY139*VLOOKUP('Données projet'!$B$12,Paramètres!$A$1:$I$89,3,0)*VLOOKUP('Données projet'!$B$12,Paramètres!$A$1:$I$89,5,0)</f>
        <v>-1.6138983482960614E-13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236.22643401787644</v>
      </c>
      <c r="CE139" s="62">
        <f t="shared" si="148"/>
        <v>188.80444043778022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2.8421709430404007E-13</v>
      </c>
      <c r="CU139" s="18">
        <f>CT139*VLOOKUP('Données projet'!$B$13,Paramètres!$A$1:$I$89,3,0)*VLOOKUP('Données projet'!$B$13,Paramètres!$A$1:$I$89,5,0)</f>
        <v>1.3301360013429075E-13</v>
      </c>
      <c r="CV139" s="14">
        <f t="shared" si="149"/>
        <v>1.9329766731057041E-12</v>
      </c>
      <c r="CW139" s="22">
        <f t="shared" si="121"/>
        <v>3.5982663925596575E-12</v>
      </c>
      <c r="CX139" s="62">
        <f t="shared" si="122"/>
        <v>293.3333333333369</v>
      </c>
      <c r="CY139" s="62">
        <f ca="1">AVERAGE(OFFSET($CX$3,0,0,'Données projet'!$E$13+1,1))-AVERAGE(OFFSET($H$3,0,0,'Données projet'!$E$13+1,1))</f>
        <v>246.73711856758143</v>
      </c>
      <c r="CZ139" s="62">
        <f t="shared" si="150"/>
        <v>145.54897745089966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-5.1159076974727213E-13</v>
      </c>
      <c r="DP139" s="18">
        <f>DO139*VLOOKUP('Données projet'!$B$14,Paramètres!$A$1:$I$89,3,0)*VLOOKUP('Données projet'!$B$14,Paramètres!$A$1:$I$89,5,0)</f>
        <v>-5.3471467253984886E-13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493.70175665335978</v>
      </c>
      <c r="DU139" s="62">
        <f t="shared" si="152"/>
        <v>325.12357781685949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-1.7053025658242404E-13</v>
      </c>
      <c r="EK139" s="18">
        <f>EJ139*VLOOKUP('Données projet'!$B$15,Paramètres!$A$1:$I$89,3,0)*VLOOKUP('Données projet'!$B$15,Paramètres!$A$1:$I$89,5,0)</f>
        <v>-1.4897523215040567E-13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202.86354781280403</v>
      </c>
      <c r="EP139" s="62">
        <f t="shared" si="154"/>
        <v>217.25323885665131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-1.7053025658242404E-13</v>
      </c>
      <c r="FF139" s="18">
        <f>FE139*VLOOKUP('Données projet'!$B$16,Paramètres!$A$1:$I$89,3,0)*VLOOKUP('Données projet'!$B$16,Paramètres!$A$1:$I$89,5,0)</f>
        <v>-1.6227659216383472E-13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353.61481736740694</v>
      </c>
      <c r="FK139" s="62">
        <f t="shared" si="156"/>
        <v>244.7141066773861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5.6843418860808015E-14</v>
      </c>
      <c r="GA139" s="18">
        <f>FZ139*VLOOKUP('Données projet'!$B$17,Paramètres!$A$1:$I$89,3,0)*VLOOKUP('Données projet'!$B$17,Paramètres!$A$1:$I$89,5,0)</f>
        <v>6.1186256061773749E-14</v>
      </c>
      <c r="GB139" s="14">
        <f t="shared" si="157"/>
        <v>9.7328366192051127E-13</v>
      </c>
      <c r="GC139" s="22">
        <f t="shared" si="133"/>
        <v>1.8017017738191463E-12</v>
      </c>
      <c r="GD139" s="62">
        <f t="shared" si="134"/>
        <v>293.33333333333513</v>
      </c>
      <c r="GE139" s="62">
        <f ca="1">AVERAGE(OFFSET($GD$3,0,0,'Données projet'!$E$17+1,1))-AVERAGE(OFFSET($H$3,0,0,'Données projet'!$E$17+1,1))</f>
        <v>280.20599015000306</v>
      </c>
      <c r="GF139" s="62">
        <f t="shared" si="158"/>
        <v>166.97658184507787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-5.6843418860808015E-14</v>
      </c>
      <c r="GV139" s="18">
        <f>GU139*VLOOKUP('Données projet'!$B$18,Paramètres!$A$1:$I$89,3,0)*VLOOKUP('Données projet'!$B$18,Paramètres!$A$1:$I$89,5,0)</f>
        <v>-3.813056537183002E-14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291.18686311753402</v>
      </c>
      <c r="HA139" s="62">
        <f t="shared" si="160"/>
        <v>215.44422413249839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9">
        <f t="shared" si="110"/>
        <v>256.66666666666669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260.02504691866199</v>
      </c>
      <c r="T140" s="62">
        <f t="shared" si="142"/>
        <v>270.11268336406368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1.2024549190399734</v>
      </c>
      <c r="AA140" s="23">
        <f>EXP(-LN(2)/25)*AA139+(1-EXP(-LN(2)/25))/(LN(2)/25)*Calculateur!V140*Calculateur!X140*VLOOKUP('Données projet'!$B$9,Paramètres!$A$1:$I$89,3,0)*0.475*44/12</f>
        <v>0.84603579990809219</v>
      </c>
      <c r="AB140" s="23">
        <f>EXP(-LN(2)/2)*AB139+(1-EXP(-LN(2)/2))/(LN(2)/2)*V140*Y140*VLOOKUP('Données projet'!$B$9,Paramètres!$A$1:$I$89,3,0)*0.475*44/12</f>
        <v>4.97716243477234E-16</v>
      </c>
      <c r="AC140" s="24">
        <f t="shared" si="111"/>
        <v>2.0484907189480661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2">
        <f t="shared" si="113"/>
        <v>922.79384186089305</v>
      </c>
      <c r="AN140" s="62">
        <f ca="1">AVERAGE(OFFSET($AM$3,0,0,'Données projet'!$E$10+1,1))-AVERAGE(OFFSET($H$3,0,0,'Données projet'!$E$10+1,1))</f>
        <v>475.47920969424894</v>
      </c>
      <c r="AO140" s="62">
        <f t="shared" si="144"/>
        <v>271.73544012419364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260.49191999999937</v>
      </c>
      <c r="BF140" s="14">
        <f t="shared" si="145"/>
        <v>62.827223883029681</v>
      </c>
      <c r="BG140" s="22">
        <f t="shared" si="115"/>
        <v>563.11417559627546</v>
      </c>
      <c r="BH140" s="62">
        <f t="shared" si="116"/>
        <v>856.44750892960883</v>
      </c>
      <c r="BI140" s="62">
        <f ca="1">AVERAGE(OFFSET($BH$3,0,0,'Données projet'!$E$11+1,1))-AVERAGE(OFFSET($H$3,0,0,'Données projet'!$E$11+1,1))</f>
        <v>428.8489304403459</v>
      </c>
      <c r="BJ140" s="62">
        <f t="shared" si="146"/>
        <v>247.01165577562966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-1.9895196601282805E-13</v>
      </c>
      <c r="BZ140" s="14">
        <f>BY140*VLOOKUP('Données projet'!$B$12,Paramètres!$A$1:$I$89,3,0)*VLOOKUP('Données projet'!$B$12,Paramètres!$A$1:$I$89,5,0)</f>
        <v>-1.6138983482960614E-13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236.22643401787644</v>
      </c>
      <c r="CE140" s="62">
        <f t="shared" si="148"/>
        <v>188.80444043778022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2.8421709430404007E-13</v>
      </c>
      <c r="CU140" s="18">
        <f>CT140*VLOOKUP('Données projet'!$B$13,Paramètres!$A$1:$I$89,3,0)*VLOOKUP('Données projet'!$B$13,Paramètres!$A$1:$I$89,5,0)</f>
        <v>1.3301360013429075E-13</v>
      </c>
      <c r="CV140" s="14">
        <f t="shared" si="149"/>
        <v>1.9329766731057041E-12</v>
      </c>
      <c r="CW140" s="22">
        <f t="shared" si="121"/>
        <v>3.5982663925596575E-12</v>
      </c>
      <c r="CX140" s="62">
        <f t="shared" si="122"/>
        <v>293.3333333333369</v>
      </c>
      <c r="CY140" s="62">
        <f ca="1">AVERAGE(OFFSET($CX$3,0,0,'Données projet'!$E$13+1,1))-AVERAGE(OFFSET($H$3,0,0,'Données projet'!$E$13+1,1))</f>
        <v>246.73711856758143</v>
      </c>
      <c r="CZ140" s="62">
        <f t="shared" si="150"/>
        <v>145.54897745089966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-5.1159076974727213E-13</v>
      </c>
      <c r="DP140" s="18">
        <f>DO140*VLOOKUP('Données projet'!$B$14,Paramètres!$A$1:$I$89,3,0)*VLOOKUP('Données projet'!$B$14,Paramètres!$A$1:$I$89,5,0)</f>
        <v>-5.3471467253984886E-13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493.70175665335978</v>
      </c>
      <c r="DU140" s="62">
        <f t="shared" si="152"/>
        <v>325.12357781685949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-1.7053025658242404E-13</v>
      </c>
      <c r="EK140" s="18">
        <f>EJ140*VLOOKUP('Données projet'!$B$15,Paramètres!$A$1:$I$89,3,0)*VLOOKUP('Données projet'!$B$15,Paramètres!$A$1:$I$89,5,0)</f>
        <v>-1.4897523215040567E-13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202.86354781280403</v>
      </c>
      <c r="EP140" s="62">
        <f t="shared" si="154"/>
        <v>217.25323885665131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-1.7053025658242404E-13</v>
      </c>
      <c r="FF140" s="18">
        <f>FE140*VLOOKUP('Données projet'!$B$16,Paramètres!$A$1:$I$89,3,0)*VLOOKUP('Données projet'!$B$16,Paramètres!$A$1:$I$89,5,0)</f>
        <v>-1.6227659216383472E-13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353.61481736740694</v>
      </c>
      <c r="FK140" s="62">
        <f t="shared" si="156"/>
        <v>244.7141066773861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5.6843418860808015E-14</v>
      </c>
      <c r="GA140" s="18">
        <f>FZ140*VLOOKUP('Données projet'!$B$17,Paramètres!$A$1:$I$89,3,0)*VLOOKUP('Données projet'!$B$17,Paramètres!$A$1:$I$89,5,0)</f>
        <v>6.1186256061773749E-14</v>
      </c>
      <c r="GB140" s="14">
        <f t="shared" si="157"/>
        <v>9.7328366192051127E-13</v>
      </c>
      <c r="GC140" s="22">
        <f t="shared" si="133"/>
        <v>1.8017017738191463E-12</v>
      </c>
      <c r="GD140" s="62">
        <f t="shared" si="134"/>
        <v>293.33333333333513</v>
      </c>
      <c r="GE140" s="62">
        <f ca="1">AVERAGE(OFFSET($GD$3,0,0,'Données projet'!$E$17+1,1))-AVERAGE(OFFSET($H$3,0,0,'Données projet'!$E$17+1,1))</f>
        <v>280.20599015000306</v>
      </c>
      <c r="GF140" s="62">
        <f t="shared" si="158"/>
        <v>166.97658184507787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-5.6843418860808015E-14</v>
      </c>
      <c r="GV140" s="18">
        <f>GU140*VLOOKUP('Données projet'!$B$18,Paramètres!$A$1:$I$89,3,0)*VLOOKUP('Données projet'!$B$18,Paramètres!$A$1:$I$89,5,0)</f>
        <v>-3.813056537183002E-14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291.18686311753402</v>
      </c>
      <c r="HA140" s="62">
        <f t="shared" si="160"/>
        <v>215.44422413249839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9">
        <f t="shared" si="110"/>
        <v>256.66666666666669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260.02504691866199</v>
      </c>
      <c r="T141" s="62">
        <f t="shared" si="142"/>
        <v>270.11268336406368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1.1788755115026803</v>
      </c>
      <c r="AA141" s="23">
        <f>EXP(-LN(2)/25)*AA140+(1-EXP(-LN(2)/25))/(LN(2)/25)*Calculateur!V141*Calculateur!X141*VLOOKUP('Données projet'!$B$9,Paramètres!$A$1:$I$89,3,0)*0.475*44/12</f>
        <v>0.82290090646851632</v>
      </c>
      <c r="AB141" s="23">
        <f>EXP(-LN(2)/2)*AB140+(1-EXP(-LN(2)/2))/(LN(2)/2)*V141*Y141*VLOOKUP('Données projet'!$B$9,Paramètres!$A$1:$I$89,3,0)*0.475*44/12</f>
        <v>3.5193853086944692E-16</v>
      </c>
      <c r="AC141" s="24">
        <f t="shared" si="111"/>
        <v>2.0017764179711972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2">
        <f t="shared" si="113"/>
        <v>928.5644352457507</v>
      </c>
      <c r="AN141" s="62">
        <f ca="1">AVERAGE(OFFSET($AM$3,0,0,'Données projet'!$E$10+1,1))-AVERAGE(OFFSET($H$3,0,0,'Données projet'!$E$10+1,1))</f>
        <v>475.47920969424894</v>
      </c>
      <c r="AO141" s="62">
        <f t="shared" si="144"/>
        <v>271.73544012419364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262.93487999999934</v>
      </c>
      <c r="BF141" s="14">
        <f t="shared" si="145"/>
        <v>63.347566493432652</v>
      </c>
      <c r="BG141" s="22">
        <f t="shared" si="115"/>
        <v>568.27526097606062</v>
      </c>
      <c r="BH141" s="62">
        <f t="shared" si="116"/>
        <v>861.60859430939399</v>
      </c>
      <c r="BI141" s="62">
        <f ca="1">AVERAGE(OFFSET($BH$3,0,0,'Données projet'!$E$11+1,1))-AVERAGE(OFFSET($H$3,0,0,'Données projet'!$E$11+1,1))</f>
        <v>428.8489304403459</v>
      </c>
      <c r="BJ141" s="62">
        <f t="shared" si="146"/>
        <v>247.01165577562966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-1.9895196601282805E-13</v>
      </c>
      <c r="BZ141" s="14">
        <f>BY141*VLOOKUP('Données projet'!$B$12,Paramètres!$A$1:$I$89,3,0)*VLOOKUP('Données projet'!$B$12,Paramètres!$A$1:$I$89,5,0)</f>
        <v>-1.6138983482960614E-13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236.22643401787644</v>
      </c>
      <c r="CE141" s="62">
        <f t="shared" si="148"/>
        <v>188.80444043778022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2.8421709430404007E-13</v>
      </c>
      <c r="CU141" s="18">
        <f>CT141*VLOOKUP('Données projet'!$B$13,Paramètres!$A$1:$I$89,3,0)*VLOOKUP('Données projet'!$B$13,Paramètres!$A$1:$I$89,5,0)</f>
        <v>1.3301360013429075E-13</v>
      </c>
      <c r="CV141" s="14">
        <f t="shared" si="149"/>
        <v>1.9329766731057041E-12</v>
      </c>
      <c r="CW141" s="22">
        <f t="shared" si="121"/>
        <v>3.5982663925596575E-12</v>
      </c>
      <c r="CX141" s="62">
        <f t="shared" si="122"/>
        <v>293.3333333333369</v>
      </c>
      <c r="CY141" s="62">
        <f ca="1">AVERAGE(OFFSET($CX$3,0,0,'Données projet'!$E$13+1,1))-AVERAGE(OFFSET($H$3,0,0,'Données projet'!$E$13+1,1))</f>
        <v>246.73711856758143</v>
      </c>
      <c r="CZ141" s="62">
        <f t="shared" si="150"/>
        <v>145.54897745089966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-5.1159076974727213E-13</v>
      </c>
      <c r="DP141" s="18">
        <f>DO141*VLOOKUP('Données projet'!$B$14,Paramètres!$A$1:$I$89,3,0)*VLOOKUP('Données projet'!$B$14,Paramètres!$A$1:$I$89,5,0)</f>
        <v>-5.3471467253984886E-13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493.70175665335978</v>
      </c>
      <c r="DU141" s="62">
        <f t="shared" si="152"/>
        <v>325.12357781685949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-1.7053025658242404E-13</v>
      </c>
      <c r="EK141" s="18">
        <f>EJ141*VLOOKUP('Données projet'!$B$15,Paramètres!$A$1:$I$89,3,0)*VLOOKUP('Données projet'!$B$15,Paramètres!$A$1:$I$89,5,0)</f>
        <v>-1.4897523215040567E-13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202.86354781280403</v>
      </c>
      <c r="EP141" s="62">
        <f t="shared" si="154"/>
        <v>217.25323885665131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-1.7053025658242404E-13</v>
      </c>
      <c r="FF141" s="18">
        <f>FE141*VLOOKUP('Données projet'!$B$16,Paramètres!$A$1:$I$89,3,0)*VLOOKUP('Données projet'!$B$16,Paramètres!$A$1:$I$89,5,0)</f>
        <v>-1.6227659216383472E-13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353.61481736740694</v>
      </c>
      <c r="FK141" s="62">
        <f t="shared" si="156"/>
        <v>244.7141066773861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5.6843418860808015E-14</v>
      </c>
      <c r="GA141" s="18">
        <f>FZ141*VLOOKUP('Données projet'!$B$17,Paramètres!$A$1:$I$89,3,0)*VLOOKUP('Données projet'!$B$17,Paramètres!$A$1:$I$89,5,0)</f>
        <v>6.1186256061773749E-14</v>
      </c>
      <c r="GB141" s="14">
        <f t="shared" si="157"/>
        <v>9.7328366192051127E-13</v>
      </c>
      <c r="GC141" s="22">
        <f t="shared" si="133"/>
        <v>1.8017017738191463E-12</v>
      </c>
      <c r="GD141" s="62">
        <f t="shared" si="134"/>
        <v>293.33333333333513</v>
      </c>
      <c r="GE141" s="62">
        <f ca="1">AVERAGE(OFFSET($GD$3,0,0,'Données projet'!$E$17+1,1))-AVERAGE(OFFSET($H$3,0,0,'Données projet'!$E$17+1,1))</f>
        <v>280.20599015000306</v>
      </c>
      <c r="GF141" s="62">
        <f t="shared" si="158"/>
        <v>166.97658184507787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-5.6843418860808015E-14</v>
      </c>
      <c r="GV141" s="18">
        <f>GU141*VLOOKUP('Données projet'!$B$18,Paramètres!$A$1:$I$89,3,0)*VLOOKUP('Données projet'!$B$18,Paramètres!$A$1:$I$89,5,0)</f>
        <v>-3.813056537183002E-14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291.18686311753402</v>
      </c>
      <c r="HA141" s="62">
        <f t="shared" si="160"/>
        <v>215.44422413249839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9">
        <f t="shared" si="110"/>
        <v>256.66666666666669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260.02504691866199</v>
      </c>
      <c r="T142" s="62">
        <f t="shared" si="142"/>
        <v>270.11268336406368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1.1557584817651751</v>
      </c>
      <c r="AA142" s="23">
        <f>EXP(-LN(2)/25)*AA141+(1-EXP(-LN(2)/25))/(LN(2)/25)*Calculateur!V142*Calculateur!X142*VLOOKUP('Données projet'!$B$9,Paramètres!$A$1:$I$89,3,0)*0.475*44/12</f>
        <v>0.80039863790665688</v>
      </c>
      <c r="AB142" s="23">
        <f>EXP(-LN(2)/2)*AB141+(1-EXP(-LN(2)/2))/(LN(2)/2)*V142*Y142*VLOOKUP('Données projet'!$B$9,Paramètres!$A$1:$I$89,3,0)*0.475*44/12</f>
        <v>2.48858121738617E-16</v>
      </c>
      <c r="AC142" s="24">
        <f t="shared" si="111"/>
        <v>1.9561571196718324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2">
        <f t="shared" si="113"/>
        <v>934.33394527104656</v>
      </c>
      <c r="AN142" s="62">
        <f ca="1">AVERAGE(OFFSET($AM$3,0,0,'Données projet'!$E$10+1,1))-AVERAGE(OFFSET($H$3,0,0,'Données projet'!$E$10+1,1))</f>
        <v>475.47920969424894</v>
      </c>
      <c r="AO142" s="62">
        <f t="shared" si="144"/>
        <v>271.73544012419364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265.37783999999937</v>
      </c>
      <c r="BF142" s="14">
        <f t="shared" si="145"/>
        <v>63.867346655917089</v>
      </c>
      <c r="BG142" s="22">
        <f t="shared" si="115"/>
        <v>573.43536675905443</v>
      </c>
      <c r="BH142" s="62">
        <f t="shared" si="116"/>
        <v>866.76870009238769</v>
      </c>
      <c r="BI142" s="62">
        <f ca="1">AVERAGE(OFFSET($BH$3,0,0,'Données projet'!$E$11+1,1))-AVERAGE(OFFSET($H$3,0,0,'Données projet'!$E$11+1,1))</f>
        <v>428.8489304403459</v>
      </c>
      <c r="BJ142" s="62">
        <f t="shared" si="146"/>
        <v>247.01165577562966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-1.9895196601282805E-13</v>
      </c>
      <c r="BZ142" s="14">
        <f>BY142*VLOOKUP('Données projet'!$B$12,Paramètres!$A$1:$I$89,3,0)*VLOOKUP('Données projet'!$B$12,Paramètres!$A$1:$I$89,5,0)</f>
        <v>-1.6138983482960614E-13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236.22643401787644</v>
      </c>
      <c r="CE142" s="62">
        <f t="shared" si="148"/>
        <v>188.80444043778022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2.8421709430404007E-13</v>
      </c>
      <c r="CU142" s="18">
        <f>CT142*VLOOKUP('Données projet'!$B$13,Paramètres!$A$1:$I$89,3,0)*VLOOKUP('Données projet'!$B$13,Paramètres!$A$1:$I$89,5,0)</f>
        <v>1.3301360013429075E-13</v>
      </c>
      <c r="CV142" s="14">
        <f t="shared" si="149"/>
        <v>1.9329766731057041E-12</v>
      </c>
      <c r="CW142" s="22">
        <f t="shared" si="121"/>
        <v>3.5982663925596575E-12</v>
      </c>
      <c r="CX142" s="62">
        <f t="shared" si="122"/>
        <v>293.3333333333369</v>
      </c>
      <c r="CY142" s="62">
        <f ca="1">AVERAGE(OFFSET($CX$3,0,0,'Données projet'!$E$13+1,1))-AVERAGE(OFFSET($H$3,0,0,'Données projet'!$E$13+1,1))</f>
        <v>246.73711856758143</v>
      </c>
      <c r="CZ142" s="62">
        <f t="shared" si="150"/>
        <v>145.54897745089966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-5.1159076974727213E-13</v>
      </c>
      <c r="DP142" s="18">
        <f>DO142*VLOOKUP('Données projet'!$B$14,Paramètres!$A$1:$I$89,3,0)*VLOOKUP('Données projet'!$B$14,Paramètres!$A$1:$I$89,5,0)</f>
        <v>-5.3471467253984886E-13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493.70175665335978</v>
      </c>
      <c r="DU142" s="62">
        <f t="shared" si="152"/>
        <v>325.12357781685949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-1.7053025658242404E-13</v>
      </c>
      <c r="EK142" s="18">
        <f>EJ142*VLOOKUP('Données projet'!$B$15,Paramètres!$A$1:$I$89,3,0)*VLOOKUP('Données projet'!$B$15,Paramètres!$A$1:$I$89,5,0)</f>
        <v>-1.4897523215040567E-13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202.86354781280403</v>
      </c>
      <c r="EP142" s="62">
        <f t="shared" si="154"/>
        <v>217.25323885665131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-1.7053025658242404E-13</v>
      </c>
      <c r="FF142" s="18">
        <f>FE142*VLOOKUP('Données projet'!$B$16,Paramètres!$A$1:$I$89,3,0)*VLOOKUP('Données projet'!$B$16,Paramètres!$A$1:$I$89,5,0)</f>
        <v>-1.6227659216383472E-13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353.61481736740694</v>
      </c>
      <c r="FK142" s="62">
        <f t="shared" si="156"/>
        <v>244.7141066773861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5.6843418860808015E-14</v>
      </c>
      <c r="GA142" s="18">
        <f>FZ142*VLOOKUP('Données projet'!$B$17,Paramètres!$A$1:$I$89,3,0)*VLOOKUP('Données projet'!$B$17,Paramètres!$A$1:$I$89,5,0)</f>
        <v>6.1186256061773749E-14</v>
      </c>
      <c r="GB142" s="14">
        <f t="shared" si="157"/>
        <v>9.7328366192051127E-13</v>
      </c>
      <c r="GC142" s="22">
        <f t="shared" si="133"/>
        <v>1.8017017738191463E-12</v>
      </c>
      <c r="GD142" s="62">
        <f t="shared" si="134"/>
        <v>293.33333333333513</v>
      </c>
      <c r="GE142" s="62">
        <f ca="1">AVERAGE(OFFSET($GD$3,0,0,'Données projet'!$E$17+1,1))-AVERAGE(OFFSET($H$3,0,0,'Données projet'!$E$17+1,1))</f>
        <v>280.20599015000306</v>
      </c>
      <c r="GF142" s="62">
        <f t="shared" si="158"/>
        <v>166.97658184507787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-5.6843418860808015E-14</v>
      </c>
      <c r="GV142" s="18">
        <f>GU142*VLOOKUP('Données projet'!$B$18,Paramètres!$A$1:$I$89,3,0)*VLOOKUP('Données projet'!$B$18,Paramètres!$A$1:$I$89,5,0)</f>
        <v>-3.813056537183002E-14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291.18686311753402</v>
      </c>
      <c r="HA142" s="62">
        <f t="shared" si="160"/>
        <v>215.44422413249839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9">
        <f t="shared" si="110"/>
        <v>256.66666666666669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260.02504691866199</v>
      </c>
      <c r="T143" s="62">
        <f t="shared" si="142"/>
        <v>270.11268336406368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1.1330947628808266</v>
      </c>
      <c r="AA143" s="23">
        <f>EXP(-LN(2)/25)*AA142+(1-EXP(-LN(2)/25))/(LN(2)/25)*Calculateur!V143*Calculateur!X143*VLOOKUP('Données projet'!$B$9,Paramètres!$A$1:$I$89,3,0)*0.475*44/12</f>
        <v>0.77851169506196427</v>
      </c>
      <c r="AB143" s="23">
        <f>EXP(-LN(2)/2)*AB142+(1-EXP(-LN(2)/2))/(LN(2)/2)*V143*Y143*VLOOKUP('Données projet'!$B$9,Paramètres!$A$1:$I$89,3,0)*0.475*44/12</f>
        <v>1.7596926543472346E-16</v>
      </c>
      <c r="AC143" s="24">
        <f t="shared" si="111"/>
        <v>1.9116064579427909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2">
        <f t="shared" si="113"/>
        <v>940.10238306495216</v>
      </c>
      <c r="AN143" s="62">
        <f ca="1">AVERAGE(OFFSET($AM$3,0,0,'Données projet'!$E$10+1,1))-AVERAGE(OFFSET($H$3,0,0,'Données projet'!$E$10+1,1))</f>
        <v>475.47920969424894</v>
      </c>
      <c r="AO143" s="62">
        <f t="shared" si="144"/>
        <v>271.73544012419364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267.82079999999934</v>
      </c>
      <c r="BF143" s="14">
        <f t="shared" si="145"/>
        <v>64.386570147897245</v>
      </c>
      <c r="BG143" s="22">
        <f t="shared" si="115"/>
        <v>578.59450300758647</v>
      </c>
      <c r="BH143" s="62">
        <f t="shared" si="116"/>
        <v>871.92783634091984</v>
      </c>
      <c r="BI143" s="62">
        <f ca="1">AVERAGE(OFFSET($BH$3,0,0,'Données projet'!$E$11+1,1))-AVERAGE(OFFSET($H$3,0,0,'Données projet'!$E$11+1,1))</f>
        <v>428.8489304403459</v>
      </c>
      <c r="BJ143" s="62">
        <f t="shared" si="146"/>
        <v>247.01165577562966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-1.9895196601282805E-13</v>
      </c>
      <c r="BZ143" s="14">
        <f>BY143*VLOOKUP('Données projet'!$B$12,Paramètres!$A$1:$I$89,3,0)*VLOOKUP('Données projet'!$B$12,Paramètres!$A$1:$I$89,5,0)</f>
        <v>-1.6138983482960614E-13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236.22643401787644</v>
      </c>
      <c r="CE143" s="62">
        <f t="shared" si="148"/>
        <v>188.80444043778022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2.8421709430404007E-13</v>
      </c>
      <c r="CU143" s="18">
        <f>CT143*VLOOKUP('Données projet'!$B$13,Paramètres!$A$1:$I$89,3,0)*VLOOKUP('Données projet'!$B$13,Paramètres!$A$1:$I$89,5,0)</f>
        <v>1.3301360013429075E-13</v>
      </c>
      <c r="CV143" s="14">
        <f t="shared" si="149"/>
        <v>1.9329766731057041E-12</v>
      </c>
      <c r="CW143" s="22">
        <f t="shared" si="121"/>
        <v>3.5982663925596575E-12</v>
      </c>
      <c r="CX143" s="62">
        <f t="shared" si="122"/>
        <v>293.3333333333369</v>
      </c>
      <c r="CY143" s="62">
        <f ca="1">AVERAGE(OFFSET($CX$3,0,0,'Données projet'!$E$13+1,1))-AVERAGE(OFFSET($H$3,0,0,'Données projet'!$E$13+1,1))</f>
        <v>246.73711856758143</v>
      </c>
      <c r="CZ143" s="62">
        <f t="shared" si="150"/>
        <v>145.54897745089966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-5.1159076974727213E-13</v>
      </c>
      <c r="DP143" s="18">
        <f>DO143*VLOOKUP('Données projet'!$B$14,Paramètres!$A$1:$I$89,3,0)*VLOOKUP('Données projet'!$B$14,Paramètres!$A$1:$I$89,5,0)</f>
        <v>-5.3471467253984886E-13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493.70175665335978</v>
      </c>
      <c r="DU143" s="62">
        <f t="shared" si="152"/>
        <v>325.12357781685949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-1.7053025658242404E-13</v>
      </c>
      <c r="EK143" s="18">
        <f>EJ143*VLOOKUP('Données projet'!$B$15,Paramètres!$A$1:$I$89,3,0)*VLOOKUP('Données projet'!$B$15,Paramètres!$A$1:$I$89,5,0)</f>
        <v>-1.4897523215040567E-13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202.86354781280403</v>
      </c>
      <c r="EP143" s="62">
        <f t="shared" si="154"/>
        <v>217.25323885665131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-1.7053025658242404E-13</v>
      </c>
      <c r="FF143" s="18">
        <f>FE143*VLOOKUP('Données projet'!$B$16,Paramètres!$A$1:$I$89,3,0)*VLOOKUP('Données projet'!$B$16,Paramètres!$A$1:$I$89,5,0)</f>
        <v>-1.6227659216383472E-13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353.61481736740694</v>
      </c>
      <c r="FK143" s="62">
        <f t="shared" si="156"/>
        <v>244.7141066773861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5.6843418860808015E-14</v>
      </c>
      <c r="GA143" s="18">
        <f>FZ143*VLOOKUP('Données projet'!$B$17,Paramètres!$A$1:$I$89,3,0)*VLOOKUP('Données projet'!$B$17,Paramètres!$A$1:$I$89,5,0)</f>
        <v>6.1186256061773749E-14</v>
      </c>
      <c r="GB143" s="14">
        <f t="shared" si="157"/>
        <v>9.7328366192051127E-13</v>
      </c>
      <c r="GC143" s="22">
        <f t="shared" si="133"/>
        <v>1.8017017738191463E-12</v>
      </c>
      <c r="GD143" s="62">
        <f t="shared" si="134"/>
        <v>293.33333333333513</v>
      </c>
      <c r="GE143" s="62">
        <f ca="1">AVERAGE(OFFSET($GD$3,0,0,'Données projet'!$E$17+1,1))-AVERAGE(OFFSET($H$3,0,0,'Données projet'!$E$17+1,1))</f>
        <v>280.20599015000306</v>
      </c>
      <c r="GF143" s="62">
        <f t="shared" si="158"/>
        <v>166.97658184507787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-5.6843418860808015E-14</v>
      </c>
      <c r="GV143" s="18">
        <f>GU143*VLOOKUP('Données projet'!$B$18,Paramètres!$A$1:$I$89,3,0)*VLOOKUP('Données projet'!$B$18,Paramètres!$A$1:$I$89,5,0)</f>
        <v>-3.813056537183002E-14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291.18686311753402</v>
      </c>
      <c r="HA143" s="62">
        <f t="shared" si="160"/>
        <v>215.44422413249839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9">
        <f t="shared" si="110"/>
        <v>256.66666666666669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260.02504691866199</v>
      </c>
      <c r="T144" s="62">
        <f t="shared" si="142"/>
        <v>270.11268336406368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1.1108754657002966</v>
      </c>
      <c r="AA144" s="23">
        <f>EXP(-LN(2)/25)*AA143+(1-EXP(-LN(2)/25))/(LN(2)/25)*Calculateur!V144*Calculateur!X144*VLOOKUP('Données projet'!$B$9,Paramètres!$A$1:$I$89,3,0)*0.475*44/12</f>
        <v>0.75722325182034411</v>
      </c>
      <c r="AB144" s="23">
        <f>EXP(-LN(2)/2)*AB143+(1-EXP(-LN(2)/2))/(LN(2)/2)*V144*Y144*VLOOKUP('Données projet'!$B$9,Paramètres!$A$1:$I$89,3,0)*0.475*44/12</f>
        <v>1.244290608693085E-16</v>
      </c>
      <c r="AC144" s="24">
        <f t="shared" si="111"/>
        <v>1.8680987175206409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2">
        <f t="shared" si="113"/>
        <v>887.50488060598582</v>
      </c>
      <c r="AN144" s="62">
        <f ca="1">AVERAGE(OFFSET($AM$3,0,0,'Données projet'!$E$10+1,1))-AVERAGE(OFFSET($H$3,0,0,'Données projet'!$E$10+1,1))</f>
        <v>475.47920969424894</v>
      </c>
      <c r="AO144" s="62">
        <f t="shared" si="144"/>
        <v>271.73544012419364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245.5627199999993</v>
      </c>
      <c r="BF144" s="14">
        <f t="shared" si="145"/>
        <v>59.634776048276741</v>
      </c>
      <c r="BG144" s="22">
        <f t="shared" si="115"/>
        <v>531.55230561741405</v>
      </c>
      <c r="BH144" s="62">
        <f t="shared" si="116"/>
        <v>824.88563895074731</v>
      </c>
      <c r="BI144" s="62">
        <f ca="1">AVERAGE(OFFSET($BH$3,0,0,'Données projet'!$E$11+1,1))-AVERAGE(OFFSET($H$3,0,0,'Données projet'!$E$11+1,1))</f>
        <v>428.8489304403459</v>
      </c>
      <c r="BJ144" s="62">
        <f t="shared" si="146"/>
        <v>247.01165577562966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-1.9895196601282805E-13</v>
      </c>
      <c r="BZ144" s="14">
        <f>BY144*VLOOKUP('Données projet'!$B$12,Paramètres!$A$1:$I$89,3,0)*VLOOKUP('Données projet'!$B$12,Paramètres!$A$1:$I$89,5,0)</f>
        <v>-1.6138983482960614E-13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236.22643401787644</v>
      </c>
      <c r="CE144" s="62">
        <f t="shared" si="148"/>
        <v>188.80444043778022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2.8421709430404007E-13</v>
      </c>
      <c r="CU144" s="18">
        <f>CT144*VLOOKUP('Données projet'!$B$13,Paramètres!$A$1:$I$89,3,0)*VLOOKUP('Données projet'!$B$13,Paramètres!$A$1:$I$89,5,0)</f>
        <v>1.3301360013429075E-13</v>
      </c>
      <c r="CV144" s="14">
        <f t="shared" si="149"/>
        <v>1.9329766731057041E-12</v>
      </c>
      <c r="CW144" s="22">
        <f t="shared" si="121"/>
        <v>3.5982663925596575E-12</v>
      </c>
      <c r="CX144" s="62">
        <f t="shared" si="122"/>
        <v>293.3333333333369</v>
      </c>
      <c r="CY144" s="62">
        <f ca="1">AVERAGE(OFFSET($CX$3,0,0,'Données projet'!$E$13+1,1))-AVERAGE(OFFSET($H$3,0,0,'Données projet'!$E$13+1,1))</f>
        <v>246.73711856758143</v>
      </c>
      <c r="CZ144" s="62">
        <f t="shared" si="150"/>
        <v>145.54897745089966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-5.1159076974727213E-13</v>
      </c>
      <c r="DP144" s="18">
        <f>DO144*VLOOKUP('Données projet'!$B$14,Paramètres!$A$1:$I$89,3,0)*VLOOKUP('Données projet'!$B$14,Paramètres!$A$1:$I$89,5,0)</f>
        <v>-5.3471467253984886E-13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493.70175665335978</v>
      </c>
      <c r="DU144" s="62">
        <f t="shared" si="152"/>
        <v>325.12357781685949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-1.7053025658242404E-13</v>
      </c>
      <c r="EK144" s="18">
        <f>EJ144*VLOOKUP('Données projet'!$B$15,Paramètres!$A$1:$I$89,3,0)*VLOOKUP('Données projet'!$B$15,Paramètres!$A$1:$I$89,5,0)</f>
        <v>-1.4897523215040567E-13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202.86354781280403</v>
      </c>
      <c r="EP144" s="62">
        <f t="shared" si="154"/>
        <v>217.25323885665131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-1.7053025658242404E-13</v>
      </c>
      <c r="FF144" s="18">
        <f>FE144*VLOOKUP('Données projet'!$B$16,Paramètres!$A$1:$I$89,3,0)*VLOOKUP('Données projet'!$B$16,Paramètres!$A$1:$I$89,5,0)</f>
        <v>-1.6227659216383472E-13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353.61481736740694</v>
      </c>
      <c r="FK144" s="62">
        <f t="shared" si="156"/>
        <v>244.7141066773861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5.6843418860808015E-14</v>
      </c>
      <c r="GA144" s="18">
        <f>FZ144*VLOOKUP('Données projet'!$B$17,Paramètres!$A$1:$I$89,3,0)*VLOOKUP('Données projet'!$B$17,Paramètres!$A$1:$I$89,5,0)</f>
        <v>6.1186256061773749E-14</v>
      </c>
      <c r="GB144" s="14">
        <f t="shared" si="157"/>
        <v>9.7328366192051127E-13</v>
      </c>
      <c r="GC144" s="22">
        <f t="shared" si="133"/>
        <v>1.8017017738191463E-12</v>
      </c>
      <c r="GD144" s="62">
        <f t="shared" si="134"/>
        <v>293.33333333333513</v>
      </c>
      <c r="GE144" s="62">
        <f ca="1">AVERAGE(OFFSET($GD$3,0,0,'Données projet'!$E$17+1,1))-AVERAGE(OFFSET($H$3,0,0,'Données projet'!$E$17+1,1))</f>
        <v>280.20599015000306</v>
      </c>
      <c r="GF144" s="62">
        <f t="shared" si="158"/>
        <v>166.97658184507787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-5.6843418860808015E-14</v>
      </c>
      <c r="GV144" s="18">
        <f>GU144*VLOOKUP('Données projet'!$B$18,Paramètres!$A$1:$I$89,3,0)*VLOOKUP('Données projet'!$B$18,Paramètres!$A$1:$I$89,5,0)</f>
        <v>-3.813056537183002E-14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291.18686311753402</v>
      </c>
      <c r="HA144" s="62">
        <f t="shared" si="160"/>
        <v>215.44422413249839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9">
        <f t="shared" si="110"/>
        <v>256.66666666666669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260.02504691866199</v>
      </c>
      <c r="T145" s="62">
        <f t="shared" si="142"/>
        <v>270.11268336406368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1.0890918753850436</v>
      </c>
      <c r="AA145" s="23">
        <f>EXP(-LN(2)/25)*AA144+(1-EXP(-LN(2)/25))/(LN(2)/25)*Calculateur!V145*Calculateur!X145*VLOOKUP('Données projet'!$B$9,Paramètres!$A$1:$I$89,3,0)*0.475*44/12</f>
        <v>0.73651694217867669</v>
      </c>
      <c r="AB145" s="23">
        <f>EXP(-LN(2)/2)*AB144+(1-EXP(-LN(2)/2))/(LN(2)/2)*V145*Y145*VLOOKUP('Données projet'!$B$9,Paramètres!$A$1:$I$89,3,0)*0.475*44/12</f>
        <v>8.7984632717361729E-17</v>
      </c>
      <c r="AC145" s="24">
        <f t="shared" si="111"/>
        <v>1.8256088175637202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2">
        <f t="shared" si="113"/>
        <v>892.64046612551419</v>
      </c>
      <c r="AN145" s="62">
        <f ca="1">AVERAGE(OFFSET($AM$3,0,0,'Données projet'!$E$10+1,1))-AVERAGE(OFFSET($H$3,0,0,'Données projet'!$E$10+1,1))</f>
        <v>475.47920969424894</v>
      </c>
      <c r="AO145" s="62">
        <f t="shared" si="144"/>
        <v>271.73544012419364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247.73423999999929</v>
      </c>
      <c r="BF145" s="14">
        <f t="shared" si="145"/>
        <v>60.100505665694953</v>
      </c>
      <c r="BG145" s="22">
        <f t="shared" si="115"/>
        <v>536.14551536775082</v>
      </c>
      <c r="BH145" s="62">
        <f t="shared" si="116"/>
        <v>829.47884870108419</v>
      </c>
      <c r="BI145" s="62">
        <f ca="1">AVERAGE(OFFSET($BH$3,0,0,'Données projet'!$E$11+1,1))-AVERAGE(OFFSET($H$3,0,0,'Données projet'!$E$11+1,1))</f>
        <v>428.8489304403459</v>
      </c>
      <c r="BJ145" s="62">
        <f t="shared" si="146"/>
        <v>247.01165577562966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-1.9895196601282805E-13</v>
      </c>
      <c r="BZ145" s="14">
        <f>BY145*VLOOKUP('Données projet'!$B$12,Paramètres!$A$1:$I$89,3,0)*VLOOKUP('Données projet'!$B$12,Paramètres!$A$1:$I$89,5,0)</f>
        <v>-1.6138983482960614E-13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236.22643401787644</v>
      </c>
      <c r="CE145" s="62">
        <f t="shared" si="148"/>
        <v>188.80444043778022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2.8421709430404007E-13</v>
      </c>
      <c r="CU145" s="18">
        <f>CT145*VLOOKUP('Données projet'!$B$13,Paramètres!$A$1:$I$89,3,0)*VLOOKUP('Données projet'!$B$13,Paramètres!$A$1:$I$89,5,0)</f>
        <v>1.3301360013429075E-13</v>
      </c>
      <c r="CV145" s="14">
        <f t="shared" si="149"/>
        <v>1.9329766731057041E-12</v>
      </c>
      <c r="CW145" s="22">
        <f t="shared" si="121"/>
        <v>3.5982663925596575E-12</v>
      </c>
      <c r="CX145" s="62">
        <f t="shared" si="122"/>
        <v>293.3333333333369</v>
      </c>
      <c r="CY145" s="62">
        <f ca="1">AVERAGE(OFFSET($CX$3,0,0,'Données projet'!$E$13+1,1))-AVERAGE(OFFSET($H$3,0,0,'Données projet'!$E$13+1,1))</f>
        <v>246.73711856758143</v>
      </c>
      <c r="CZ145" s="62">
        <f t="shared" si="150"/>
        <v>145.54897745089966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-5.1159076974727213E-13</v>
      </c>
      <c r="DP145" s="18">
        <f>DO145*VLOOKUP('Données projet'!$B$14,Paramètres!$A$1:$I$89,3,0)*VLOOKUP('Données projet'!$B$14,Paramètres!$A$1:$I$89,5,0)</f>
        <v>-5.3471467253984886E-13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493.70175665335978</v>
      </c>
      <c r="DU145" s="62">
        <f t="shared" si="152"/>
        <v>325.12357781685949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-1.7053025658242404E-13</v>
      </c>
      <c r="EK145" s="18">
        <f>EJ145*VLOOKUP('Données projet'!$B$15,Paramètres!$A$1:$I$89,3,0)*VLOOKUP('Données projet'!$B$15,Paramètres!$A$1:$I$89,5,0)</f>
        <v>-1.4897523215040567E-13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202.86354781280403</v>
      </c>
      <c r="EP145" s="62">
        <f t="shared" si="154"/>
        <v>217.25323885665131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-1.7053025658242404E-13</v>
      </c>
      <c r="FF145" s="18">
        <f>FE145*VLOOKUP('Données projet'!$B$16,Paramètres!$A$1:$I$89,3,0)*VLOOKUP('Données projet'!$B$16,Paramètres!$A$1:$I$89,5,0)</f>
        <v>-1.6227659216383472E-13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353.61481736740694</v>
      </c>
      <c r="FK145" s="62">
        <f t="shared" si="156"/>
        <v>244.7141066773861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5.6843418860808015E-14</v>
      </c>
      <c r="GA145" s="18">
        <f>FZ145*VLOOKUP('Données projet'!$B$17,Paramètres!$A$1:$I$89,3,0)*VLOOKUP('Données projet'!$B$17,Paramètres!$A$1:$I$89,5,0)</f>
        <v>6.1186256061773749E-14</v>
      </c>
      <c r="GB145" s="14">
        <f t="shared" si="157"/>
        <v>9.7328366192051127E-13</v>
      </c>
      <c r="GC145" s="22">
        <f t="shared" si="133"/>
        <v>1.8017017738191463E-12</v>
      </c>
      <c r="GD145" s="62">
        <f t="shared" si="134"/>
        <v>293.33333333333513</v>
      </c>
      <c r="GE145" s="62">
        <f ca="1">AVERAGE(OFFSET($GD$3,0,0,'Données projet'!$E$17+1,1))-AVERAGE(OFFSET($H$3,0,0,'Données projet'!$E$17+1,1))</f>
        <v>280.20599015000306</v>
      </c>
      <c r="GF145" s="62">
        <f t="shared" si="158"/>
        <v>166.97658184507787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-5.6843418860808015E-14</v>
      </c>
      <c r="GV145" s="18">
        <f>GU145*VLOOKUP('Données projet'!$B$18,Paramètres!$A$1:$I$89,3,0)*VLOOKUP('Données projet'!$B$18,Paramètres!$A$1:$I$89,5,0)</f>
        <v>-3.813056537183002E-14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291.18686311753402</v>
      </c>
      <c r="HA145" s="62">
        <f t="shared" si="160"/>
        <v>215.44422413249839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9">
        <f t="shared" si="110"/>
        <v>256.66666666666669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260.02504691866199</v>
      </c>
      <c r="T146" s="62">
        <f t="shared" si="142"/>
        <v>270.11268336406368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1.0677354479891947</v>
      </c>
      <c r="AA146" s="23">
        <f>EXP(-LN(2)/25)*AA145+(1-EXP(-LN(2)/25))/(LN(2)/25)*Calculateur!V146*Calculateur!X146*VLOOKUP('Données projet'!$B$9,Paramètres!$A$1:$I$89,3,0)*0.475*44/12</f>
        <v>0.71637684766305809</v>
      </c>
      <c r="AB146" s="23">
        <f>EXP(-LN(2)/2)*AB145+(1-EXP(-LN(2)/2))/(LN(2)/2)*V146*Y146*VLOOKUP('Données projet'!$B$9,Paramètres!$A$1:$I$89,3,0)*0.475*44/12</f>
        <v>6.221453043465425E-17</v>
      </c>
      <c r="AC146" s="24">
        <f t="shared" si="111"/>
        <v>1.7841122956522528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2">
        <f t="shared" si="113"/>
        <v>897.77513681738401</v>
      </c>
      <c r="AN146" s="62">
        <f ca="1">AVERAGE(OFFSET($AM$3,0,0,'Données projet'!$E$10+1,1))-AVERAGE(OFFSET($H$3,0,0,'Données projet'!$E$10+1,1))</f>
        <v>475.47920969424894</v>
      </c>
      <c r="AO146" s="62">
        <f t="shared" si="144"/>
        <v>271.73544012419364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249.90575999999925</v>
      </c>
      <c r="BF146" s="14">
        <f t="shared" si="145"/>
        <v>60.565760331923727</v>
      </c>
      <c r="BG146" s="22">
        <f t="shared" si="115"/>
        <v>540.73789791143247</v>
      </c>
      <c r="BH146" s="62">
        <f t="shared" si="116"/>
        <v>834.07123124476584</v>
      </c>
      <c r="BI146" s="62">
        <f ca="1">AVERAGE(OFFSET($BH$3,0,0,'Données projet'!$E$11+1,1))-AVERAGE(OFFSET($H$3,0,0,'Données projet'!$E$11+1,1))</f>
        <v>428.8489304403459</v>
      </c>
      <c r="BJ146" s="62">
        <f t="shared" si="146"/>
        <v>247.01165577562966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-1.9895196601282805E-13</v>
      </c>
      <c r="BZ146" s="14">
        <f>BY146*VLOOKUP('Données projet'!$B$12,Paramètres!$A$1:$I$89,3,0)*VLOOKUP('Données projet'!$B$12,Paramètres!$A$1:$I$89,5,0)</f>
        <v>-1.6138983482960614E-13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236.22643401787644</v>
      </c>
      <c r="CE146" s="62">
        <f t="shared" si="148"/>
        <v>188.80444043778022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2.8421709430404007E-13</v>
      </c>
      <c r="CU146" s="18">
        <f>CT146*VLOOKUP('Données projet'!$B$13,Paramètres!$A$1:$I$89,3,0)*VLOOKUP('Données projet'!$B$13,Paramètres!$A$1:$I$89,5,0)</f>
        <v>1.3301360013429075E-13</v>
      </c>
      <c r="CV146" s="14">
        <f t="shared" si="149"/>
        <v>1.9329766731057041E-12</v>
      </c>
      <c r="CW146" s="22">
        <f t="shared" si="121"/>
        <v>3.5982663925596575E-12</v>
      </c>
      <c r="CX146" s="62">
        <f t="shared" si="122"/>
        <v>293.3333333333369</v>
      </c>
      <c r="CY146" s="62">
        <f ca="1">AVERAGE(OFFSET($CX$3,0,0,'Données projet'!$E$13+1,1))-AVERAGE(OFFSET($H$3,0,0,'Données projet'!$E$13+1,1))</f>
        <v>246.73711856758143</v>
      </c>
      <c r="CZ146" s="62">
        <f t="shared" si="150"/>
        <v>145.54897745089966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-5.1159076974727213E-13</v>
      </c>
      <c r="DP146" s="18">
        <f>DO146*VLOOKUP('Données projet'!$B$14,Paramètres!$A$1:$I$89,3,0)*VLOOKUP('Données projet'!$B$14,Paramètres!$A$1:$I$89,5,0)</f>
        <v>-5.3471467253984886E-13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493.70175665335978</v>
      </c>
      <c r="DU146" s="62">
        <f t="shared" si="152"/>
        <v>325.12357781685949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-1.7053025658242404E-13</v>
      </c>
      <c r="EK146" s="18">
        <f>EJ146*VLOOKUP('Données projet'!$B$15,Paramètres!$A$1:$I$89,3,0)*VLOOKUP('Données projet'!$B$15,Paramètres!$A$1:$I$89,5,0)</f>
        <v>-1.4897523215040567E-13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202.86354781280403</v>
      </c>
      <c r="EP146" s="62">
        <f t="shared" si="154"/>
        <v>217.25323885665131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-1.7053025658242404E-13</v>
      </c>
      <c r="FF146" s="18">
        <f>FE146*VLOOKUP('Données projet'!$B$16,Paramètres!$A$1:$I$89,3,0)*VLOOKUP('Données projet'!$B$16,Paramètres!$A$1:$I$89,5,0)</f>
        <v>-1.6227659216383472E-13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353.61481736740694</v>
      </c>
      <c r="FK146" s="62">
        <f t="shared" si="156"/>
        <v>244.7141066773861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5.6843418860808015E-14</v>
      </c>
      <c r="GA146" s="18">
        <f>FZ146*VLOOKUP('Données projet'!$B$17,Paramètres!$A$1:$I$89,3,0)*VLOOKUP('Données projet'!$B$17,Paramètres!$A$1:$I$89,5,0)</f>
        <v>6.1186256061773749E-14</v>
      </c>
      <c r="GB146" s="14">
        <f t="shared" si="157"/>
        <v>9.7328366192051127E-13</v>
      </c>
      <c r="GC146" s="22">
        <f t="shared" si="133"/>
        <v>1.8017017738191463E-12</v>
      </c>
      <c r="GD146" s="62">
        <f t="shared" si="134"/>
        <v>293.33333333333513</v>
      </c>
      <c r="GE146" s="62">
        <f ca="1">AVERAGE(OFFSET($GD$3,0,0,'Données projet'!$E$17+1,1))-AVERAGE(OFFSET($H$3,0,0,'Données projet'!$E$17+1,1))</f>
        <v>280.20599015000306</v>
      </c>
      <c r="GF146" s="62">
        <f t="shared" si="158"/>
        <v>166.97658184507787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-5.6843418860808015E-14</v>
      </c>
      <c r="GV146" s="18">
        <f>GU146*VLOOKUP('Données projet'!$B$18,Paramètres!$A$1:$I$89,3,0)*VLOOKUP('Données projet'!$B$18,Paramètres!$A$1:$I$89,5,0)</f>
        <v>-3.813056537183002E-14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291.18686311753402</v>
      </c>
      <c r="HA146" s="62">
        <f t="shared" si="160"/>
        <v>215.44422413249839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9">
        <f t="shared" si="110"/>
        <v>256.66666666666669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260.02504691866199</v>
      </c>
      <c r="T147" s="62">
        <f t="shared" si="142"/>
        <v>270.11268336406368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1.0467978071084438</v>
      </c>
      <c r="AA147" s="23">
        <f>EXP(-LN(2)/25)*AA146+(1-EXP(-LN(2)/25))/(LN(2)/25)*Calculateur!V147*Calculateur!X147*VLOOKUP('Données projet'!$B$9,Paramètres!$A$1:$I$89,3,0)*0.475*44/12</f>
        <v>0.69678748509109067</v>
      </c>
      <c r="AB147" s="23">
        <f>EXP(-LN(2)/2)*AB146+(1-EXP(-LN(2)/2))/(LN(2)/2)*V147*Y147*VLOOKUP('Données projet'!$B$9,Paramètres!$A$1:$I$89,3,0)*0.475*44/12</f>
        <v>4.3992316358680865E-17</v>
      </c>
      <c r="AC147" s="24">
        <f t="shared" si="111"/>
        <v>1.7435852921995345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2">
        <f t="shared" si="113"/>
        <v>902.90890155188936</v>
      </c>
      <c r="AN147" s="62">
        <f ca="1">AVERAGE(OFFSET($AM$3,0,0,'Données projet'!$E$10+1,1))-AVERAGE(OFFSET($H$3,0,0,'Données projet'!$E$10+1,1))</f>
        <v>475.47920969424894</v>
      </c>
      <c r="AO147" s="62">
        <f t="shared" si="144"/>
        <v>271.73544012419364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252.07727999999923</v>
      </c>
      <c r="BF147" s="14">
        <f t="shared" si="145"/>
        <v>61.030544652154823</v>
      </c>
      <c r="BG147" s="22">
        <f t="shared" si="115"/>
        <v>545.32946126916829</v>
      </c>
      <c r="BH147" s="62">
        <f t="shared" si="116"/>
        <v>838.66279460250166</v>
      </c>
      <c r="BI147" s="62">
        <f ca="1">AVERAGE(OFFSET($BH$3,0,0,'Données projet'!$E$11+1,1))-AVERAGE(OFFSET($H$3,0,0,'Données projet'!$E$11+1,1))</f>
        <v>428.8489304403459</v>
      </c>
      <c r="BJ147" s="62">
        <f t="shared" si="146"/>
        <v>247.01165577562966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-1.9895196601282805E-13</v>
      </c>
      <c r="BZ147" s="14">
        <f>BY147*VLOOKUP('Données projet'!$B$12,Paramètres!$A$1:$I$89,3,0)*VLOOKUP('Données projet'!$B$12,Paramètres!$A$1:$I$89,5,0)</f>
        <v>-1.6138983482960614E-13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236.22643401787644</v>
      </c>
      <c r="CE147" s="62">
        <f t="shared" si="148"/>
        <v>188.80444043778022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2.8421709430404007E-13</v>
      </c>
      <c r="CU147" s="18">
        <f>CT147*VLOOKUP('Données projet'!$B$13,Paramètres!$A$1:$I$89,3,0)*VLOOKUP('Données projet'!$B$13,Paramètres!$A$1:$I$89,5,0)</f>
        <v>1.3301360013429075E-13</v>
      </c>
      <c r="CV147" s="14">
        <f t="shared" si="149"/>
        <v>1.9329766731057041E-12</v>
      </c>
      <c r="CW147" s="22">
        <f t="shared" si="121"/>
        <v>3.5982663925596575E-12</v>
      </c>
      <c r="CX147" s="62">
        <f t="shared" si="122"/>
        <v>293.3333333333369</v>
      </c>
      <c r="CY147" s="62">
        <f ca="1">AVERAGE(OFFSET($CX$3,0,0,'Données projet'!$E$13+1,1))-AVERAGE(OFFSET($H$3,0,0,'Données projet'!$E$13+1,1))</f>
        <v>246.73711856758143</v>
      </c>
      <c r="CZ147" s="62">
        <f t="shared" si="150"/>
        <v>145.54897745089966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-5.1159076974727213E-13</v>
      </c>
      <c r="DP147" s="18">
        <f>DO147*VLOOKUP('Données projet'!$B$14,Paramètres!$A$1:$I$89,3,0)*VLOOKUP('Données projet'!$B$14,Paramètres!$A$1:$I$89,5,0)</f>
        <v>-5.3471467253984886E-13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493.70175665335978</v>
      </c>
      <c r="DU147" s="62">
        <f t="shared" si="152"/>
        <v>325.12357781685949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-1.7053025658242404E-13</v>
      </c>
      <c r="EK147" s="18">
        <f>EJ147*VLOOKUP('Données projet'!$B$15,Paramètres!$A$1:$I$89,3,0)*VLOOKUP('Données projet'!$B$15,Paramètres!$A$1:$I$89,5,0)</f>
        <v>-1.4897523215040567E-13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202.86354781280403</v>
      </c>
      <c r="EP147" s="62">
        <f t="shared" si="154"/>
        <v>217.25323885665131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-1.7053025658242404E-13</v>
      </c>
      <c r="FF147" s="18">
        <f>FE147*VLOOKUP('Données projet'!$B$16,Paramètres!$A$1:$I$89,3,0)*VLOOKUP('Données projet'!$B$16,Paramètres!$A$1:$I$89,5,0)</f>
        <v>-1.6227659216383472E-13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353.61481736740694</v>
      </c>
      <c r="FK147" s="62">
        <f t="shared" si="156"/>
        <v>244.7141066773861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5.6843418860808015E-14</v>
      </c>
      <c r="GA147" s="18">
        <f>FZ147*VLOOKUP('Données projet'!$B$17,Paramètres!$A$1:$I$89,3,0)*VLOOKUP('Données projet'!$B$17,Paramètres!$A$1:$I$89,5,0)</f>
        <v>6.1186256061773749E-14</v>
      </c>
      <c r="GB147" s="14">
        <f t="shared" si="157"/>
        <v>9.7328366192051127E-13</v>
      </c>
      <c r="GC147" s="22">
        <f t="shared" si="133"/>
        <v>1.8017017738191463E-12</v>
      </c>
      <c r="GD147" s="62">
        <f t="shared" si="134"/>
        <v>293.33333333333513</v>
      </c>
      <c r="GE147" s="62">
        <f ca="1">AVERAGE(OFFSET($GD$3,0,0,'Données projet'!$E$17+1,1))-AVERAGE(OFFSET($H$3,0,0,'Données projet'!$E$17+1,1))</f>
        <v>280.20599015000306</v>
      </c>
      <c r="GF147" s="62">
        <f t="shared" si="158"/>
        <v>166.97658184507787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-5.6843418860808015E-14</v>
      </c>
      <c r="GV147" s="18">
        <f>GU147*VLOOKUP('Données projet'!$B$18,Paramètres!$A$1:$I$89,3,0)*VLOOKUP('Données projet'!$B$18,Paramètres!$A$1:$I$89,5,0)</f>
        <v>-3.813056537183002E-14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291.18686311753402</v>
      </c>
      <c r="HA147" s="62">
        <f t="shared" si="160"/>
        <v>215.44422413249839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9">
        <f t="shared" si="110"/>
        <v>256.66666666666669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260.02504691866199</v>
      </c>
      <c r="T148" s="62">
        <f t="shared" si="142"/>
        <v>270.11268336406368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1.0262707405946645</v>
      </c>
      <c r="AA148" s="23">
        <f>EXP(-LN(2)/25)*AA147+(1-EXP(-LN(2)/25))/(LN(2)/25)*Calculateur!V148*Calculateur!X148*VLOOKUP('Données projet'!$B$9,Paramètres!$A$1:$I$89,3,0)*0.475*44/12</f>
        <v>0.67773379466881345</v>
      </c>
      <c r="AB148" s="23">
        <f>EXP(-LN(2)/2)*AB147+(1-EXP(-LN(2)/2))/(LN(2)/2)*V148*Y148*VLOOKUP('Données projet'!$B$9,Paramètres!$A$1:$I$89,3,0)*0.475*44/12</f>
        <v>3.1107265217327125E-17</v>
      </c>
      <c r="AC148" s="24">
        <f t="shared" si="111"/>
        <v>1.7040045352634778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2">
        <f t="shared" si="113"/>
        <v>908.04176903767916</v>
      </c>
      <c r="AN148" s="62">
        <f ca="1">AVERAGE(OFFSET($AM$3,0,0,'Données projet'!$E$10+1,1))-AVERAGE(OFFSET($H$3,0,0,'Données projet'!$E$10+1,1))</f>
        <v>475.47920969424894</v>
      </c>
      <c r="AO148" s="62">
        <f t="shared" si="144"/>
        <v>271.73544012419364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254.24879999999925</v>
      </c>
      <c r="BF148" s="14">
        <f t="shared" si="145"/>
        <v>61.494863147658698</v>
      </c>
      <c r="BG148" s="22">
        <f t="shared" si="115"/>
        <v>549.92021331550427</v>
      </c>
      <c r="BH148" s="62">
        <f t="shared" si="116"/>
        <v>843.25354664883753</v>
      </c>
      <c r="BI148" s="62">
        <f ca="1">AVERAGE(OFFSET($BH$3,0,0,'Données projet'!$E$11+1,1))-AVERAGE(OFFSET($H$3,0,0,'Données projet'!$E$11+1,1))</f>
        <v>428.8489304403459</v>
      </c>
      <c r="BJ148" s="62">
        <f t="shared" si="146"/>
        <v>247.01165577562966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-1.9895196601282805E-13</v>
      </c>
      <c r="BZ148" s="14">
        <f>BY148*VLOOKUP('Données projet'!$B$12,Paramètres!$A$1:$I$89,3,0)*VLOOKUP('Données projet'!$B$12,Paramètres!$A$1:$I$89,5,0)</f>
        <v>-1.6138983482960614E-13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236.22643401787644</v>
      </c>
      <c r="CE148" s="62">
        <f t="shared" si="148"/>
        <v>188.80444043778022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2.8421709430404007E-13</v>
      </c>
      <c r="CU148" s="18">
        <f>CT148*VLOOKUP('Données projet'!$B$13,Paramètres!$A$1:$I$89,3,0)*VLOOKUP('Données projet'!$B$13,Paramètres!$A$1:$I$89,5,0)</f>
        <v>1.3301360013429075E-13</v>
      </c>
      <c r="CV148" s="14">
        <f t="shared" si="149"/>
        <v>1.9329766731057041E-12</v>
      </c>
      <c r="CW148" s="22">
        <f t="shared" si="121"/>
        <v>3.5982663925596575E-12</v>
      </c>
      <c r="CX148" s="62">
        <f t="shared" si="122"/>
        <v>293.3333333333369</v>
      </c>
      <c r="CY148" s="62">
        <f ca="1">AVERAGE(OFFSET($CX$3,0,0,'Données projet'!$E$13+1,1))-AVERAGE(OFFSET($H$3,0,0,'Données projet'!$E$13+1,1))</f>
        <v>246.73711856758143</v>
      </c>
      <c r="CZ148" s="62">
        <f t="shared" si="150"/>
        <v>145.54897745089966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-5.1159076974727213E-13</v>
      </c>
      <c r="DP148" s="18">
        <f>DO148*VLOOKUP('Données projet'!$B$14,Paramètres!$A$1:$I$89,3,0)*VLOOKUP('Données projet'!$B$14,Paramètres!$A$1:$I$89,5,0)</f>
        <v>-5.3471467253984886E-13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493.70175665335978</v>
      </c>
      <c r="DU148" s="62">
        <f t="shared" si="152"/>
        <v>325.12357781685949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-1.7053025658242404E-13</v>
      </c>
      <c r="EK148" s="18">
        <f>EJ148*VLOOKUP('Données projet'!$B$15,Paramètres!$A$1:$I$89,3,0)*VLOOKUP('Données projet'!$B$15,Paramètres!$A$1:$I$89,5,0)</f>
        <v>-1.4897523215040567E-13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202.86354781280403</v>
      </c>
      <c r="EP148" s="62">
        <f t="shared" si="154"/>
        <v>217.25323885665131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-1.7053025658242404E-13</v>
      </c>
      <c r="FF148" s="18">
        <f>FE148*VLOOKUP('Données projet'!$B$16,Paramètres!$A$1:$I$89,3,0)*VLOOKUP('Données projet'!$B$16,Paramètres!$A$1:$I$89,5,0)</f>
        <v>-1.6227659216383472E-13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353.61481736740694</v>
      </c>
      <c r="FK148" s="62">
        <f t="shared" si="156"/>
        <v>244.7141066773861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5.6843418860808015E-14</v>
      </c>
      <c r="GA148" s="18">
        <f>FZ148*VLOOKUP('Données projet'!$B$17,Paramètres!$A$1:$I$89,3,0)*VLOOKUP('Données projet'!$B$17,Paramètres!$A$1:$I$89,5,0)</f>
        <v>6.1186256061773749E-14</v>
      </c>
      <c r="GB148" s="14">
        <f t="shared" si="157"/>
        <v>9.7328366192051127E-13</v>
      </c>
      <c r="GC148" s="22">
        <f t="shared" si="133"/>
        <v>1.8017017738191463E-12</v>
      </c>
      <c r="GD148" s="62">
        <f t="shared" si="134"/>
        <v>293.33333333333513</v>
      </c>
      <c r="GE148" s="62">
        <f ca="1">AVERAGE(OFFSET($GD$3,0,0,'Données projet'!$E$17+1,1))-AVERAGE(OFFSET($H$3,0,0,'Données projet'!$E$17+1,1))</f>
        <v>280.20599015000306</v>
      </c>
      <c r="GF148" s="62">
        <f t="shared" si="158"/>
        <v>166.97658184507787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-5.6843418860808015E-14</v>
      </c>
      <c r="GV148" s="18">
        <f>GU148*VLOOKUP('Données projet'!$B$18,Paramètres!$A$1:$I$89,3,0)*VLOOKUP('Données projet'!$B$18,Paramètres!$A$1:$I$89,5,0)</f>
        <v>-3.813056537183002E-14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291.18686311753402</v>
      </c>
      <c r="HA148" s="62">
        <f t="shared" si="160"/>
        <v>215.44422413249839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9">
        <f t="shared" si="110"/>
        <v>256.66666666666669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260.02504691866199</v>
      </c>
      <c r="T149" s="62">
        <f t="shared" si="142"/>
        <v>270.11268336406368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1.0061461973349461</v>
      </c>
      <c r="AA149" s="23">
        <f>EXP(-LN(2)/25)*AA148+(1-EXP(-LN(2)/25))/(LN(2)/25)*Calculateur!V149*Calculateur!X149*VLOOKUP('Données projet'!$B$9,Paramètres!$A$1:$I$89,3,0)*0.475*44/12</f>
        <v>0.6592011284131235</v>
      </c>
      <c r="AB149" s="23">
        <f>EXP(-LN(2)/2)*AB148+(1-EXP(-LN(2)/2))/(LN(2)/2)*V149*Y149*VLOOKUP('Données projet'!$B$9,Paramètres!$A$1:$I$89,3,0)*0.475*44/12</f>
        <v>2.1996158179340432E-17</v>
      </c>
      <c r="AC149" s="24">
        <f t="shared" si="111"/>
        <v>1.6653473257480695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2">
        <f t="shared" si="113"/>
        <v>913.17374782605748</v>
      </c>
      <c r="AN149" s="62">
        <f ca="1">AVERAGE(OFFSET($AM$3,0,0,'Données projet'!$E$10+1,1))-AVERAGE(OFFSET($H$3,0,0,'Données projet'!$E$10+1,1))</f>
        <v>475.47920969424894</v>
      </c>
      <c r="AO149" s="62">
        <f t="shared" si="144"/>
        <v>271.73544012419364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256.42031999999921</v>
      </c>
      <c r="BF149" s="14">
        <f t="shared" si="145"/>
        <v>61.958720258016747</v>
      </c>
      <c r="BG149" s="22">
        <f t="shared" si="115"/>
        <v>554.51016178271107</v>
      </c>
      <c r="BH149" s="62">
        <f t="shared" si="116"/>
        <v>847.84349511604432</v>
      </c>
      <c r="BI149" s="62">
        <f ca="1">AVERAGE(OFFSET($BH$3,0,0,'Données projet'!$E$11+1,1))-AVERAGE(OFFSET($H$3,0,0,'Données projet'!$E$11+1,1))</f>
        <v>428.8489304403459</v>
      </c>
      <c r="BJ149" s="62">
        <f t="shared" si="146"/>
        <v>247.01165577562966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-1.9895196601282805E-13</v>
      </c>
      <c r="BZ149" s="14">
        <f>BY149*VLOOKUP('Données projet'!$B$12,Paramètres!$A$1:$I$89,3,0)*VLOOKUP('Données projet'!$B$12,Paramètres!$A$1:$I$89,5,0)</f>
        <v>-1.6138983482960614E-13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236.22643401787644</v>
      </c>
      <c r="CE149" s="62">
        <f t="shared" si="148"/>
        <v>188.80444043778022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2.8421709430404007E-13</v>
      </c>
      <c r="CU149" s="18">
        <f>CT149*VLOOKUP('Données projet'!$B$13,Paramètres!$A$1:$I$89,3,0)*VLOOKUP('Données projet'!$B$13,Paramètres!$A$1:$I$89,5,0)</f>
        <v>1.3301360013429075E-13</v>
      </c>
      <c r="CV149" s="14">
        <f t="shared" si="149"/>
        <v>1.9329766731057041E-12</v>
      </c>
      <c r="CW149" s="22">
        <f t="shared" si="121"/>
        <v>3.5982663925596575E-12</v>
      </c>
      <c r="CX149" s="62">
        <f t="shared" si="122"/>
        <v>293.3333333333369</v>
      </c>
      <c r="CY149" s="62">
        <f ca="1">AVERAGE(OFFSET($CX$3,0,0,'Données projet'!$E$13+1,1))-AVERAGE(OFFSET($H$3,0,0,'Données projet'!$E$13+1,1))</f>
        <v>246.73711856758143</v>
      </c>
      <c r="CZ149" s="62">
        <f t="shared" si="150"/>
        <v>145.54897745089966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-5.1159076974727213E-13</v>
      </c>
      <c r="DP149" s="18">
        <f>DO149*VLOOKUP('Données projet'!$B$14,Paramètres!$A$1:$I$89,3,0)*VLOOKUP('Données projet'!$B$14,Paramètres!$A$1:$I$89,5,0)</f>
        <v>-5.3471467253984886E-13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493.70175665335978</v>
      </c>
      <c r="DU149" s="62">
        <f t="shared" si="152"/>
        <v>325.12357781685949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-1.7053025658242404E-13</v>
      </c>
      <c r="EK149" s="18">
        <f>EJ149*VLOOKUP('Données projet'!$B$15,Paramètres!$A$1:$I$89,3,0)*VLOOKUP('Données projet'!$B$15,Paramètres!$A$1:$I$89,5,0)</f>
        <v>-1.4897523215040567E-13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202.86354781280403</v>
      </c>
      <c r="EP149" s="62">
        <f t="shared" si="154"/>
        <v>217.25323885665131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-1.7053025658242404E-13</v>
      </c>
      <c r="FF149" s="18">
        <f>FE149*VLOOKUP('Données projet'!$B$16,Paramètres!$A$1:$I$89,3,0)*VLOOKUP('Données projet'!$B$16,Paramètres!$A$1:$I$89,5,0)</f>
        <v>-1.6227659216383472E-13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353.61481736740694</v>
      </c>
      <c r="FK149" s="62">
        <f t="shared" si="156"/>
        <v>244.7141066773861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5.6843418860808015E-14</v>
      </c>
      <c r="GA149" s="18">
        <f>FZ149*VLOOKUP('Données projet'!$B$17,Paramètres!$A$1:$I$89,3,0)*VLOOKUP('Données projet'!$B$17,Paramètres!$A$1:$I$89,5,0)</f>
        <v>6.1186256061773749E-14</v>
      </c>
      <c r="GB149" s="14">
        <f t="shared" si="157"/>
        <v>9.7328366192051127E-13</v>
      </c>
      <c r="GC149" s="22">
        <f t="shared" si="133"/>
        <v>1.8017017738191463E-12</v>
      </c>
      <c r="GD149" s="62">
        <f t="shared" si="134"/>
        <v>293.33333333333513</v>
      </c>
      <c r="GE149" s="62">
        <f ca="1">AVERAGE(OFFSET($GD$3,0,0,'Données projet'!$E$17+1,1))-AVERAGE(OFFSET($H$3,0,0,'Données projet'!$E$17+1,1))</f>
        <v>280.20599015000306</v>
      </c>
      <c r="GF149" s="62">
        <f t="shared" si="158"/>
        <v>166.97658184507787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-5.6843418860808015E-14</v>
      </c>
      <c r="GV149" s="18">
        <f>GU149*VLOOKUP('Données projet'!$B$18,Paramètres!$A$1:$I$89,3,0)*VLOOKUP('Données projet'!$B$18,Paramètres!$A$1:$I$89,5,0)</f>
        <v>-3.813056537183002E-14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291.18686311753402</v>
      </c>
      <c r="HA149" s="62">
        <f t="shared" si="160"/>
        <v>215.44422413249839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9">
        <f t="shared" si="110"/>
        <v>256.66666666666669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260.02504691866199</v>
      </c>
      <c r="T150" s="62">
        <f t="shared" si="142"/>
        <v>270.11268336406368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0.98641628409379156</v>
      </c>
      <c r="AA150" s="23">
        <f>EXP(-LN(2)/25)*AA149+(1-EXP(-LN(2)/25))/(LN(2)/25)*Calculateur!V150*Calculateur!X150*VLOOKUP('Données projet'!$B$9,Paramètres!$A$1:$I$89,3,0)*0.475*44/12</f>
        <v>0.64117523889078587</v>
      </c>
      <c r="AB150" s="23">
        <f>EXP(-LN(2)/2)*AB149+(1-EXP(-LN(2)/2))/(LN(2)/2)*V150*Y150*VLOOKUP('Données projet'!$B$9,Paramètres!$A$1:$I$89,3,0)*0.475*44/12</f>
        <v>1.5553632608663563E-17</v>
      </c>
      <c r="AC150" s="24">
        <f t="shared" si="111"/>
        <v>1.6275915229845774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2">
        <f t="shared" si="113"/>
        <v>918.30484631513332</v>
      </c>
      <c r="AN150" s="62">
        <f ca="1">AVERAGE(OFFSET($AM$3,0,0,'Données projet'!$E$10+1,1))-AVERAGE(OFFSET($H$3,0,0,'Données projet'!$E$10+1,1))</f>
        <v>475.47920969424894</v>
      </c>
      <c r="AO150" s="62">
        <f t="shared" si="144"/>
        <v>271.73544012419364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258.59183999999919</v>
      </c>
      <c r="BF150" s="14">
        <f t="shared" si="145"/>
        <v>62.422120343276475</v>
      </c>
      <c r="BG150" s="22">
        <f t="shared" si="115"/>
        <v>559.09931426453841</v>
      </c>
      <c r="BH150" s="62">
        <f t="shared" si="116"/>
        <v>852.43264759787166</v>
      </c>
      <c r="BI150" s="62">
        <f ca="1">AVERAGE(OFFSET($BH$3,0,0,'Données projet'!$E$11+1,1))-AVERAGE(OFFSET($H$3,0,0,'Données projet'!$E$11+1,1))</f>
        <v>428.8489304403459</v>
      </c>
      <c r="BJ150" s="62">
        <f t="shared" si="146"/>
        <v>247.01165577562966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-1.9895196601282805E-13</v>
      </c>
      <c r="BZ150" s="14">
        <f>BY150*VLOOKUP('Données projet'!$B$12,Paramètres!$A$1:$I$89,3,0)*VLOOKUP('Données projet'!$B$12,Paramètres!$A$1:$I$89,5,0)</f>
        <v>-1.6138983482960614E-13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236.22643401787644</v>
      </c>
      <c r="CE150" s="62">
        <f t="shared" si="148"/>
        <v>188.80444043778022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2.8421709430404007E-13</v>
      </c>
      <c r="CU150" s="18">
        <f>CT150*VLOOKUP('Données projet'!$B$13,Paramètres!$A$1:$I$89,3,0)*VLOOKUP('Données projet'!$B$13,Paramètres!$A$1:$I$89,5,0)</f>
        <v>1.3301360013429075E-13</v>
      </c>
      <c r="CV150" s="14">
        <f t="shared" si="149"/>
        <v>1.9329766731057041E-12</v>
      </c>
      <c r="CW150" s="22">
        <f t="shared" si="121"/>
        <v>3.5982663925596575E-12</v>
      </c>
      <c r="CX150" s="62">
        <f t="shared" si="122"/>
        <v>293.3333333333369</v>
      </c>
      <c r="CY150" s="62">
        <f ca="1">AVERAGE(OFFSET($CX$3,0,0,'Données projet'!$E$13+1,1))-AVERAGE(OFFSET($H$3,0,0,'Données projet'!$E$13+1,1))</f>
        <v>246.73711856758143</v>
      </c>
      <c r="CZ150" s="62">
        <f t="shared" si="150"/>
        <v>145.54897745089966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-5.1159076974727213E-13</v>
      </c>
      <c r="DP150" s="18">
        <f>DO150*VLOOKUP('Données projet'!$B$14,Paramètres!$A$1:$I$89,3,0)*VLOOKUP('Données projet'!$B$14,Paramètres!$A$1:$I$89,5,0)</f>
        <v>-5.3471467253984886E-13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493.70175665335978</v>
      </c>
      <c r="DU150" s="62">
        <f t="shared" si="152"/>
        <v>325.12357781685949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-1.7053025658242404E-13</v>
      </c>
      <c r="EK150" s="18">
        <f>EJ150*VLOOKUP('Données projet'!$B$15,Paramètres!$A$1:$I$89,3,0)*VLOOKUP('Données projet'!$B$15,Paramètres!$A$1:$I$89,5,0)</f>
        <v>-1.4897523215040567E-13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202.86354781280403</v>
      </c>
      <c r="EP150" s="62">
        <f t="shared" si="154"/>
        <v>217.25323885665131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-1.7053025658242404E-13</v>
      </c>
      <c r="FF150" s="18">
        <f>FE150*VLOOKUP('Données projet'!$B$16,Paramètres!$A$1:$I$89,3,0)*VLOOKUP('Données projet'!$B$16,Paramètres!$A$1:$I$89,5,0)</f>
        <v>-1.6227659216383472E-13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353.61481736740694</v>
      </c>
      <c r="FK150" s="62">
        <f t="shared" si="156"/>
        <v>244.7141066773861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5.6843418860808015E-14</v>
      </c>
      <c r="GA150" s="18">
        <f>FZ150*VLOOKUP('Données projet'!$B$17,Paramètres!$A$1:$I$89,3,0)*VLOOKUP('Données projet'!$B$17,Paramètres!$A$1:$I$89,5,0)</f>
        <v>6.1186256061773749E-14</v>
      </c>
      <c r="GB150" s="14">
        <f t="shared" si="157"/>
        <v>9.7328366192051127E-13</v>
      </c>
      <c r="GC150" s="22">
        <f t="shared" si="133"/>
        <v>1.8017017738191463E-12</v>
      </c>
      <c r="GD150" s="62">
        <f t="shared" si="134"/>
        <v>293.33333333333513</v>
      </c>
      <c r="GE150" s="62">
        <f ca="1">AVERAGE(OFFSET($GD$3,0,0,'Données projet'!$E$17+1,1))-AVERAGE(OFFSET($H$3,0,0,'Données projet'!$E$17+1,1))</f>
        <v>280.20599015000306</v>
      </c>
      <c r="GF150" s="62">
        <f t="shared" si="158"/>
        <v>166.97658184507787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-5.6843418860808015E-14</v>
      </c>
      <c r="GV150" s="18">
        <f>GU150*VLOOKUP('Données projet'!$B$18,Paramètres!$A$1:$I$89,3,0)*VLOOKUP('Données projet'!$B$18,Paramètres!$A$1:$I$89,5,0)</f>
        <v>-3.813056537183002E-14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291.18686311753402</v>
      </c>
      <c r="HA150" s="62">
        <f t="shared" si="160"/>
        <v>215.44422413249839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9">
        <f t="shared" si="110"/>
        <v>256.66666666666669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260.02504691866199</v>
      </c>
      <c r="T151" s="62">
        <f t="shared" si="142"/>
        <v>270.11268336406368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0.96707326241723712</v>
      </c>
      <c r="AA151" s="23">
        <f>EXP(-LN(2)/25)*AA150+(1-EXP(-LN(2)/25))/(LN(2)/25)*Calculateur!V151*Calculateur!X151*VLOOKUP('Données projet'!$B$9,Paramètres!$A$1:$I$89,3,0)*0.475*44/12</f>
        <v>0.62364226826537694</v>
      </c>
      <c r="AB151" s="23">
        <f>EXP(-LN(2)/2)*AB150+(1-EXP(-LN(2)/2))/(LN(2)/2)*V151*Y151*VLOOKUP('Données projet'!$B$9,Paramètres!$A$1:$I$89,3,0)*0.475*44/12</f>
        <v>1.0998079089670216E-17</v>
      </c>
      <c r="AC151" s="24">
        <f t="shared" si="111"/>
        <v>1.5907155306826142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2">
        <f t="shared" si="113"/>
        <v>923.43507275382922</v>
      </c>
      <c r="AN151" s="62">
        <f ca="1">AVERAGE(OFFSET($AM$3,0,0,'Données projet'!$E$10+1,1))-AVERAGE(OFFSET($H$3,0,0,'Données projet'!$E$10+1,1))</f>
        <v>475.47920969424894</v>
      </c>
      <c r="AO151" s="62">
        <f t="shared" si="144"/>
        <v>271.73544012419364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260.76335999999918</v>
      </c>
      <c r="BF151" s="14">
        <f t="shared" si="145"/>
        <v>62.885067686031789</v>
      </c>
      <c r="BG151" s="22">
        <f t="shared" si="115"/>
        <v>563.68767821983727</v>
      </c>
      <c r="BH151" s="62">
        <f t="shared" si="116"/>
        <v>857.02101155317064</v>
      </c>
      <c r="BI151" s="62">
        <f ca="1">AVERAGE(OFFSET($BH$3,0,0,'Données projet'!$E$11+1,1))-AVERAGE(OFFSET($H$3,0,0,'Données projet'!$E$11+1,1))</f>
        <v>428.8489304403459</v>
      </c>
      <c r="BJ151" s="62">
        <f t="shared" si="146"/>
        <v>247.01165577562966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-1.9895196601282805E-13</v>
      </c>
      <c r="BZ151" s="14">
        <f>BY151*VLOOKUP('Données projet'!$B$12,Paramètres!$A$1:$I$89,3,0)*VLOOKUP('Données projet'!$B$12,Paramètres!$A$1:$I$89,5,0)</f>
        <v>-1.6138983482960614E-13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236.22643401787644</v>
      </c>
      <c r="CE151" s="62">
        <f t="shared" si="148"/>
        <v>188.80444043778022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2.8421709430404007E-13</v>
      </c>
      <c r="CU151" s="18">
        <f>CT151*VLOOKUP('Données projet'!$B$13,Paramètres!$A$1:$I$89,3,0)*VLOOKUP('Données projet'!$B$13,Paramètres!$A$1:$I$89,5,0)</f>
        <v>1.3301360013429075E-13</v>
      </c>
      <c r="CV151" s="14">
        <f t="shared" si="149"/>
        <v>1.9329766731057041E-12</v>
      </c>
      <c r="CW151" s="22">
        <f t="shared" si="121"/>
        <v>3.5982663925596575E-12</v>
      </c>
      <c r="CX151" s="62">
        <f t="shared" si="122"/>
        <v>293.3333333333369</v>
      </c>
      <c r="CY151" s="62">
        <f ca="1">AVERAGE(OFFSET($CX$3,0,0,'Données projet'!$E$13+1,1))-AVERAGE(OFFSET($H$3,0,0,'Données projet'!$E$13+1,1))</f>
        <v>246.73711856758143</v>
      </c>
      <c r="CZ151" s="62">
        <f t="shared" si="150"/>
        <v>145.54897745089966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-5.1159076974727213E-13</v>
      </c>
      <c r="DP151" s="18">
        <f>DO151*VLOOKUP('Données projet'!$B$14,Paramètres!$A$1:$I$89,3,0)*VLOOKUP('Données projet'!$B$14,Paramètres!$A$1:$I$89,5,0)</f>
        <v>-5.3471467253984886E-13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493.70175665335978</v>
      </c>
      <c r="DU151" s="62">
        <f t="shared" si="152"/>
        <v>325.12357781685949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-1.7053025658242404E-13</v>
      </c>
      <c r="EK151" s="18">
        <f>EJ151*VLOOKUP('Données projet'!$B$15,Paramètres!$A$1:$I$89,3,0)*VLOOKUP('Données projet'!$B$15,Paramètres!$A$1:$I$89,5,0)</f>
        <v>-1.4897523215040567E-13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202.86354781280403</v>
      </c>
      <c r="EP151" s="62">
        <f t="shared" si="154"/>
        <v>217.25323885665131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-1.7053025658242404E-13</v>
      </c>
      <c r="FF151" s="18">
        <f>FE151*VLOOKUP('Données projet'!$B$16,Paramètres!$A$1:$I$89,3,0)*VLOOKUP('Données projet'!$B$16,Paramètres!$A$1:$I$89,5,0)</f>
        <v>-1.6227659216383472E-13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353.61481736740694</v>
      </c>
      <c r="FK151" s="62">
        <f t="shared" si="156"/>
        <v>244.7141066773861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5.6843418860808015E-14</v>
      </c>
      <c r="GA151" s="18">
        <f>FZ151*VLOOKUP('Données projet'!$B$17,Paramètres!$A$1:$I$89,3,0)*VLOOKUP('Données projet'!$B$17,Paramètres!$A$1:$I$89,5,0)</f>
        <v>6.1186256061773749E-14</v>
      </c>
      <c r="GB151" s="14">
        <f t="shared" si="157"/>
        <v>9.7328366192051127E-13</v>
      </c>
      <c r="GC151" s="22">
        <f t="shared" si="133"/>
        <v>1.8017017738191463E-12</v>
      </c>
      <c r="GD151" s="62">
        <f t="shared" si="134"/>
        <v>293.33333333333513</v>
      </c>
      <c r="GE151" s="62">
        <f ca="1">AVERAGE(OFFSET($GD$3,0,0,'Données projet'!$E$17+1,1))-AVERAGE(OFFSET($H$3,0,0,'Données projet'!$E$17+1,1))</f>
        <v>280.20599015000306</v>
      </c>
      <c r="GF151" s="62">
        <f t="shared" si="158"/>
        <v>166.97658184507787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-5.6843418860808015E-14</v>
      </c>
      <c r="GV151" s="18">
        <f>GU151*VLOOKUP('Données projet'!$B$18,Paramètres!$A$1:$I$89,3,0)*VLOOKUP('Données projet'!$B$18,Paramètres!$A$1:$I$89,5,0)</f>
        <v>-3.813056537183002E-14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291.18686311753402</v>
      </c>
      <c r="HA151" s="62">
        <f t="shared" si="160"/>
        <v>215.44422413249839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9">
        <f t="shared" si="110"/>
        <v>256.66666666666669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260.02504691866199</v>
      </c>
      <c r="T152" s="62">
        <f t="shared" si="142"/>
        <v>270.11268336406368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0.94810954559768168</v>
      </c>
      <c r="AA152" s="23">
        <f>EXP(-LN(2)/25)*AA151+(1-EXP(-LN(2)/25))/(LN(2)/25)*Calculateur!V152*Calculateur!X152*VLOOKUP('Données projet'!$B$9,Paramètres!$A$1:$I$89,3,0)*0.475*44/12</f>
        <v>0.60658873764373866</v>
      </c>
      <c r="AB152" s="23">
        <f>EXP(-LN(2)/2)*AB151+(1-EXP(-LN(2)/2))/(LN(2)/2)*V152*Y152*VLOOKUP('Données projet'!$B$9,Paramètres!$A$1:$I$89,3,0)*0.475*44/12</f>
        <v>7.7768163043317813E-18</v>
      </c>
      <c r="AC152" s="24">
        <f t="shared" si="111"/>
        <v>1.5546982832414202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2">
        <f t="shared" si="113"/>
        <v>928.56443524575025</v>
      </c>
      <c r="AN152" s="62">
        <f ca="1">AVERAGE(OFFSET($AM$3,0,0,'Données projet'!$E$10+1,1))-AVERAGE(OFFSET($H$3,0,0,'Données projet'!$E$10+1,1))</f>
        <v>475.47920969424894</v>
      </c>
      <c r="AO152" s="62">
        <f t="shared" si="144"/>
        <v>271.73544012419364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262.93487999999911</v>
      </c>
      <c r="BF152" s="14">
        <f t="shared" si="145"/>
        <v>63.347566493432595</v>
      </c>
      <c r="BG152" s="22">
        <f t="shared" si="115"/>
        <v>568.27526097606028</v>
      </c>
      <c r="BH152" s="62">
        <f t="shared" si="116"/>
        <v>861.60859430939354</v>
      </c>
      <c r="BI152" s="62">
        <f ca="1">AVERAGE(OFFSET($BH$3,0,0,'Données projet'!$E$11+1,1))-AVERAGE(OFFSET($H$3,0,0,'Données projet'!$E$11+1,1))</f>
        <v>428.8489304403459</v>
      </c>
      <c r="BJ152" s="62">
        <f t="shared" si="146"/>
        <v>247.01165577562966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-1.9895196601282805E-13</v>
      </c>
      <c r="BZ152" s="14">
        <f>BY152*VLOOKUP('Données projet'!$B$12,Paramètres!$A$1:$I$89,3,0)*VLOOKUP('Données projet'!$B$12,Paramètres!$A$1:$I$89,5,0)</f>
        <v>-1.6138983482960614E-13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236.22643401787644</v>
      </c>
      <c r="CE152" s="62">
        <f t="shared" si="148"/>
        <v>188.80444043778022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2.8421709430404007E-13</v>
      </c>
      <c r="CU152" s="18">
        <f>CT152*VLOOKUP('Données projet'!$B$13,Paramètres!$A$1:$I$89,3,0)*VLOOKUP('Données projet'!$B$13,Paramètres!$A$1:$I$89,5,0)</f>
        <v>1.3301360013429075E-13</v>
      </c>
      <c r="CV152" s="14">
        <f t="shared" si="149"/>
        <v>1.9329766731057041E-12</v>
      </c>
      <c r="CW152" s="22">
        <f t="shared" si="121"/>
        <v>3.5982663925596575E-12</v>
      </c>
      <c r="CX152" s="62">
        <f t="shared" si="122"/>
        <v>293.3333333333369</v>
      </c>
      <c r="CY152" s="62">
        <f ca="1">AVERAGE(OFFSET($CX$3,0,0,'Données projet'!$E$13+1,1))-AVERAGE(OFFSET($H$3,0,0,'Données projet'!$E$13+1,1))</f>
        <v>246.73711856758143</v>
      </c>
      <c r="CZ152" s="62">
        <f t="shared" si="150"/>
        <v>145.54897745089966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-5.1159076974727213E-13</v>
      </c>
      <c r="DP152" s="18">
        <f>DO152*VLOOKUP('Données projet'!$B$14,Paramètres!$A$1:$I$89,3,0)*VLOOKUP('Données projet'!$B$14,Paramètres!$A$1:$I$89,5,0)</f>
        <v>-5.3471467253984886E-13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493.70175665335978</v>
      </c>
      <c r="DU152" s="62">
        <f t="shared" si="152"/>
        <v>325.12357781685949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-1.7053025658242404E-13</v>
      </c>
      <c r="EK152" s="18">
        <f>EJ152*VLOOKUP('Données projet'!$B$15,Paramètres!$A$1:$I$89,3,0)*VLOOKUP('Données projet'!$B$15,Paramètres!$A$1:$I$89,5,0)</f>
        <v>-1.4897523215040567E-13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202.86354781280403</v>
      </c>
      <c r="EP152" s="62">
        <f t="shared" si="154"/>
        <v>217.25323885665131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-1.7053025658242404E-13</v>
      </c>
      <c r="FF152" s="18">
        <f>FE152*VLOOKUP('Données projet'!$B$16,Paramètres!$A$1:$I$89,3,0)*VLOOKUP('Données projet'!$B$16,Paramètres!$A$1:$I$89,5,0)</f>
        <v>-1.6227659216383472E-13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353.61481736740694</v>
      </c>
      <c r="FK152" s="62">
        <f t="shared" si="156"/>
        <v>244.7141066773861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5.6843418860808015E-14</v>
      </c>
      <c r="GA152" s="18">
        <f>FZ152*VLOOKUP('Données projet'!$B$17,Paramètres!$A$1:$I$89,3,0)*VLOOKUP('Données projet'!$B$17,Paramètres!$A$1:$I$89,5,0)</f>
        <v>6.1186256061773749E-14</v>
      </c>
      <c r="GB152" s="14">
        <f t="shared" si="157"/>
        <v>9.7328366192051127E-13</v>
      </c>
      <c r="GC152" s="22">
        <f t="shared" si="133"/>
        <v>1.8017017738191463E-12</v>
      </c>
      <c r="GD152" s="62">
        <f t="shared" si="134"/>
        <v>293.33333333333513</v>
      </c>
      <c r="GE152" s="62">
        <f ca="1">AVERAGE(OFFSET($GD$3,0,0,'Données projet'!$E$17+1,1))-AVERAGE(OFFSET($H$3,0,0,'Données projet'!$E$17+1,1))</f>
        <v>280.20599015000306</v>
      </c>
      <c r="GF152" s="62">
        <f t="shared" si="158"/>
        <v>166.97658184507787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-5.6843418860808015E-14</v>
      </c>
      <c r="GV152" s="18">
        <f>GU152*VLOOKUP('Données projet'!$B$18,Paramètres!$A$1:$I$89,3,0)*VLOOKUP('Données projet'!$B$18,Paramètres!$A$1:$I$89,5,0)</f>
        <v>-3.813056537183002E-14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291.18686311753402</v>
      </c>
      <c r="HA152" s="62">
        <f t="shared" si="160"/>
        <v>215.44422413249839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9">
        <f t="shared" si="110"/>
        <v>256.66666666666669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260.02504691866199</v>
      </c>
      <c r="T153" s="62">
        <f t="shared" si="142"/>
        <v>270.11268336406368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0.92951769569823262</v>
      </c>
      <c r="AA153" s="23">
        <f>EXP(-LN(2)/25)*AA152+(1-EXP(-LN(2)/25))/(LN(2)/25)*Calculateur!V153*Calculateur!X153*VLOOKUP('Données projet'!$B$9,Paramètres!$A$1:$I$89,3,0)*0.475*44/12</f>
        <v>0.59000153671375533</v>
      </c>
      <c r="AB153" s="23">
        <f>EXP(-LN(2)/2)*AB152+(1-EXP(-LN(2)/2))/(LN(2)/2)*V153*Y153*VLOOKUP('Données projet'!$B$9,Paramètres!$A$1:$I$89,3,0)*0.475*44/12</f>
        <v>5.4990395448351081E-18</v>
      </c>
      <c r="AC153" s="24">
        <f t="shared" si="111"/>
        <v>1.5195192324119879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2">
        <f t="shared" si="113"/>
        <v>933.69294175292316</v>
      </c>
      <c r="AN153" s="62">
        <f ca="1">AVERAGE(OFFSET($AM$3,0,0,'Données projet'!$E$10+1,1))-AVERAGE(OFFSET($H$3,0,0,'Données projet'!$E$10+1,1))</f>
        <v>475.47920969424894</v>
      </c>
      <c r="AO153" s="62">
        <f t="shared" si="144"/>
        <v>271.73544012419364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265.1063999999991</v>
      </c>
      <c r="BF153" s="14">
        <f t="shared" si="145"/>
        <v>63.809620899125136</v>
      </c>
      <c r="BG153" s="22">
        <f t="shared" si="115"/>
        <v>572.86206973264132</v>
      </c>
      <c r="BH153" s="62">
        <f t="shared" si="116"/>
        <v>866.19540306597469</v>
      </c>
      <c r="BI153" s="62">
        <f ca="1">AVERAGE(OFFSET($BH$3,0,0,'Données projet'!$E$11+1,1))-AVERAGE(OFFSET($H$3,0,0,'Données projet'!$E$11+1,1))</f>
        <v>428.8489304403459</v>
      </c>
      <c r="BJ153" s="62">
        <f t="shared" si="146"/>
        <v>247.01165577562966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-1.9895196601282805E-13</v>
      </c>
      <c r="BZ153" s="14">
        <f>BY153*VLOOKUP('Données projet'!$B$12,Paramètres!$A$1:$I$89,3,0)*VLOOKUP('Données projet'!$B$12,Paramètres!$A$1:$I$89,5,0)</f>
        <v>-1.6138983482960614E-13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236.22643401787644</v>
      </c>
      <c r="CE153" s="62">
        <f t="shared" si="148"/>
        <v>188.80444043778022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2.8421709430404007E-13</v>
      </c>
      <c r="CU153" s="18">
        <f>CT153*VLOOKUP('Données projet'!$B$13,Paramètres!$A$1:$I$89,3,0)*VLOOKUP('Données projet'!$B$13,Paramètres!$A$1:$I$89,5,0)</f>
        <v>1.3301360013429075E-13</v>
      </c>
      <c r="CV153" s="14">
        <f t="shared" si="149"/>
        <v>1.9329766731057041E-12</v>
      </c>
      <c r="CW153" s="22">
        <f t="shared" si="121"/>
        <v>3.5982663925596575E-12</v>
      </c>
      <c r="CX153" s="62">
        <f t="shared" si="122"/>
        <v>293.3333333333369</v>
      </c>
      <c r="CY153" s="62">
        <f ca="1">AVERAGE(OFFSET($CX$3,0,0,'Données projet'!$E$13+1,1))-AVERAGE(OFFSET($H$3,0,0,'Données projet'!$E$13+1,1))</f>
        <v>246.73711856758143</v>
      </c>
      <c r="CZ153" s="62">
        <f t="shared" si="150"/>
        <v>145.54897745089966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-5.1159076974727213E-13</v>
      </c>
      <c r="DP153" s="18">
        <f>DO153*VLOOKUP('Données projet'!$B$14,Paramètres!$A$1:$I$89,3,0)*VLOOKUP('Données projet'!$B$14,Paramètres!$A$1:$I$89,5,0)</f>
        <v>-5.3471467253984886E-13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493.70175665335978</v>
      </c>
      <c r="DU153" s="62">
        <f t="shared" si="152"/>
        <v>325.12357781685949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-1.7053025658242404E-13</v>
      </c>
      <c r="EK153" s="18">
        <f>EJ153*VLOOKUP('Données projet'!$B$15,Paramètres!$A$1:$I$89,3,0)*VLOOKUP('Données projet'!$B$15,Paramètres!$A$1:$I$89,5,0)</f>
        <v>-1.4897523215040567E-13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202.86354781280403</v>
      </c>
      <c r="EP153" s="62">
        <f t="shared" si="154"/>
        <v>217.25323885665131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-1.7053025658242404E-13</v>
      </c>
      <c r="FF153" s="18">
        <f>FE153*VLOOKUP('Données projet'!$B$16,Paramètres!$A$1:$I$89,3,0)*VLOOKUP('Données projet'!$B$16,Paramètres!$A$1:$I$89,5,0)</f>
        <v>-1.6227659216383472E-13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353.61481736740694</v>
      </c>
      <c r="FK153" s="62">
        <f t="shared" si="156"/>
        <v>244.7141066773861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5.6843418860808015E-14</v>
      </c>
      <c r="GA153" s="18">
        <f>FZ153*VLOOKUP('Données projet'!$B$17,Paramètres!$A$1:$I$89,3,0)*VLOOKUP('Données projet'!$B$17,Paramètres!$A$1:$I$89,5,0)</f>
        <v>6.1186256061773749E-14</v>
      </c>
      <c r="GB153" s="14">
        <f t="shared" si="157"/>
        <v>9.7328366192051127E-13</v>
      </c>
      <c r="GC153" s="22">
        <f t="shared" si="133"/>
        <v>1.8017017738191463E-12</v>
      </c>
      <c r="GD153" s="62">
        <f t="shared" si="134"/>
        <v>293.33333333333513</v>
      </c>
      <c r="GE153" s="62">
        <f ca="1">AVERAGE(OFFSET($GD$3,0,0,'Données projet'!$E$17+1,1))-AVERAGE(OFFSET($H$3,0,0,'Données projet'!$E$17+1,1))</f>
        <v>280.20599015000306</v>
      </c>
      <c r="GF153" s="62">
        <f t="shared" si="158"/>
        <v>166.97658184507787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-5.6843418860808015E-14</v>
      </c>
      <c r="GV153" s="18">
        <f>GU153*VLOOKUP('Données projet'!$B$18,Paramètres!$A$1:$I$89,3,0)*VLOOKUP('Données projet'!$B$18,Paramètres!$A$1:$I$89,5,0)</f>
        <v>-3.813056537183002E-14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291.18686311753402</v>
      </c>
      <c r="HA153" s="62">
        <f t="shared" si="160"/>
        <v>215.44422413249839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9">
        <f t="shared" si="110"/>
        <v>256.66666666666669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260.02504691866199</v>
      </c>
      <c r="T154" s="62">
        <f t="shared" si="142"/>
        <v>270.11268336406368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0.911290420635403</v>
      </c>
      <c r="AA154" s="23">
        <f>EXP(-LN(2)/25)*AA153+(1-EXP(-LN(2)/25))/(LN(2)/25)*Calculateur!V154*Calculateur!X154*VLOOKUP('Données projet'!$B$9,Paramètres!$A$1:$I$89,3,0)*0.475*44/12</f>
        <v>0.57386791366548529</v>
      </c>
      <c r="AB154" s="23">
        <f>EXP(-LN(2)/2)*AB153+(1-EXP(-LN(2)/2))/(LN(2)/2)*V154*Y154*VLOOKUP('Données projet'!$B$9,Paramètres!$A$1:$I$89,3,0)*0.475*44/12</f>
        <v>3.8884081521658906E-18</v>
      </c>
      <c r="AC154" s="24">
        <f t="shared" ref="AC154:AC203" si="163">SUM(Z154:AB154)</f>
        <v>1.4851583343008883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475.47920969424894</v>
      </c>
      <c r="AO154" s="62">
        <f t="shared" si="144"/>
        <v>271.73544012419364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-8.7434273154940449E-13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428.8489304403459</v>
      </c>
      <c r="BJ154" s="62">
        <f t="shared" si="146"/>
        <v>247.01165577562966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-1.9895196601282805E-13</v>
      </c>
      <c r="BZ154" s="14">
        <f>BY154*VLOOKUP('Données projet'!$B$12,Paramètres!$A$1:$I$89,3,0)*VLOOKUP('Données projet'!$B$12,Paramètres!$A$1:$I$89,5,0)</f>
        <v>-1.6138983482960614E-13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236.22643401787644</v>
      </c>
      <c r="CE154" s="62">
        <f t="shared" si="148"/>
        <v>188.80444043778022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2.8421709430404007E-13</v>
      </c>
      <c r="CU154" s="18">
        <f>CT154*VLOOKUP('Données projet'!$B$13,Paramètres!$A$1:$I$89,3,0)*VLOOKUP('Données projet'!$B$13,Paramètres!$A$1:$I$89,5,0)</f>
        <v>1.3301360013429075E-13</v>
      </c>
      <c r="CV154" s="14">
        <f t="shared" ref="CV154:CV203" si="173">EXP(-1.0587+0.8836*LN(CU154)+0.284)</f>
        <v>1.9329766731057041E-12</v>
      </c>
      <c r="CW154" s="22">
        <f t="shared" ref="CW154:CW203" si="174">(CU154+CV154)*0.475*44/12</f>
        <v>3.5982663925596575E-12</v>
      </c>
      <c r="CX154" s="62">
        <f t="shared" si="122"/>
        <v>293.3333333333369</v>
      </c>
      <c r="CY154" s="62">
        <f ca="1">AVERAGE(OFFSET($CX$3,0,0,'Données projet'!$E$13+1,1))-AVERAGE(OFFSET($H$3,0,0,'Données projet'!$E$13+1,1))</f>
        <v>246.73711856758143</v>
      </c>
      <c r="CZ154" s="62">
        <f t="shared" si="150"/>
        <v>145.54897745089966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-5.1159076974727213E-13</v>
      </c>
      <c r="DP154" s="18">
        <f>DO154*VLOOKUP('Données projet'!$B$14,Paramètres!$A$1:$I$89,3,0)*VLOOKUP('Données projet'!$B$14,Paramètres!$A$1:$I$89,5,0)</f>
        <v>-5.3471467253984886E-13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493.70175665335978</v>
      </c>
      <c r="DU154" s="62">
        <f t="shared" si="152"/>
        <v>325.12357781685949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-1.7053025658242404E-13</v>
      </c>
      <c r="EK154" s="18">
        <f>EJ154*VLOOKUP('Données projet'!$B$15,Paramètres!$A$1:$I$89,3,0)*VLOOKUP('Données projet'!$B$15,Paramètres!$A$1:$I$89,5,0)</f>
        <v>-1.4897523215040567E-13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202.86354781280403</v>
      </c>
      <c r="EP154" s="62">
        <f t="shared" si="154"/>
        <v>217.25323885665131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-1.7053025658242404E-13</v>
      </c>
      <c r="FF154" s="18">
        <f>FE154*VLOOKUP('Données projet'!$B$16,Paramètres!$A$1:$I$89,3,0)*VLOOKUP('Données projet'!$B$16,Paramètres!$A$1:$I$89,5,0)</f>
        <v>-1.6227659216383472E-13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353.61481736740694</v>
      </c>
      <c r="FK154" s="62">
        <f t="shared" si="156"/>
        <v>244.7141066773861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5.6843418860808015E-14</v>
      </c>
      <c r="GA154" s="18">
        <f>FZ154*VLOOKUP('Données projet'!$B$17,Paramètres!$A$1:$I$89,3,0)*VLOOKUP('Données projet'!$B$17,Paramètres!$A$1:$I$89,5,0)</f>
        <v>6.1186256061773749E-14</v>
      </c>
      <c r="GB154" s="14">
        <f t="shared" ref="GB154:GB203" si="185">EXP(-1.0587+0.8836*LN(GA154)+0.284)</f>
        <v>9.7328366192051127E-13</v>
      </c>
      <c r="GC154" s="22">
        <f t="shared" ref="GC154:GC203" si="186">(GA154+GB154)*0.475*44/12</f>
        <v>1.8017017738191463E-12</v>
      </c>
      <c r="GD154" s="62">
        <f t="shared" si="134"/>
        <v>293.33333333333513</v>
      </c>
      <c r="GE154" s="62">
        <f ca="1">AVERAGE(OFFSET($GD$3,0,0,'Données projet'!$E$17+1,1))-AVERAGE(OFFSET($H$3,0,0,'Données projet'!$E$17+1,1))</f>
        <v>280.20599015000306</v>
      </c>
      <c r="GF154" s="62">
        <f t="shared" si="158"/>
        <v>166.97658184507787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-5.6843418860808015E-14</v>
      </c>
      <c r="GV154" s="18">
        <f>GU154*VLOOKUP('Données projet'!$B$18,Paramètres!$A$1:$I$89,3,0)*VLOOKUP('Données projet'!$B$18,Paramètres!$A$1:$I$89,5,0)</f>
        <v>-3.813056537183002E-14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291.18686311753402</v>
      </c>
      <c r="HA154" s="62">
        <f t="shared" si="160"/>
        <v>215.44422413249839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9">
        <f t="shared" si="110"/>
        <v>256.66666666666669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260.02504691866199</v>
      </c>
      <c r="T155" s="62">
        <f t="shared" si="142"/>
        <v>270.11268336406368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0.89342057131901542</v>
      </c>
      <c r="AA155" s="23">
        <f>EXP(-LN(2)/25)*AA154+(1-EXP(-LN(2)/25))/(LN(2)/25)*Calculateur!V155*Calculateur!X155*VLOOKUP('Données projet'!$B$9,Paramètres!$A$1:$I$89,3,0)*0.475*44/12</f>
        <v>0.55817546538790064</v>
      </c>
      <c r="AB155" s="23">
        <f>EXP(-LN(2)/2)*AB154+(1-EXP(-LN(2)/2))/(LN(2)/2)*V155*Y155*VLOOKUP('Données projet'!$B$9,Paramètres!$A$1:$I$89,3,0)*0.475*44/12</f>
        <v>2.749519772417554E-18</v>
      </c>
      <c r="AC155" s="24">
        <f t="shared" si="163"/>
        <v>1.4515960367069161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475.47920969424894</v>
      </c>
      <c r="AO155" s="62">
        <f t="shared" si="144"/>
        <v>271.73544012419364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-8.7434273154940449E-13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428.8489304403459</v>
      </c>
      <c r="BJ155" s="62">
        <f t="shared" si="146"/>
        <v>247.01165577562966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-1.9895196601282805E-13</v>
      </c>
      <c r="BZ155" s="14">
        <f>BY155*VLOOKUP('Données projet'!$B$12,Paramètres!$A$1:$I$89,3,0)*VLOOKUP('Données projet'!$B$12,Paramètres!$A$1:$I$89,5,0)</f>
        <v>-1.6138983482960614E-13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236.22643401787644</v>
      </c>
      <c r="CE155" s="62">
        <f t="shared" si="148"/>
        <v>188.80444043778022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2.8421709430404007E-13</v>
      </c>
      <c r="CU155" s="18">
        <f>CT155*VLOOKUP('Données projet'!$B$13,Paramètres!$A$1:$I$89,3,0)*VLOOKUP('Données projet'!$B$13,Paramètres!$A$1:$I$89,5,0)</f>
        <v>1.3301360013429075E-13</v>
      </c>
      <c r="CV155" s="14">
        <f t="shared" si="173"/>
        <v>1.9329766731057041E-12</v>
      </c>
      <c r="CW155" s="22">
        <f t="shared" si="174"/>
        <v>3.5982663925596575E-12</v>
      </c>
      <c r="CX155" s="62">
        <f t="shared" si="122"/>
        <v>293.3333333333369</v>
      </c>
      <c r="CY155" s="62">
        <f ca="1">AVERAGE(OFFSET($CX$3,0,0,'Données projet'!$E$13+1,1))-AVERAGE(OFFSET($H$3,0,0,'Données projet'!$E$13+1,1))</f>
        <v>246.73711856758143</v>
      </c>
      <c r="CZ155" s="62">
        <f t="shared" si="150"/>
        <v>145.54897745089966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-5.1159076974727213E-13</v>
      </c>
      <c r="DP155" s="18">
        <f>DO155*VLOOKUP('Données projet'!$B$14,Paramètres!$A$1:$I$89,3,0)*VLOOKUP('Données projet'!$B$14,Paramètres!$A$1:$I$89,5,0)</f>
        <v>-5.3471467253984886E-13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493.70175665335978</v>
      </c>
      <c r="DU155" s="62">
        <f t="shared" si="152"/>
        <v>325.12357781685949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-1.7053025658242404E-13</v>
      </c>
      <c r="EK155" s="18">
        <f>EJ155*VLOOKUP('Données projet'!$B$15,Paramètres!$A$1:$I$89,3,0)*VLOOKUP('Données projet'!$B$15,Paramètres!$A$1:$I$89,5,0)</f>
        <v>-1.4897523215040567E-13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202.86354781280403</v>
      </c>
      <c r="EP155" s="62">
        <f t="shared" si="154"/>
        <v>217.25323885665131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-1.7053025658242404E-13</v>
      </c>
      <c r="FF155" s="18">
        <f>FE155*VLOOKUP('Données projet'!$B$16,Paramètres!$A$1:$I$89,3,0)*VLOOKUP('Données projet'!$B$16,Paramètres!$A$1:$I$89,5,0)</f>
        <v>-1.6227659216383472E-13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353.61481736740694</v>
      </c>
      <c r="FK155" s="62">
        <f t="shared" si="156"/>
        <v>244.7141066773861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5.6843418860808015E-14</v>
      </c>
      <c r="GA155" s="18">
        <f>FZ155*VLOOKUP('Données projet'!$B$17,Paramètres!$A$1:$I$89,3,0)*VLOOKUP('Données projet'!$B$17,Paramètres!$A$1:$I$89,5,0)</f>
        <v>6.1186256061773749E-14</v>
      </c>
      <c r="GB155" s="14">
        <f t="shared" si="185"/>
        <v>9.7328366192051127E-13</v>
      </c>
      <c r="GC155" s="22">
        <f t="shared" si="186"/>
        <v>1.8017017738191463E-12</v>
      </c>
      <c r="GD155" s="62">
        <f t="shared" si="134"/>
        <v>293.33333333333513</v>
      </c>
      <c r="GE155" s="62">
        <f ca="1">AVERAGE(OFFSET($GD$3,0,0,'Données projet'!$E$17+1,1))-AVERAGE(OFFSET($H$3,0,0,'Données projet'!$E$17+1,1))</f>
        <v>280.20599015000306</v>
      </c>
      <c r="GF155" s="62">
        <f t="shared" si="158"/>
        <v>166.97658184507787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-5.6843418860808015E-14</v>
      </c>
      <c r="GV155" s="18">
        <f>GU155*VLOOKUP('Données projet'!$B$18,Paramètres!$A$1:$I$89,3,0)*VLOOKUP('Données projet'!$B$18,Paramètres!$A$1:$I$89,5,0)</f>
        <v>-3.813056537183002E-14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291.18686311753402</v>
      </c>
      <c r="HA155" s="62">
        <f t="shared" si="160"/>
        <v>215.44422413249839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9">
        <f t="shared" si="110"/>
        <v>256.66666666666669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260.02504691866199</v>
      </c>
      <c r="T156" s="62">
        <f t="shared" si="142"/>
        <v>270.11268336406368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0.87590113884819043</v>
      </c>
      <c r="AA156" s="23">
        <f>EXP(-LN(2)/25)*AA155+(1-EXP(-LN(2)/25))/(LN(2)/25)*Calculateur!V156*Calculateur!X156*VLOOKUP('Données projet'!$B$9,Paramètres!$A$1:$I$89,3,0)*0.475*44/12</f>
        <v>0.54291212793369648</v>
      </c>
      <c r="AB156" s="23">
        <f>EXP(-LN(2)/2)*AB155+(1-EXP(-LN(2)/2))/(LN(2)/2)*V156*Y156*VLOOKUP('Données projet'!$B$9,Paramètres!$A$1:$I$89,3,0)*0.475*44/12</f>
        <v>1.9442040760829453E-18</v>
      </c>
      <c r="AC156" s="24">
        <f t="shared" si="163"/>
        <v>1.4188132667818869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475.47920969424894</v>
      </c>
      <c r="AO156" s="62">
        <f t="shared" si="144"/>
        <v>271.73544012419364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-8.7434273154940449E-13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428.8489304403459</v>
      </c>
      <c r="BJ156" s="62">
        <f t="shared" si="146"/>
        <v>247.01165577562966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-1.9895196601282805E-13</v>
      </c>
      <c r="BZ156" s="14">
        <f>BY156*VLOOKUP('Données projet'!$B$12,Paramètres!$A$1:$I$89,3,0)*VLOOKUP('Données projet'!$B$12,Paramètres!$A$1:$I$89,5,0)</f>
        <v>-1.6138983482960614E-13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236.22643401787644</v>
      </c>
      <c r="CE156" s="62">
        <f t="shared" si="148"/>
        <v>188.80444043778022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2.8421709430404007E-13</v>
      </c>
      <c r="CU156" s="18">
        <f>CT156*VLOOKUP('Données projet'!$B$13,Paramètres!$A$1:$I$89,3,0)*VLOOKUP('Données projet'!$B$13,Paramètres!$A$1:$I$89,5,0)</f>
        <v>1.3301360013429075E-13</v>
      </c>
      <c r="CV156" s="14">
        <f t="shared" si="173"/>
        <v>1.9329766731057041E-12</v>
      </c>
      <c r="CW156" s="22">
        <f t="shared" si="174"/>
        <v>3.5982663925596575E-12</v>
      </c>
      <c r="CX156" s="62">
        <f t="shared" si="122"/>
        <v>293.3333333333369</v>
      </c>
      <c r="CY156" s="62">
        <f ca="1">AVERAGE(OFFSET($CX$3,0,0,'Données projet'!$E$13+1,1))-AVERAGE(OFFSET($H$3,0,0,'Données projet'!$E$13+1,1))</f>
        <v>246.73711856758143</v>
      </c>
      <c r="CZ156" s="62">
        <f t="shared" si="150"/>
        <v>145.54897745089966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-5.1159076974727213E-13</v>
      </c>
      <c r="DP156" s="18">
        <f>DO156*VLOOKUP('Données projet'!$B$14,Paramètres!$A$1:$I$89,3,0)*VLOOKUP('Données projet'!$B$14,Paramètres!$A$1:$I$89,5,0)</f>
        <v>-5.3471467253984886E-13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493.70175665335978</v>
      </c>
      <c r="DU156" s="62">
        <f t="shared" si="152"/>
        <v>325.12357781685949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-1.7053025658242404E-13</v>
      </c>
      <c r="EK156" s="18">
        <f>EJ156*VLOOKUP('Données projet'!$B$15,Paramètres!$A$1:$I$89,3,0)*VLOOKUP('Données projet'!$B$15,Paramètres!$A$1:$I$89,5,0)</f>
        <v>-1.4897523215040567E-13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202.86354781280403</v>
      </c>
      <c r="EP156" s="62">
        <f t="shared" si="154"/>
        <v>217.25323885665131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-1.7053025658242404E-13</v>
      </c>
      <c r="FF156" s="18">
        <f>FE156*VLOOKUP('Données projet'!$B$16,Paramètres!$A$1:$I$89,3,0)*VLOOKUP('Données projet'!$B$16,Paramètres!$A$1:$I$89,5,0)</f>
        <v>-1.6227659216383472E-13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353.61481736740694</v>
      </c>
      <c r="FK156" s="62">
        <f t="shared" si="156"/>
        <v>244.7141066773861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5.6843418860808015E-14</v>
      </c>
      <c r="GA156" s="18">
        <f>FZ156*VLOOKUP('Données projet'!$B$17,Paramètres!$A$1:$I$89,3,0)*VLOOKUP('Données projet'!$B$17,Paramètres!$A$1:$I$89,5,0)</f>
        <v>6.1186256061773749E-14</v>
      </c>
      <c r="GB156" s="14">
        <f t="shared" si="185"/>
        <v>9.7328366192051127E-13</v>
      </c>
      <c r="GC156" s="22">
        <f t="shared" si="186"/>
        <v>1.8017017738191463E-12</v>
      </c>
      <c r="GD156" s="62">
        <f t="shared" si="134"/>
        <v>293.33333333333513</v>
      </c>
      <c r="GE156" s="62">
        <f ca="1">AVERAGE(OFFSET($GD$3,0,0,'Données projet'!$E$17+1,1))-AVERAGE(OFFSET($H$3,0,0,'Données projet'!$E$17+1,1))</f>
        <v>280.20599015000306</v>
      </c>
      <c r="GF156" s="62">
        <f t="shared" si="158"/>
        <v>166.97658184507787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-5.6843418860808015E-14</v>
      </c>
      <c r="GV156" s="18">
        <f>GU156*VLOOKUP('Données projet'!$B$18,Paramètres!$A$1:$I$89,3,0)*VLOOKUP('Données projet'!$B$18,Paramètres!$A$1:$I$89,5,0)</f>
        <v>-3.813056537183002E-14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291.18686311753402</v>
      </c>
      <c r="HA156" s="62">
        <f t="shared" si="160"/>
        <v>215.44422413249839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9">
        <f t="shared" si="110"/>
        <v>256.66666666666669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260.02504691866199</v>
      </c>
      <c r="T157" s="62">
        <f t="shared" si="142"/>
        <v>270.11268336406368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0.85872525176231962</v>
      </c>
      <c r="AA157" s="23">
        <f>EXP(-LN(2)/25)*AA156+(1-EXP(-LN(2)/25))/(LN(2)/25)*Calculateur!V157*Calculateur!X157*VLOOKUP('Données projet'!$B$9,Paramètres!$A$1:$I$89,3,0)*0.475*44/12</f>
        <v>0.52806616724484157</v>
      </c>
      <c r="AB157" s="23">
        <f>EXP(-LN(2)/2)*AB156+(1-EXP(-LN(2)/2))/(LN(2)/2)*V157*Y157*VLOOKUP('Données projet'!$B$9,Paramètres!$A$1:$I$89,3,0)*0.475*44/12</f>
        <v>1.374759886208777E-18</v>
      </c>
      <c r="AC157" s="24">
        <f t="shared" si="163"/>
        <v>1.3867914190071611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475.47920969424894</v>
      </c>
      <c r="AO157" s="62">
        <f t="shared" si="144"/>
        <v>271.73544012419364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-8.7434273154940449E-13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428.8489304403459</v>
      </c>
      <c r="BJ157" s="62">
        <f t="shared" si="146"/>
        <v>247.01165577562966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-1.9895196601282805E-13</v>
      </c>
      <c r="BZ157" s="14">
        <f>BY157*VLOOKUP('Données projet'!$B$12,Paramètres!$A$1:$I$89,3,0)*VLOOKUP('Données projet'!$B$12,Paramètres!$A$1:$I$89,5,0)</f>
        <v>-1.6138983482960614E-13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236.22643401787644</v>
      </c>
      <c r="CE157" s="62">
        <f t="shared" si="148"/>
        <v>188.80444043778022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2.8421709430404007E-13</v>
      </c>
      <c r="CU157" s="18">
        <f>CT157*VLOOKUP('Données projet'!$B$13,Paramètres!$A$1:$I$89,3,0)*VLOOKUP('Données projet'!$B$13,Paramètres!$A$1:$I$89,5,0)</f>
        <v>1.3301360013429075E-13</v>
      </c>
      <c r="CV157" s="14">
        <f t="shared" si="173"/>
        <v>1.9329766731057041E-12</v>
      </c>
      <c r="CW157" s="22">
        <f t="shared" si="174"/>
        <v>3.5982663925596575E-12</v>
      </c>
      <c r="CX157" s="62">
        <f t="shared" si="122"/>
        <v>293.3333333333369</v>
      </c>
      <c r="CY157" s="62">
        <f ca="1">AVERAGE(OFFSET($CX$3,0,0,'Données projet'!$E$13+1,1))-AVERAGE(OFFSET($H$3,0,0,'Données projet'!$E$13+1,1))</f>
        <v>246.73711856758143</v>
      </c>
      <c r="CZ157" s="62">
        <f t="shared" si="150"/>
        <v>145.54897745089966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-5.1159076974727213E-13</v>
      </c>
      <c r="DP157" s="18">
        <f>DO157*VLOOKUP('Données projet'!$B$14,Paramètres!$A$1:$I$89,3,0)*VLOOKUP('Données projet'!$B$14,Paramètres!$A$1:$I$89,5,0)</f>
        <v>-5.3471467253984886E-13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493.70175665335978</v>
      </c>
      <c r="DU157" s="62">
        <f t="shared" si="152"/>
        <v>325.12357781685949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-1.7053025658242404E-13</v>
      </c>
      <c r="EK157" s="18">
        <f>EJ157*VLOOKUP('Données projet'!$B$15,Paramètres!$A$1:$I$89,3,0)*VLOOKUP('Données projet'!$B$15,Paramètres!$A$1:$I$89,5,0)</f>
        <v>-1.4897523215040567E-13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202.86354781280403</v>
      </c>
      <c r="EP157" s="62">
        <f t="shared" si="154"/>
        <v>217.25323885665131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-1.7053025658242404E-13</v>
      </c>
      <c r="FF157" s="18">
        <f>FE157*VLOOKUP('Données projet'!$B$16,Paramètres!$A$1:$I$89,3,0)*VLOOKUP('Données projet'!$B$16,Paramètres!$A$1:$I$89,5,0)</f>
        <v>-1.6227659216383472E-13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353.61481736740694</v>
      </c>
      <c r="FK157" s="62">
        <f t="shared" si="156"/>
        <v>244.7141066773861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5.6843418860808015E-14</v>
      </c>
      <c r="GA157" s="18">
        <f>FZ157*VLOOKUP('Données projet'!$B$17,Paramètres!$A$1:$I$89,3,0)*VLOOKUP('Données projet'!$B$17,Paramètres!$A$1:$I$89,5,0)</f>
        <v>6.1186256061773749E-14</v>
      </c>
      <c r="GB157" s="14">
        <f t="shared" si="185"/>
        <v>9.7328366192051127E-13</v>
      </c>
      <c r="GC157" s="22">
        <f t="shared" si="186"/>
        <v>1.8017017738191463E-12</v>
      </c>
      <c r="GD157" s="62">
        <f t="shared" si="134"/>
        <v>293.33333333333513</v>
      </c>
      <c r="GE157" s="62">
        <f ca="1">AVERAGE(OFFSET($GD$3,0,0,'Données projet'!$E$17+1,1))-AVERAGE(OFFSET($H$3,0,0,'Données projet'!$E$17+1,1))</f>
        <v>280.20599015000306</v>
      </c>
      <c r="GF157" s="62">
        <f t="shared" si="158"/>
        <v>166.97658184507787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-5.6843418860808015E-14</v>
      </c>
      <c r="GV157" s="18">
        <f>GU157*VLOOKUP('Données projet'!$B$18,Paramètres!$A$1:$I$89,3,0)*VLOOKUP('Données projet'!$B$18,Paramètres!$A$1:$I$89,5,0)</f>
        <v>-3.813056537183002E-14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291.18686311753402</v>
      </c>
      <c r="HA157" s="62">
        <f t="shared" si="160"/>
        <v>215.44422413249839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9">
        <f t="shared" si="110"/>
        <v>256.66666666666669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260.02504691866199</v>
      </c>
      <c r="T158" s="62">
        <f t="shared" si="142"/>
        <v>270.11268336406368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0.84188617334594607</v>
      </c>
      <c r="AA158" s="23">
        <f>EXP(-LN(2)/25)*AA157+(1-EXP(-LN(2)/25))/(LN(2)/25)*Calculateur!V158*Calculateur!X158*VLOOKUP('Données projet'!$B$9,Paramètres!$A$1:$I$89,3,0)*0.475*44/12</f>
        <v>0.5136261701317385</v>
      </c>
      <c r="AB158" s="23">
        <f>EXP(-LN(2)/2)*AB157+(1-EXP(-LN(2)/2))/(LN(2)/2)*V158*Y158*VLOOKUP('Données projet'!$B$9,Paramètres!$A$1:$I$89,3,0)*0.475*44/12</f>
        <v>9.7210203804147266E-19</v>
      </c>
      <c r="AC158" s="24">
        <f t="shared" si="163"/>
        <v>1.3555123434776846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475.47920969424894</v>
      </c>
      <c r="AO158" s="62">
        <f t="shared" si="144"/>
        <v>271.73544012419364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-8.7434273154940449E-13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428.8489304403459</v>
      </c>
      <c r="BJ158" s="62">
        <f t="shared" si="146"/>
        <v>247.01165577562966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-1.9895196601282805E-13</v>
      </c>
      <c r="BZ158" s="14">
        <f>BY158*VLOOKUP('Données projet'!$B$12,Paramètres!$A$1:$I$89,3,0)*VLOOKUP('Données projet'!$B$12,Paramètres!$A$1:$I$89,5,0)</f>
        <v>-1.6138983482960614E-13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236.22643401787644</v>
      </c>
      <c r="CE158" s="62">
        <f t="shared" si="148"/>
        <v>188.80444043778022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2.8421709430404007E-13</v>
      </c>
      <c r="CU158" s="18">
        <f>CT158*VLOOKUP('Données projet'!$B$13,Paramètres!$A$1:$I$89,3,0)*VLOOKUP('Données projet'!$B$13,Paramètres!$A$1:$I$89,5,0)</f>
        <v>1.3301360013429075E-13</v>
      </c>
      <c r="CV158" s="14">
        <f t="shared" si="173"/>
        <v>1.9329766731057041E-12</v>
      </c>
      <c r="CW158" s="22">
        <f t="shared" si="174"/>
        <v>3.5982663925596575E-12</v>
      </c>
      <c r="CX158" s="62">
        <f t="shared" si="122"/>
        <v>293.3333333333369</v>
      </c>
      <c r="CY158" s="62">
        <f ca="1">AVERAGE(OFFSET($CX$3,0,0,'Données projet'!$E$13+1,1))-AVERAGE(OFFSET($H$3,0,0,'Données projet'!$E$13+1,1))</f>
        <v>246.73711856758143</v>
      </c>
      <c r="CZ158" s="62">
        <f t="shared" si="150"/>
        <v>145.54897745089966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-5.1159076974727213E-13</v>
      </c>
      <c r="DP158" s="18">
        <f>DO158*VLOOKUP('Données projet'!$B$14,Paramètres!$A$1:$I$89,3,0)*VLOOKUP('Données projet'!$B$14,Paramètres!$A$1:$I$89,5,0)</f>
        <v>-5.3471467253984886E-13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493.70175665335978</v>
      </c>
      <c r="DU158" s="62">
        <f t="shared" si="152"/>
        <v>325.12357781685949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-1.7053025658242404E-13</v>
      </c>
      <c r="EK158" s="18">
        <f>EJ158*VLOOKUP('Données projet'!$B$15,Paramètres!$A$1:$I$89,3,0)*VLOOKUP('Données projet'!$B$15,Paramètres!$A$1:$I$89,5,0)</f>
        <v>-1.4897523215040567E-13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202.86354781280403</v>
      </c>
      <c r="EP158" s="62">
        <f t="shared" si="154"/>
        <v>217.25323885665131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-1.7053025658242404E-13</v>
      </c>
      <c r="FF158" s="18">
        <f>FE158*VLOOKUP('Données projet'!$B$16,Paramètres!$A$1:$I$89,3,0)*VLOOKUP('Données projet'!$B$16,Paramètres!$A$1:$I$89,5,0)</f>
        <v>-1.6227659216383472E-13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353.61481736740694</v>
      </c>
      <c r="FK158" s="62">
        <f t="shared" si="156"/>
        <v>244.7141066773861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5.6843418860808015E-14</v>
      </c>
      <c r="GA158" s="18">
        <f>FZ158*VLOOKUP('Données projet'!$B$17,Paramètres!$A$1:$I$89,3,0)*VLOOKUP('Données projet'!$B$17,Paramètres!$A$1:$I$89,5,0)</f>
        <v>6.1186256061773749E-14</v>
      </c>
      <c r="GB158" s="14">
        <f t="shared" si="185"/>
        <v>9.7328366192051127E-13</v>
      </c>
      <c r="GC158" s="22">
        <f t="shared" si="186"/>
        <v>1.8017017738191463E-12</v>
      </c>
      <c r="GD158" s="62">
        <f t="shared" si="134"/>
        <v>293.33333333333513</v>
      </c>
      <c r="GE158" s="62">
        <f ca="1">AVERAGE(OFFSET($GD$3,0,0,'Données projet'!$E$17+1,1))-AVERAGE(OFFSET($H$3,0,0,'Données projet'!$E$17+1,1))</f>
        <v>280.20599015000306</v>
      </c>
      <c r="GF158" s="62">
        <f t="shared" si="158"/>
        <v>166.97658184507787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-5.6843418860808015E-14</v>
      </c>
      <c r="GV158" s="18">
        <f>GU158*VLOOKUP('Données projet'!$B$18,Paramètres!$A$1:$I$89,3,0)*VLOOKUP('Données projet'!$B$18,Paramètres!$A$1:$I$89,5,0)</f>
        <v>-3.813056537183002E-14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291.18686311753402</v>
      </c>
      <c r="HA158" s="62">
        <f t="shared" si="160"/>
        <v>215.44422413249839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9">
        <f t="shared" si="110"/>
        <v>256.66666666666669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260.02504691866199</v>
      </c>
      <c r="T159" s="62">
        <f t="shared" si="142"/>
        <v>270.11268336406368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0.82537729898649392</v>
      </c>
      <c r="AA159" s="23">
        <f>EXP(-LN(2)/25)*AA158+(1-EXP(-LN(2)/25))/(LN(2)/25)*Calculateur!V159*Calculateur!X159*VLOOKUP('Données projet'!$B$9,Paramètres!$A$1:$I$89,3,0)*0.475*44/12</f>
        <v>0.49958103549905974</v>
      </c>
      <c r="AB159" s="23">
        <f>EXP(-LN(2)/2)*AB158+(1-EXP(-LN(2)/2))/(LN(2)/2)*V159*Y159*VLOOKUP('Données projet'!$B$9,Paramètres!$A$1:$I$89,3,0)*0.475*44/12</f>
        <v>6.8737994310438851E-19</v>
      </c>
      <c r="AC159" s="24">
        <f t="shared" si="163"/>
        <v>1.3249583344855536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475.47920969424894</v>
      </c>
      <c r="AO159" s="62">
        <f t="shared" si="144"/>
        <v>271.73544012419364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-8.7434273154940449E-13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428.8489304403459</v>
      </c>
      <c r="BJ159" s="62">
        <f t="shared" si="146"/>
        <v>247.01165577562966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-1.9895196601282805E-13</v>
      </c>
      <c r="BZ159" s="14">
        <f>BY159*VLOOKUP('Données projet'!$B$12,Paramètres!$A$1:$I$89,3,0)*VLOOKUP('Données projet'!$B$12,Paramètres!$A$1:$I$89,5,0)</f>
        <v>-1.6138983482960614E-13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236.22643401787644</v>
      </c>
      <c r="CE159" s="62">
        <f t="shared" si="148"/>
        <v>188.80444043778022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2.8421709430404007E-13</v>
      </c>
      <c r="CU159" s="18">
        <f>CT159*VLOOKUP('Données projet'!$B$13,Paramètres!$A$1:$I$89,3,0)*VLOOKUP('Données projet'!$B$13,Paramètres!$A$1:$I$89,5,0)</f>
        <v>1.3301360013429075E-13</v>
      </c>
      <c r="CV159" s="14">
        <f t="shared" si="173"/>
        <v>1.9329766731057041E-12</v>
      </c>
      <c r="CW159" s="22">
        <f t="shared" si="174"/>
        <v>3.5982663925596575E-12</v>
      </c>
      <c r="CX159" s="62">
        <f t="shared" si="122"/>
        <v>293.3333333333369</v>
      </c>
      <c r="CY159" s="62">
        <f ca="1">AVERAGE(OFFSET($CX$3,0,0,'Données projet'!$E$13+1,1))-AVERAGE(OFFSET($H$3,0,0,'Données projet'!$E$13+1,1))</f>
        <v>246.73711856758143</v>
      </c>
      <c r="CZ159" s="62">
        <f t="shared" si="150"/>
        <v>145.54897745089966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-5.1159076974727213E-13</v>
      </c>
      <c r="DP159" s="18">
        <f>DO159*VLOOKUP('Données projet'!$B$14,Paramètres!$A$1:$I$89,3,0)*VLOOKUP('Données projet'!$B$14,Paramètres!$A$1:$I$89,5,0)</f>
        <v>-5.3471467253984886E-13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493.70175665335978</v>
      </c>
      <c r="DU159" s="62">
        <f t="shared" si="152"/>
        <v>325.12357781685949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-1.7053025658242404E-13</v>
      </c>
      <c r="EK159" s="18">
        <f>EJ159*VLOOKUP('Données projet'!$B$15,Paramètres!$A$1:$I$89,3,0)*VLOOKUP('Données projet'!$B$15,Paramètres!$A$1:$I$89,5,0)</f>
        <v>-1.4897523215040567E-13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202.86354781280403</v>
      </c>
      <c r="EP159" s="62">
        <f t="shared" si="154"/>
        <v>217.25323885665131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-1.7053025658242404E-13</v>
      </c>
      <c r="FF159" s="18">
        <f>FE159*VLOOKUP('Données projet'!$B$16,Paramètres!$A$1:$I$89,3,0)*VLOOKUP('Données projet'!$B$16,Paramètres!$A$1:$I$89,5,0)</f>
        <v>-1.6227659216383472E-13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353.61481736740694</v>
      </c>
      <c r="FK159" s="62">
        <f t="shared" si="156"/>
        <v>244.7141066773861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5.6843418860808015E-14</v>
      </c>
      <c r="GA159" s="18">
        <f>FZ159*VLOOKUP('Données projet'!$B$17,Paramètres!$A$1:$I$89,3,0)*VLOOKUP('Données projet'!$B$17,Paramètres!$A$1:$I$89,5,0)</f>
        <v>6.1186256061773749E-14</v>
      </c>
      <c r="GB159" s="14">
        <f t="shared" si="185"/>
        <v>9.7328366192051127E-13</v>
      </c>
      <c r="GC159" s="22">
        <f t="shared" si="186"/>
        <v>1.8017017738191463E-12</v>
      </c>
      <c r="GD159" s="62">
        <f t="shared" si="134"/>
        <v>293.33333333333513</v>
      </c>
      <c r="GE159" s="62">
        <f ca="1">AVERAGE(OFFSET($GD$3,0,0,'Données projet'!$E$17+1,1))-AVERAGE(OFFSET($H$3,0,0,'Données projet'!$E$17+1,1))</f>
        <v>280.20599015000306</v>
      </c>
      <c r="GF159" s="62">
        <f t="shared" si="158"/>
        <v>166.97658184507787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-5.6843418860808015E-14</v>
      </c>
      <c r="GV159" s="18">
        <f>GU159*VLOOKUP('Données projet'!$B$18,Paramètres!$A$1:$I$89,3,0)*VLOOKUP('Données projet'!$B$18,Paramètres!$A$1:$I$89,5,0)</f>
        <v>-3.813056537183002E-14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291.18686311753402</v>
      </c>
      <c r="HA159" s="62">
        <f t="shared" si="160"/>
        <v>215.44422413249839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9">
        <f t="shared" si="110"/>
        <v>256.66666666666669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260.02504691866199</v>
      </c>
      <c r="T160" s="62">
        <f t="shared" si="142"/>
        <v>270.11268336406368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0.80919215358381158</v>
      </c>
      <c r="AA160" s="23">
        <f>EXP(-LN(2)/25)*AA159+(1-EXP(-LN(2)/25))/(LN(2)/25)*Calculateur!V160*Calculateur!X160*VLOOKUP('Données projet'!$B$9,Paramètres!$A$1:$I$89,3,0)*0.475*44/12</f>
        <v>0.48591996581151309</v>
      </c>
      <c r="AB160" s="23">
        <f>EXP(-LN(2)/2)*AB159+(1-EXP(-LN(2)/2))/(LN(2)/2)*V160*Y160*VLOOKUP('Données projet'!$B$9,Paramètres!$A$1:$I$89,3,0)*0.475*44/12</f>
        <v>4.8605101902073633E-19</v>
      </c>
      <c r="AC160" s="24">
        <f t="shared" si="163"/>
        <v>1.2951121193953248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475.47920969424894</v>
      </c>
      <c r="AO160" s="62">
        <f t="shared" si="144"/>
        <v>271.73544012419364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-8.7434273154940449E-13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428.8489304403459</v>
      </c>
      <c r="BJ160" s="62">
        <f t="shared" si="146"/>
        <v>247.01165577562966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-1.9895196601282805E-13</v>
      </c>
      <c r="BZ160" s="14">
        <f>BY160*VLOOKUP('Données projet'!$B$12,Paramètres!$A$1:$I$89,3,0)*VLOOKUP('Données projet'!$B$12,Paramètres!$A$1:$I$89,5,0)</f>
        <v>-1.6138983482960614E-13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236.22643401787644</v>
      </c>
      <c r="CE160" s="62">
        <f t="shared" si="148"/>
        <v>188.80444043778022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2.8421709430404007E-13</v>
      </c>
      <c r="CU160" s="18">
        <f>CT160*VLOOKUP('Données projet'!$B$13,Paramètres!$A$1:$I$89,3,0)*VLOOKUP('Données projet'!$B$13,Paramètres!$A$1:$I$89,5,0)</f>
        <v>1.3301360013429075E-13</v>
      </c>
      <c r="CV160" s="14">
        <f t="shared" si="173"/>
        <v>1.9329766731057041E-12</v>
      </c>
      <c r="CW160" s="22">
        <f t="shared" si="174"/>
        <v>3.5982663925596575E-12</v>
      </c>
      <c r="CX160" s="62">
        <f t="shared" si="122"/>
        <v>293.3333333333369</v>
      </c>
      <c r="CY160" s="62">
        <f ca="1">AVERAGE(OFFSET($CX$3,0,0,'Données projet'!$E$13+1,1))-AVERAGE(OFFSET($H$3,0,0,'Données projet'!$E$13+1,1))</f>
        <v>246.73711856758143</v>
      </c>
      <c r="CZ160" s="62">
        <f t="shared" si="150"/>
        <v>145.54897745089966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-5.1159076974727213E-13</v>
      </c>
      <c r="DP160" s="18">
        <f>DO160*VLOOKUP('Données projet'!$B$14,Paramètres!$A$1:$I$89,3,0)*VLOOKUP('Données projet'!$B$14,Paramètres!$A$1:$I$89,5,0)</f>
        <v>-5.3471467253984886E-13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493.70175665335978</v>
      </c>
      <c r="DU160" s="62">
        <f t="shared" si="152"/>
        <v>325.12357781685949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-1.7053025658242404E-13</v>
      </c>
      <c r="EK160" s="18">
        <f>EJ160*VLOOKUP('Données projet'!$B$15,Paramètres!$A$1:$I$89,3,0)*VLOOKUP('Données projet'!$B$15,Paramètres!$A$1:$I$89,5,0)</f>
        <v>-1.4897523215040567E-13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202.86354781280403</v>
      </c>
      <c r="EP160" s="62">
        <f t="shared" si="154"/>
        <v>217.25323885665131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-1.7053025658242404E-13</v>
      </c>
      <c r="FF160" s="18">
        <f>FE160*VLOOKUP('Données projet'!$B$16,Paramètres!$A$1:$I$89,3,0)*VLOOKUP('Données projet'!$B$16,Paramètres!$A$1:$I$89,5,0)</f>
        <v>-1.6227659216383472E-13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353.61481736740694</v>
      </c>
      <c r="FK160" s="62">
        <f t="shared" si="156"/>
        <v>244.7141066773861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5.6843418860808015E-14</v>
      </c>
      <c r="GA160" s="18">
        <f>FZ160*VLOOKUP('Données projet'!$B$17,Paramètres!$A$1:$I$89,3,0)*VLOOKUP('Données projet'!$B$17,Paramètres!$A$1:$I$89,5,0)</f>
        <v>6.1186256061773749E-14</v>
      </c>
      <c r="GB160" s="14">
        <f t="shared" si="185"/>
        <v>9.7328366192051127E-13</v>
      </c>
      <c r="GC160" s="22">
        <f t="shared" si="186"/>
        <v>1.8017017738191463E-12</v>
      </c>
      <c r="GD160" s="62">
        <f t="shared" si="134"/>
        <v>293.33333333333513</v>
      </c>
      <c r="GE160" s="62">
        <f ca="1">AVERAGE(OFFSET($GD$3,0,0,'Données projet'!$E$17+1,1))-AVERAGE(OFFSET($H$3,0,0,'Données projet'!$E$17+1,1))</f>
        <v>280.20599015000306</v>
      </c>
      <c r="GF160" s="62">
        <f t="shared" si="158"/>
        <v>166.97658184507787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-5.6843418860808015E-14</v>
      </c>
      <c r="GV160" s="18">
        <f>GU160*VLOOKUP('Données projet'!$B$18,Paramètres!$A$1:$I$89,3,0)*VLOOKUP('Données projet'!$B$18,Paramètres!$A$1:$I$89,5,0)</f>
        <v>-3.813056537183002E-14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291.18686311753402</v>
      </c>
      <c r="HA160" s="62">
        <f t="shared" si="160"/>
        <v>215.44422413249839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9">
        <f t="shared" si="110"/>
        <v>256.66666666666669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260.02504691866199</v>
      </c>
      <c r="T161" s="62">
        <f t="shared" si="142"/>
        <v>270.11268336406368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0.79332438901051183</v>
      </c>
      <c r="AA161" s="23">
        <f>EXP(-LN(2)/25)*AA160+(1-EXP(-LN(2)/25))/(LN(2)/25)*Calculateur!V161*Calculateur!X161*VLOOKUP('Données projet'!$B$9,Paramètres!$A$1:$I$89,3,0)*0.475*44/12</f>
        <v>0.47263245879297683</v>
      </c>
      <c r="AB161" s="23">
        <f>EXP(-LN(2)/2)*AB160+(1-EXP(-LN(2)/2))/(LN(2)/2)*V161*Y161*VLOOKUP('Données projet'!$B$9,Paramètres!$A$1:$I$89,3,0)*0.475*44/12</f>
        <v>3.4368997155219425E-19</v>
      </c>
      <c r="AC161" s="24">
        <f t="shared" si="163"/>
        <v>1.2659568478034886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475.47920969424894</v>
      </c>
      <c r="AO161" s="62">
        <f t="shared" si="144"/>
        <v>271.73544012419364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-8.7434273154940449E-13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428.8489304403459</v>
      </c>
      <c r="BJ161" s="62">
        <f t="shared" si="146"/>
        <v>247.01165577562966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-1.9895196601282805E-13</v>
      </c>
      <c r="BZ161" s="14">
        <f>BY161*VLOOKUP('Données projet'!$B$12,Paramètres!$A$1:$I$89,3,0)*VLOOKUP('Données projet'!$B$12,Paramètres!$A$1:$I$89,5,0)</f>
        <v>-1.6138983482960614E-13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236.22643401787644</v>
      </c>
      <c r="CE161" s="62">
        <f t="shared" si="148"/>
        <v>188.80444043778022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2.8421709430404007E-13</v>
      </c>
      <c r="CU161" s="18">
        <f>CT161*VLOOKUP('Données projet'!$B$13,Paramètres!$A$1:$I$89,3,0)*VLOOKUP('Données projet'!$B$13,Paramètres!$A$1:$I$89,5,0)</f>
        <v>1.3301360013429075E-13</v>
      </c>
      <c r="CV161" s="14">
        <f t="shared" si="173"/>
        <v>1.9329766731057041E-12</v>
      </c>
      <c r="CW161" s="22">
        <f t="shared" si="174"/>
        <v>3.5982663925596575E-12</v>
      </c>
      <c r="CX161" s="62">
        <f t="shared" si="122"/>
        <v>293.3333333333369</v>
      </c>
      <c r="CY161" s="62">
        <f ca="1">AVERAGE(OFFSET($CX$3,0,0,'Données projet'!$E$13+1,1))-AVERAGE(OFFSET($H$3,0,0,'Données projet'!$E$13+1,1))</f>
        <v>246.73711856758143</v>
      </c>
      <c r="CZ161" s="62">
        <f t="shared" si="150"/>
        <v>145.54897745089966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-5.1159076974727213E-13</v>
      </c>
      <c r="DP161" s="18">
        <f>DO161*VLOOKUP('Données projet'!$B$14,Paramètres!$A$1:$I$89,3,0)*VLOOKUP('Données projet'!$B$14,Paramètres!$A$1:$I$89,5,0)</f>
        <v>-5.3471467253984886E-13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493.70175665335978</v>
      </c>
      <c r="DU161" s="62">
        <f t="shared" si="152"/>
        <v>325.12357781685949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-1.7053025658242404E-13</v>
      </c>
      <c r="EK161" s="18">
        <f>EJ161*VLOOKUP('Données projet'!$B$15,Paramètres!$A$1:$I$89,3,0)*VLOOKUP('Données projet'!$B$15,Paramètres!$A$1:$I$89,5,0)</f>
        <v>-1.4897523215040567E-13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202.86354781280403</v>
      </c>
      <c r="EP161" s="62">
        <f t="shared" si="154"/>
        <v>217.25323885665131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-1.7053025658242404E-13</v>
      </c>
      <c r="FF161" s="18">
        <f>FE161*VLOOKUP('Données projet'!$B$16,Paramètres!$A$1:$I$89,3,0)*VLOOKUP('Données projet'!$B$16,Paramètres!$A$1:$I$89,5,0)</f>
        <v>-1.6227659216383472E-13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353.61481736740694</v>
      </c>
      <c r="FK161" s="62">
        <f t="shared" si="156"/>
        <v>244.7141066773861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5.6843418860808015E-14</v>
      </c>
      <c r="GA161" s="18">
        <f>FZ161*VLOOKUP('Données projet'!$B$17,Paramètres!$A$1:$I$89,3,0)*VLOOKUP('Données projet'!$B$17,Paramètres!$A$1:$I$89,5,0)</f>
        <v>6.1186256061773749E-14</v>
      </c>
      <c r="GB161" s="14">
        <f t="shared" si="185"/>
        <v>9.7328366192051127E-13</v>
      </c>
      <c r="GC161" s="22">
        <f t="shared" si="186"/>
        <v>1.8017017738191463E-12</v>
      </c>
      <c r="GD161" s="62">
        <f t="shared" si="134"/>
        <v>293.33333333333513</v>
      </c>
      <c r="GE161" s="62">
        <f ca="1">AVERAGE(OFFSET($GD$3,0,0,'Données projet'!$E$17+1,1))-AVERAGE(OFFSET($H$3,0,0,'Données projet'!$E$17+1,1))</f>
        <v>280.20599015000306</v>
      </c>
      <c r="GF161" s="62">
        <f t="shared" si="158"/>
        <v>166.97658184507787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-5.6843418860808015E-14</v>
      </c>
      <c r="GV161" s="18">
        <f>GU161*VLOOKUP('Données projet'!$B$18,Paramètres!$A$1:$I$89,3,0)*VLOOKUP('Données projet'!$B$18,Paramètres!$A$1:$I$89,5,0)</f>
        <v>-3.813056537183002E-14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291.18686311753402</v>
      </c>
      <c r="HA161" s="62">
        <f t="shared" si="160"/>
        <v>215.44422413249839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9">
        <f t="shared" si="110"/>
        <v>256.66666666666669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260.02504691866199</v>
      </c>
      <c r="T162" s="62">
        <f t="shared" si="142"/>
        <v>270.11268336406368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0.7777677816221138</v>
      </c>
      <c r="AA162" s="23">
        <f>EXP(-LN(2)/25)*AA161+(1-EXP(-LN(2)/25))/(LN(2)/25)*Calculateur!V162*Calculateur!X162*VLOOKUP('Données projet'!$B$9,Paramètres!$A$1:$I$89,3,0)*0.475*44/12</f>
        <v>0.45970829935262209</v>
      </c>
      <c r="AB162" s="23">
        <f>EXP(-LN(2)/2)*AB161+(1-EXP(-LN(2)/2))/(LN(2)/2)*V162*Y162*VLOOKUP('Données projet'!$B$9,Paramètres!$A$1:$I$89,3,0)*0.475*44/12</f>
        <v>2.4302550951036817E-19</v>
      </c>
      <c r="AC162" s="24">
        <f t="shared" si="163"/>
        <v>1.2374760809747358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475.47920969424894</v>
      </c>
      <c r="AO162" s="62">
        <f t="shared" si="144"/>
        <v>271.73544012419364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-8.7434273154940449E-13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428.8489304403459</v>
      </c>
      <c r="BJ162" s="62">
        <f t="shared" si="146"/>
        <v>247.01165577562966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-1.9895196601282805E-13</v>
      </c>
      <c r="BZ162" s="14">
        <f>BY162*VLOOKUP('Données projet'!$B$12,Paramètres!$A$1:$I$89,3,0)*VLOOKUP('Données projet'!$B$12,Paramètres!$A$1:$I$89,5,0)</f>
        <v>-1.6138983482960614E-13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236.22643401787644</v>
      </c>
      <c r="CE162" s="62">
        <f t="shared" si="148"/>
        <v>188.80444043778022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2.8421709430404007E-13</v>
      </c>
      <c r="CU162" s="18">
        <f>CT162*VLOOKUP('Données projet'!$B$13,Paramètres!$A$1:$I$89,3,0)*VLOOKUP('Données projet'!$B$13,Paramètres!$A$1:$I$89,5,0)</f>
        <v>1.3301360013429075E-13</v>
      </c>
      <c r="CV162" s="14">
        <f t="shared" si="173"/>
        <v>1.9329766731057041E-12</v>
      </c>
      <c r="CW162" s="22">
        <f t="shared" si="174"/>
        <v>3.5982663925596575E-12</v>
      </c>
      <c r="CX162" s="62">
        <f t="shared" si="122"/>
        <v>293.3333333333369</v>
      </c>
      <c r="CY162" s="62">
        <f ca="1">AVERAGE(OFFSET($CX$3,0,0,'Données projet'!$E$13+1,1))-AVERAGE(OFFSET($H$3,0,0,'Données projet'!$E$13+1,1))</f>
        <v>246.73711856758143</v>
      </c>
      <c r="CZ162" s="62">
        <f t="shared" si="150"/>
        <v>145.54897745089966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-5.1159076974727213E-13</v>
      </c>
      <c r="DP162" s="18">
        <f>DO162*VLOOKUP('Données projet'!$B$14,Paramètres!$A$1:$I$89,3,0)*VLOOKUP('Données projet'!$B$14,Paramètres!$A$1:$I$89,5,0)</f>
        <v>-5.3471467253984886E-13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493.70175665335978</v>
      </c>
      <c r="DU162" s="62">
        <f t="shared" si="152"/>
        <v>325.12357781685949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-1.7053025658242404E-13</v>
      </c>
      <c r="EK162" s="18">
        <f>EJ162*VLOOKUP('Données projet'!$B$15,Paramètres!$A$1:$I$89,3,0)*VLOOKUP('Données projet'!$B$15,Paramètres!$A$1:$I$89,5,0)</f>
        <v>-1.4897523215040567E-13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202.86354781280403</v>
      </c>
      <c r="EP162" s="62">
        <f t="shared" si="154"/>
        <v>217.25323885665131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-1.7053025658242404E-13</v>
      </c>
      <c r="FF162" s="18">
        <f>FE162*VLOOKUP('Données projet'!$B$16,Paramètres!$A$1:$I$89,3,0)*VLOOKUP('Données projet'!$B$16,Paramètres!$A$1:$I$89,5,0)</f>
        <v>-1.6227659216383472E-13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353.61481736740694</v>
      </c>
      <c r="FK162" s="62">
        <f t="shared" si="156"/>
        <v>244.7141066773861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5.6843418860808015E-14</v>
      </c>
      <c r="GA162" s="18">
        <f>FZ162*VLOOKUP('Données projet'!$B$17,Paramètres!$A$1:$I$89,3,0)*VLOOKUP('Données projet'!$B$17,Paramètres!$A$1:$I$89,5,0)</f>
        <v>6.1186256061773749E-14</v>
      </c>
      <c r="GB162" s="14">
        <f t="shared" si="185"/>
        <v>9.7328366192051127E-13</v>
      </c>
      <c r="GC162" s="22">
        <f t="shared" si="186"/>
        <v>1.8017017738191463E-12</v>
      </c>
      <c r="GD162" s="62">
        <f t="shared" si="134"/>
        <v>293.33333333333513</v>
      </c>
      <c r="GE162" s="62">
        <f ca="1">AVERAGE(OFFSET($GD$3,0,0,'Données projet'!$E$17+1,1))-AVERAGE(OFFSET($H$3,0,0,'Données projet'!$E$17+1,1))</f>
        <v>280.20599015000306</v>
      </c>
      <c r="GF162" s="62">
        <f t="shared" si="158"/>
        <v>166.97658184507787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-5.6843418860808015E-14</v>
      </c>
      <c r="GV162" s="18">
        <f>GU162*VLOOKUP('Données projet'!$B$18,Paramètres!$A$1:$I$89,3,0)*VLOOKUP('Données projet'!$B$18,Paramètres!$A$1:$I$89,5,0)</f>
        <v>-3.813056537183002E-14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291.18686311753402</v>
      </c>
      <c r="HA162" s="62">
        <f t="shared" si="160"/>
        <v>215.44422413249839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9">
        <f t="shared" si="110"/>
        <v>256.66666666666669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260.02504691866199</v>
      </c>
      <c r="T163" s="62">
        <f t="shared" si="142"/>
        <v>270.11268336406368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0.76251622981600864</v>
      </c>
      <c r="AA163" s="23">
        <f>EXP(-LN(2)/25)*AA162+(1-EXP(-LN(2)/25))/(LN(2)/25)*Calculateur!V163*Calculateur!X163*VLOOKUP('Données projet'!$B$9,Paramètres!$A$1:$I$89,3,0)*0.475*44/12</f>
        <v>0.44713755173181585</v>
      </c>
      <c r="AB163" s="23">
        <f>EXP(-LN(2)/2)*AB162+(1-EXP(-LN(2)/2))/(LN(2)/2)*V163*Y163*VLOOKUP('Données projet'!$B$9,Paramètres!$A$1:$I$89,3,0)*0.475*44/12</f>
        <v>1.7184498577609713E-19</v>
      </c>
      <c r="AC163" s="24">
        <f t="shared" si="163"/>
        <v>1.2096537815478245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475.47920969424894</v>
      </c>
      <c r="AO163" s="62">
        <f t="shared" si="144"/>
        <v>271.73544012419364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-8.7434273154940449E-13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428.8489304403459</v>
      </c>
      <c r="BJ163" s="62">
        <f t="shared" si="146"/>
        <v>247.01165577562966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-1.9895196601282805E-13</v>
      </c>
      <c r="BZ163" s="14">
        <f>BY163*VLOOKUP('Données projet'!$B$12,Paramètres!$A$1:$I$89,3,0)*VLOOKUP('Données projet'!$B$12,Paramètres!$A$1:$I$89,5,0)</f>
        <v>-1.6138983482960614E-13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236.22643401787644</v>
      </c>
      <c r="CE163" s="62">
        <f t="shared" si="148"/>
        <v>188.80444043778022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2.8421709430404007E-13</v>
      </c>
      <c r="CU163" s="18">
        <f>CT163*VLOOKUP('Données projet'!$B$13,Paramètres!$A$1:$I$89,3,0)*VLOOKUP('Données projet'!$B$13,Paramètres!$A$1:$I$89,5,0)</f>
        <v>1.3301360013429075E-13</v>
      </c>
      <c r="CV163" s="14">
        <f t="shared" si="173"/>
        <v>1.9329766731057041E-12</v>
      </c>
      <c r="CW163" s="22">
        <f t="shared" si="174"/>
        <v>3.5982663925596575E-12</v>
      </c>
      <c r="CX163" s="62">
        <f t="shared" si="122"/>
        <v>293.3333333333369</v>
      </c>
      <c r="CY163" s="62">
        <f ca="1">AVERAGE(OFFSET($CX$3,0,0,'Données projet'!$E$13+1,1))-AVERAGE(OFFSET($H$3,0,0,'Données projet'!$E$13+1,1))</f>
        <v>246.73711856758143</v>
      </c>
      <c r="CZ163" s="62">
        <f t="shared" si="150"/>
        <v>145.54897745089966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-5.1159076974727213E-13</v>
      </c>
      <c r="DP163" s="18">
        <f>DO163*VLOOKUP('Données projet'!$B$14,Paramètres!$A$1:$I$89,3,0)*VLOOKUP('Données projet'!$B$14,Paramètres!$A$1:$I$89,5,0)</f>
        <v>-5.3471467253984886E-13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493.70175665335978</v>
      </c>
      <c r="DU163" s="62">
        <f t="shared" si="152"/>
        <v>325.12357781685949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-1.7053025658242404E-13</v>
      </c>
      <c r="EK163" s="18">
        <f>EJ163*VLOOKUP('Données projet'!$B$15,Paramètres!$A$1:$I$89,3,0)*VLOOKUP('Données projet'!$B$15,Paramètres!$A$1:$I$89,5,0)</f>
        <v>-1.4897523215040567E-13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202.86354781280403</v>
      </c>
      <c r="EP163" s="62">
        <f t="shared" si="154"/>
        <v>217.25323885665131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-1.7053025658242404E-13</v>
      </c>
      <c r="FF163" s="18">
        <f>FE163*VLOOKUP('Données projet'!$B$16,Paramètres!$A$1:$I$89,3,0)*VLOOKUP('Données projet'!$B$16,Paramètres!$A$1:$I$89,5,0)</f>
        <v>-1.6227659216383472E-13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353.61481736740694</v>
      </c>
      <c r="FK163" s="62">
        <f t="shared" si="156"/>
        <v>244.7141066773861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5.6843418860808015E-14</v>
      </c>
      <c r="GA163" s="18">
        <f>FZ163*VLOOKUP('Données projet'!$B$17,Paramètres!$A$1:$I$89,3,0)*VLOOKUP('Données projet'!$B$17,Paramètres!$A$1:$I$89,5,0)</f>
        <v>6.1186256061773749E-14</v>
      </c>
      <c r="GB163" s="14">
        <f t="shared" si="185"/>
        <v>9.7328366192051127E-13</v>
      </c>
      <c r="GC163" s="22">
        <f t="shared" si="186"/>
        <v>1.8017017738191463E-12</v>
      </c>
      <c r="GD163" s="62">
        <f t="shared" si="134"/>
        <v>293.33333333333513</v>
      </c>
      <c r="GE163" s="62">
        <f ca="1">AVERAGE(OFFSET($GD$3,0,0,'Données projet'!$E$17+1,1))-AVERAGE(OFFSET($H$3,0,0,'Données projet'!$E$17+1,1))</f>
        <v>280.20599015000306</v>
      </c>
      <c r="GF163" s="62">
        <f t="shared" si="158"/>
        <v>166.97658184507787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-5.6843418860808015E-14</v>
      </c>
      <c r="GV163" s="18">
        <f>GU163*VLOOKUP('Données projet'!$B$18,Paramètres!$A$1:$I$89,3,0)*VLOOKUP('Données projet'!$B$18,Paramètres!$A$1:$I$89,5,0)</f>
        <v>-3.813056537183002E-14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291.18686311753402</v>
      </c>
      <c r="HA163" s="62">
        <f t="shared" si="160"/>
        <v>215.44422413249839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9">
        <f t="shared" si="110"/>
        <v>256.66666666666669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260.02504691866199</v>
      </c>
      <c r="T164" s="62">
        <f t="shared" si="142"/>
        <v>270.11268336406368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0.74756375163829314</v>
      </c>
      <c r="AA164" s="23">
        <f>EXP(-LN(2)/25)*AA163+(1-EXP(-LN(2)/25))/(LN(2)/25)*Calculateur!V164*Calculateur!X164*VLOOKUP('Données projet'!$B$9,Paramètres!$A$1:$I$89,3,0)*0.475*44/12</f>
        <v>0.43491055186576744</v>
      </c>
      <c r="AB164" s="23">
        <f>EXP(-LN(2)/2)*AB163+(1-EXP(-LN(2)/2))/(LN(2)/2)*V164*Y164*VLOOKUP('Données projet'!$B$9,Paramètres!$A$1:$I$89,3,0)*0.475*44/12</f>
        <v>1.2151275475518408E-19</v>
      </c>
      <c r="AC164" s="24">
        <f t="shared" si="163"/>
        <v>1.1824743035040606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475.47920969424894</v>
      </c>
      <c r="AO164" s="62">
        <f t="shared" si="144"/>
        <v>271.73544012419364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-8.7434273154940449E-13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428.8489304403459</v>
      </c>
      <c r="BJ164" s="62">
        <f t="shared" si="146"/>
        <v>247.01165577562966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-1.9895196601282805E-13</v>
      </c>
      <c r="BZ164" s="14">
        <f>BY164*VLOOKUP('Données projet'!$B$12,Paramètres!$A$1:$I$89,3,0)*VLOOKUP('Données projet'!$B$12,Paramètres!$A$1:$I$89,5,0)</f>
        <v>-1.6138983482960614E-13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236.22643401787644</v>
      </c>
      <c r="CE164" s="62">
        <f t="shared" si="148"/>
        <v>188.80444043778022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2.8421709430404007E-13</v>
      </c>
      <c r="CU164" s="18">
        <f>CT164*VLOOKUP('Données projet'!$B$13,Paramètres!$A$1:$I$89,3,0)*VLOOKUP('Données projet'!$B$13,Paramètres!$A$1:$I$89,5,0)</f>
        <v>1.3301360013429075E-13</v>
      </c>
      <c r="CV164" s="14">
        <f t="shared" si="173"/>
        <v>1.9329766731057041E-12</v>
      </c>
      <c r="CW164" s="22">
        <f t="shared" si="174"/>
        <v>3.5982663925596575E-12</v>
      </c>
      <c r="CX164" s="62">
        <f t="shared" si="122"/>
        <v>293.3333333333369</v>
      </c>
      <c r="CY164" s="62">
        <f ca="1">AVERAGE(OFFSET($CX$3,0,0,'Données projet'!$E$13+1,1))-AVERAGE(OFFSET($H$3,0,0,'Données projet'!$E$13+1,1))</f>
        <v>246.73711856758143</v>
      </c>
      <c r="CZ164" s="62">
        <f t="shared" si="150"/>
        <v>145.54897745089966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-5.1159076974727213E-13</v>
      </c>
      <c r="DP164" s="18">
        <f>DO164*VLOOKUP('Données projet'!$B$14,Paramètres!$A$1:$I$89,3,0)*VLOOKUP('Données projet'!$B$14,Paramètres!$A$1:$I$89,5,0)</f>
        <v>-5.3471467253984886E-13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493.70175665335978</v>
      </c>
      <c r="DU164" s="62">
        <f t="shared" si="152"/>
        <v>325.12357781685949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-1.7053025658242404E-13</v>
      </c>
      <c r="EK164" s="18">
        <f>EJ164*VLOOKUP('Données projet'!$B$15,Paramètres!$A$1:$I$89,3,0)*VLOOKUP('Données projet'!$B$15,Paramètres!$A$1:$I$89,5,0)</f>
        <v>-1.4897523215040567E-13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202.86354781280403</v>
      </c>
      <c r="EP164" s="62">
        <f t="shared" si="154"/>
        <v>217.25323885665131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-1.7053025658242404E-13</v>
      </c>
      <c r="FF164" s="18">
        <f>FE164*VLOOKUP('Données projet'!$B$16,Paramètres!$A$1:$I$89,3,0)*VLOOKUP('Données projet'!$B$16,Paramètres!$A$1:$I$89,5,0)</f>
        <v>-1.6227659216383472E-13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353.61481736740694</v>
      </c>
      <c r="FK164" s="62">
        <f t="shared" si="156"/>
        <v>244.7141066773861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5.6843418860808015E-14</v>
      </c>
      <c r="GA164" s="18">
        <f>FZ164*VLOOKUP('Données projet'!$B$17,Paramètres!$A$1:$I$89,3,0)*VLOOKUP('Données projet'!$B$17,Paramètres!$A$1:$I$89,5,0)</f>
        <v>6.1186256061773749E-14</v>
      </c>
      <c r="GB164" s="14">
        <f t="shared" si="185"/>
        <v>9.7328366192051127E-13</v>
      </c>
      <c r="GC164" s="22">
        <f t="shared" si="186"/>
        <v>1.8017017738191463E-12</v>
      </c>
      <c r="GD164" s="62">
        <f t="shared" si="134"/>
        <v>293.33333333333513</v>
      </c>
      <c r="GE164" s="62">
        <f ca="1">AVERAGE(OFFSET($GD$3,0,0,'Données projet'!$E$17+1,1))-AVERAGE(OFFSET($H$3,0,0,'Données projet'!$E$17+1,1))</f>
        <v>280.20599015000306</v>
      </c>
      <c r="GF164" s="62">
        <f t="shared" si="158"/>
        <v>166.97658184507787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-5.6843418860808015E-14</v>
      </c>
      <c r="GV164" s="18">
        <f>GU164*VLOOKUP('Données projet'!$B$18,Paramètres!$A$1:$I$89,3,0)*VLOOKUP('Données projet'!$B$18,Paramètres!$A$1:$I$89,5,0)</f>
        <v>-3.813056537183002E-14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291.18686311753402</v>
      </c>
      <c r="HA164" s="62">
        <f t="shared" si="160"/>
        <v>215.44422413249839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9">
        <f t="shared" si="110"/>
        <v>256.66666666666669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260.02504691866199</v>
      </c>
      <c r="T165" s="62">
        <f t="shared" si="142"/>
        <v>270.11268336406368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0.73290448243753148</v>
      </c>
      <c r="AA165" s="23">
        <f>EXP(-LN(2)/25)*AA164+(1-EXP(-LN(2)/25))/(LN(2)/25)*Calculateur!V165*Calculateur!X165*VLOOKUP('Données projet'!$B$9,Paramètres!$A$1:$I$89,3,0)*0.475*44/12</f>
        <v>0.42301789995404609</v>
      </c>
      <c r="AB165" s="23">
        <f>EXP(-LN(2)/2)*AB164+(1-EXP(-LN(2)/2))/(LN(2)/2)*V165*Y165*VLOOKUP('Données projet'!$B$9,Paramètres!$A$1:$I$89,3,0)*0.475*44/12</f>
        <v>8.5922492888048563E-20</v>
      </c>
      <c r="AC165" s="24">
        <f t="shared" si="163"/>
        <v>1.1559223823915776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475.47920969424894</v>
      </c>
      <c r="AO165" s="62">
        <f t="shared" si="144"/>
        <v>271.73544012419364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-8.7434273154940449E-13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428.8489304403459</v>
      </c>
      <c r="BJ165" s="62">
        <f t="shared" si="146"/>
        <v>247.01165577562966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-1.9895196601282805E-13</v>
      </c>
      <c r="BZ165" s="14">
        <f>BY165*VLOOKUP('Données projet'!$B$12,Paramètres!$A$1:$I$89,3,0)*VLOOKUP('Données projet'!$B$12,Paramètres!$A$1:$I$89,5,0)</f>
        <v>-1.6138983482960614E-13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236.22643401787644</v>
      </c>
      <c r="CE165" s="62">
        <f t="shared" si="148"/>
        <v>188.80444043778022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2.8421709430404007E-13</v>
      </c>
      <c r="CU165" s="18">
        <f>CT165*VLOOKUP('Données projet'!$B$13,Paramètres!$A$1:$I$89,3,0)*VLOOKUP('Données projet'!$B$13,Paramètres!$A$1:$I$89,5,0)</f>
        <v>1.3301360013429075E-13</v>
      </c>
      <c r="CV165" s="14">
        <f t="shared" si="173"/>
        <v>1.9329766731057041E-12</v>
      </c>
      <c r="CW165" s="22">
        <f t="shared" si="174"/>
        <v>3.5982663925596575E-12</v>
      </c>
      <c r="CX165" s="62">
        <f t="shared" si="122"/>
        <v>293.3333333333369</v>
      </c>
      <c r="CY165" s="62">
        <f ca="1">AVERAGE(OFFSET($CX$3,0,0,'Données projet'!$E$13+1,1))-AVERAGE(OFFSET($H$3,0,0,'Données projet'!$E$13+1,1))</f>
        <v>246.73711856758143</v>
      </c>
      <c r="CZ165" s="62">
        <f t="shared" si="150"/>
        <v>145.54897745089966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-5.1159076974727213E-13</v>
      </c>
      <c r="DP165" s="18">
        <f>DO165*VLOOKUP('Données projet'!$B$14,Paramètres!$A$1:$I$89,3,0)*VLOOKUP('Données projet'!$B$14,Paramètres!$A$1:$I$89,5,0)</f>
        <v>-5.3471467253984886E-13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493.70175665335978</v>
      </c>
      <c r="DU165" s="62">
        <f t="shared" si="152"/>
        <v>325.12357781685949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-1.7053025658242404E-13</v>
      </c>
      <c r="EK165" s="18">
        <f>EJ165*VLOOKUP('Données projet'!$B$15,Paramètres!$A$1:$I$89,3,0)*VLOOKUP('Données projet'!$B$15,Paramètres!$A$1:$I$89,5,0)</f>
        <v>-1.4897523215040567E-13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202.86354781280403</v>
      </c>
      <c r="EP165" s="62">
        <f t="shared" si="154"/>
        <v>217.25323885665131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-1.7053025658242404E-13</v>
      </c>
      <c r="FF165" s="18">
        <f>FE165*VLOOKUP('Données projet'!$B$16,Paramètres!$A$1:$I$89,3,0)*VLOOKUP('Données projet'!$B$16,Paramètres!$A$1:$I$89,5,0)</f>
        <v>-1.6227659216383472E-13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353.61481736740694</v>
      </c>
      <c r="FK165" s="62">
        <f t="shared" si="156"/>
        <v>244.7141066773861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5.6843418860808015E-14</v>
      </c>
      <c r="GA165" s="18">
        <f>FZ165*VLOOKUP('Données projet'!$B$17,Paramètres!$A$1:$I$89,3,0)*VLOOKUP('Données projet'!$B$17,Paramètres!$A$1:$I$89,5,0)</f>
        <v>6.1186256061773749E-14</v>
      </c>
      <c r="GB165" s="14">
        <f t="shared" si="185"/>
        <v>9.7328366192051127E-13</v>
      </c>
      <c r="GC165" s="22">
        <f t="shared" si="186"/>
        <v>1.8017017738191463E-12</v>
      </c>
      <c r="GD165" s="62">
        <f t="shared" si="134"/>
        <v>293.33333333333513</v>
      </c>
      <c r="GE165" s="62">
        <f ca="1">AVERAGE(OFFSET($GD$3,0,0,'Données projet'!$E$17+1,1))-AVERAGE(OFFSET($H$3,0,0,'Données projet'!$E$17+1,1))</f>
        <v>280.20599015000306</v>
      </c>
      <c r="GF165" s="62">
        <f t="shared" si="158"/>
        <v>166.97658184507787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-5.6843418860808015E-14</v>
      </c>
      <c r="GV165" s="18">
        <f>GU165*VLOOKUP('Données projet'!$B$18,Paramètres!$A$1:$I$89,3,0)*VLOOKUP('Données projet'!$B$18,Paramètres!$A$1:$I$89,5,0)</f>
        <v>-3.813056537183002E-14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291.18686311753402</v>
      </c>
      <c r="HA165" s="62">
        <f t="shared" si="160"/>
        <v>215.44422413249839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9">
        <f t="shared" si="110"/>
        <v>256.66666666666669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260.02504691866199</v>
      </c>
      <c r="T166" s="62">
        <f t="shared" si="142"/>
        <v>270.11268336406368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0.71853267256452547</v>
      </c>
      <c r="AA166" s="23">
        <f>EXP(-LN(2)/25)*AA165+(1-EXP(-LN(2)/25))/(LN(2)/25)*Calculateur!V166*Calculateur!X166*VLOOKUP('Données projet'!$B$9,Paramètres!$A$1:$I$89,3,0)*0.475*44/12</f>
        <v>0.41145045323425816</v>
      </c>
      <c r="AB166" s="23">
        <f>EXP(-LN(2)/2)*AB165+(1-EXP(-LN(2)/2))/(LN(2)/2)*V166*Y166*VLOOKUP('Données projet'!$B$9,Paramètres!$A$1:$I$89,3,0)*0.475*44/12</f>
        <v>6.0756377377592041E-20</v>
      </c>
      <c r="AC166" s="24">
        <f t="shared" si="163"/>
        <v>1.1299831257987836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475.47920969424894</v>
      </c>
      <c r="AO166" s="62">
        <f t="shared" si="144"/>
        <v>271.73544012419364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-8.7434273154940449E-13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428.8489304403459</v>
      </c>
      <c r="BJ166" s="62">
        <f t="shared" si="146"/>
        <v>247.01165577562966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-1.9895196601282805E-13</v>
      </c>
      <c r="BZ166" s="14">
        <f>BY166*VLOOKUP('Données projet'!$B$12,Paramètres!$A$1:$I$89,3,0)*VLOOKUP('Données projet'!$B$12,Paramètres!$A$1:$I$89,5,0)</f>
        <v>-1.6138983482960614E-13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236.22643401787644</v>
      </c>
      <c r="CE166" s="62">
        <f t="shared" si="148"/>
        <v>188.80444043778022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2.8421709430404007E-13</v>
      </c>
      <c r="CU166" s="18">
        <f>CT166*VLOOKUP('Données projet'!$B$13,Paramètres!$A$1:$I$89,3,0)*VLOOKUP('Données projet'!$B$13,Paramètres!$A$1:$I$89,5,0)</f>
        <v>1.3301360013429075E-13</v>
      </c>
      <c r="CV166" s="14">
        <f t="shared" si="173"/>
        <v>1.9329766731057041E-12</v>
      </c>
      <c r="CW166" s="22">
        <f t="shared" si="174"/>
        <v>3.5982663925596575E-12</v>
      </c>
      <c r="CX166" s="62">
        <f t="shared" si="122"/>
        <v>293.3333333333369</v>
      </c>
      <c r="CY166" s="62">
        <f ca="1">AVERAGE(OFFSET($CX$3,0,0,'Données projet'!$E$13+1,1))-AVERAGE(OFFSET($H$3,0,0,'Données projet'!$E$13+1,1))</f>
        <v>246.73711856758143</v>
      </c>
      <c r="CZ166" s="62">
        <f t="shared" si="150"/>
        <v>145.54897745089966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-5.1159076974727213E-13</v>
      </c>
      <c r="DP166" s="18">
        <f>DO166*VLOOKUP('Données projet'!$B$14,Paramètres!$A$1:$I$89,3,0)*VLOOKUP('Données projet'!$B$14,Paramètres!$A$1:$I$89,5,0)</f>
        <v>-5.3471467253984886E-13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493.70175665335978</v>
      </c>
      <c r="DU166" s="62">
        <f t="shared" si="152"/>
        <v>325.12357781685949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-1.7053025658242404E-13</v>
      </c>
      <c r="EK166" s="18">
        <f>EJ166*VLOOKUP('Données projet'!$B$15,Paramètres!$A$1:$I$89,3,0)*VLOOKUP('Données projet'!$B$15,Paramètres!$A$1:$I$89,5,0)</f>
        <v>-1.4897523215040567E-13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202.86354781280403</v>
      </c>
      <c r="EP166" s="62">
        <f t="shared" si="154"/>
        <v>217.25323885665131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-1.7053025658242404E-13</v>
      </c>
      <c r="FF166" s="18">
        <f>FE166*VLOOKUP('Données projet'!$B$16,Paramètres!$A$1:$I$89,3,0)*VLOOKUP('Données projet'!$B$16,Paramètres!$A$1:$I$89,5,0)</f>
        <v>-1.6227659216383472E-13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353.61481736740694</v>
      </c>
      <c r="FK166" s="62">
        <f t="shared" si="156"/>
        <v>244.7141066773861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5.6843418860808015E-14</v>
      </c>
      <c r="GA166" s="18">
        <f>FZ166*VLOOKUP('Données projet'!$B$17,Paramètres!$A$1:$I$89,3,0)*VLOOKUP('Données projet'!$B$17,Paramètres!$A$1:$I$89,5,0)</f>
        <v>6.1186256061773749E-14</v>
      </c>
      <c r="GB166" s="14">
        <f t="shared" si="185"/>
        <v>9.7328366192051127E-13</v>
      </c>
      <c r="GC166" s="22">
        <f t="shared" si="186"/>
        <v>1.8017017738191463E-12</v>
      </c>
      <c r="GD166" s="62">
        <f t="shared" si="134"/>
        <v>293.33333333333513</v>
      </c>
      <c r="GE166" s="62">
        <f ca="1">AVERAGE(OFFSET($GD$3,0,0,'Données projet'!$E$17+1,1))-AVERAGE(OFFSET($H$3,0,0,'Données projet'!$E$17+1,1))</f>
        <v>280.20599015000306</v>
      </c>
      <c r="GF166" s="62">
        <f t="shared" si="158"/>
        <v>166.97658184507787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-5.6843418860808015E-14</v>
      </c>
      <c r="GV166" s="18">
        <f>GU166*VLOOKUP('Données projet'!$B$18,Paramètres!$A$1:$I$89,3,0)*VLOOKUP('Données projet'!$B$18,Paramètres!$A$1:$I$89,5,0)</f>
        <v>-3.813056537183002E-14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291.18686311753402</v>
      </c>
      <c r="HA166" s="62">
        <f t="shared" si="160"/>
        <v>215.44422413249839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9">
        <f t="shared" si="110"/>
        <v>256.66666666666669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260.02504691866199</v>
      </c>
      <c r="T167" s="62">
        <f t="shared" si="142"/>
        <v>270.11268336406368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0.70444268511719066</v>
      </c>
      <c r="AA167" s="23">
        <f>EXP(-LN(2)/25)*AA166+(1-EXP(-LN(2)/25))/(LN(2)/25)*Calculateur!V167*Calculateur!X167*VLOOKUP('Données projet'!$B$9,Paramètres!$A$1:$I$89,3,0)*0.475*44/12</f>
        <v>0.40019931895332844</v>
      </c>
      <c r="AB167" s="23">
        <f>EXP(-LN(2)/2)*AB166+(1-EXP(-LN(2)/2))/(LN(2)/2)*V167*Y167*VLOOKUP('Données projet'!$B$9,Paramètres!$A$1:$I$89,3,0)*0.475*44/12</f>
        <v>4.2961246444024282E-20</v>
      </c>
      <c r="AC167" s="24">
        <f t="shared" si="163"/>
        <v>1.1046420040705192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475.47920969424894</v>
      </c>
      <c r="AO167" s="62">
        <f t="shared" si="144"/>
        <v>271.73544012419364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-8.7434273154940449E-13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428.8489304403459</v>
      </c>
      <c r="BJ167" s="62">
        <f t="shared" si="146"/>
        <v>247.01165577562966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-1.9895196601282805E-13</v>
      </c>
      <c r="BZ167" s="14">
        <f>BY167*VLOOKUP('Données projet'!$B$12,Paramètres!$A$1:$I$89,3,0)*VLOOKUP('Données projet'!$B$12,Paramètres!$A$1:$I$89,5,0)</f>
        <v>-1.6138983482960614E-13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236.22643401787644</v>
      </c>
      <c r="CE167" s="62">
        <f t="shared" si="148"/>
        <v>188.80444043778022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2.8421709430404007E-13</v>
      </c>
      <c r="CU167" s="18">
        <f>CT167*VLOOKUP('Données projet'!$B$13,Paramètres!$A$1:$I$89,3,0)*VLOOKUP('Données projet'!$B$13,Paramètres!$A$1:$I$89,5,0)</f>
        <v>1.3301360013429075E-13</v>
      </c>
      <c r="CV167" s="14">
        <f t="shared" si="173"/>
        <v>1.9329766731057041E-12</v>
      </c>
      <c r="CW167" s="22">
        <f t="shared" si="174"/>
        <v>3.5982663925596575E-12</v>
      </c>
      <c r="CX167" s="62">
        <f t="shared" si="122"/>
        <v>293.3333333333369</v>
      </c>
      <c r="CY167" s="62">
        <f ca="1">AVERAGE(OFFSET($CX$3,0,0,'Données projet'!$E$13+1,1))-AVERAGE(OFFSET($H$3,0,0,'Données projet'!$E$13+1,1))</f>
        <v>246.73711856758143</v>
      </c>
      <c r="CZ167" s="62">
        <f t="shared" si="150"/>
        <v>145.54897745089966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-5.1159076974727213E-13</v>
      </c>
      <c r="DP167" s="18">
        <f>DO167*VLOOKUP('Données projet'!$B$14,Paramètres!$A$1:$I$89,3,0)*VLOOKUP('Données projet'!$B$14,Paramètres!$A$1:$I$89,5,0)</f>
        <v>-5.3471467253984886E-13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493.70175665335978</v>
      </c>
      <c r="DU167" s="62">
        <f t="shared" si="152"/>
        <v>325.12357781685949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-1.7053025658242404E-13</v>
      </c>
      <c r="EK167" s="18">
        <f>EJ167*VLOOKUP('Données projet'!$B$15,Paramètres!$A$1:$I$89,3,0)*VLOOKUP('Données projet'!$B$15,Paramètres!$A$1:$I$89,5,0)</f>
        <v>-1.4897523215040567E-13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202.86354781280403</v>
      </c>
      <c r="EP167" s="62">
        <f t="shared" si="154"/>
        <v>217.25323885665131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-1.7053025658242404E-13</v>
      </c>
      <c r="FF167" s="18">
        <f>FE167*VLOOKUP('Données projet'!$B$16,Paramètres!$A$1:$I$89,3,0)*VLOOKUP('Données projet'!$B$16,Paramètres!$A$1:$I$89,5,0)</f>
        <v>-1.6227659216383472E-13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353.61481736740694</v>
      </c>
      <c r="FK167" s="62">
        <f t="shared" si="156"/>
        <v>244.7141066773861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5.6843418860808015E-14</v>
      </c>
      <c r="GA167" s="18">
        <f>FZ167*VLOOKUP('Données projet'!$B$17,Paramètres!$A$1:$I$89,3,0)*VLOOKUP('Données projet'!$B$17,Paramètres!$A$1:$I$89,5,0)</f>
        <v>6.1186256061773749E-14</v>
      </c>
      <c r="GB167" s="14">
        <f t="shared" si="185"/>
        <v>9.7328366192051127E-13</v>
      </c>
      <c r="GC167" s="22">
        <f t="shared" si="186"/>
        <v>1.8017017738191463E-12</v>
      </c>
      <c r="GD167" s="62">
        <f t="shared" si="134"/>
        <v>293.33333333333513</v>
      </c>
      <c r="GE167" s="62">
        <f ca="1">AVERAGE(OFFSET($GD$3,0,0,'Données projet'!$E$17+1,1))-AVERAGE(OFFSET($H$3,0,0,'Données projet'!$E$17+1,1))</f>
        <v>280.20599015000306</v>
      </c>
      <c r="GF167" s="62">
        <f t="shared" si="158"/>
        <v>166.97658184507787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-5.6843418860808015E-14</v>
      </c>
      <c r="GV167" s="18">
        <f>GU167*VLOOKUP('Données projet'!$B$18,Paramètres!$A$1:$I$89,3,0)*VLOOKUP('Données projet'!$B$18,Paramètres!$A$1:$I$89,5,0)</f>
        <v>-3.813056537183002E-14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291.18686311753402</v>
      </c>
      <c r="HA167" s="62">
        <f t="shared" si="160"/>
        <v>215.44422413249839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9">
        <f t="shared" si="110"/>
        <v>256.66666666666669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260.02504691866199</v>
      </c>
      <c r="T168" s="62">
        <f t="shared" si="142"/>
        <v>270.11268336406368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0.69062899372965436</v>
      </c>
      <c r="AA168" s="23">
        <f>EXP(-LN(2)/25)*AA167+(1-EXP(-LN(2)/25))/(LN(2)/25)*Calculateur!V168*Calculateur!X168*VLOOKUP('Données projet'!$B$9,Paramètres!$A$1:$I$89,3,0)*0.475*44/12</f>
        <v>0.38925584753098214</v>
      </c>
      <c r="AB168" s="23">
        <f>EXP(-LN(2)/2)*AB167+(1-EXP(-LN(2)/2))/(LN(2)/2)*V168*Y168*VLOOKUP('Données projet'!$B$9,Paramètres!$A$1:$I$89,3,0)*0.475*44/12</f>
        <v>3.0378188688796021E-20</v>
      </c>
      <c r="AC168" s="24">
        <f t="shared" si="163"/>
        <v>1.0798848412606366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475.47920969424894</v>
      </c>
      <c r="AO168" s="62">
        <f t="shared" si="144"/>
        <v>271.73544012419364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-8.7434273154940449E-13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428.8489304403459</v>
      </c>
      <c r="BJ168" s="62">
        <f t="shared" si="146"/>
        <v>247.01165577562966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-1.9895196601282805E-13</v>
      </c>
      <c r="BZ168" s="14">
        <f>BY168*VLOOKUP('Données projet'!$B$12,Paramètres!$A$1:$I$89,3,0)*VLOOKUP('Données projet'!$B$12,Paramètres!$A$1:$I$89,5,0)</f>
        <v>-1.6138983482960614E-13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236.22643401787644</v>
      </c>
      <c r="CE168" s="62">
        <f t="shared" si="148"/>
        <v>188.80444043778022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2.8421709430404007E-13</v>
      </c>
      <c r="CU168" s="18">
        <f>CT168*VLOOKUP('Données projet'!$B$13,Paramètres!$A$1:$I$89,3,0)*VLOOKUP('Données projet'!$B$13,Paramètres!$A$1:$I$89,5,0)</f>
        <v>1.3301360013429075E-13</v>
      </c>
      <c r="CV168" s="14">
        <f t="shared" si="173"/>
        <v>1.9329766731057041E-12</v>
      </c>
      <c r="CW168" s="22">
        <f t="shared" si="174"/>
        <v>3.5982663925596575E-12</v>
      </c>
      <c r="CX168" s="62">
        <f t="shared" si="122"/>
        <v>293.3333333333369</v>
      </c>
      <c r="CY168" s="62">
        <f ca="1">AVERAGE(OFFSET($CX$3,0,0,'Données projet'!$E$13+1,1))-AVERAGE(OFFSET($H$3,0,0,'Données projet'!$E$13+1,1))</f>
        <v>246.73711856758143</v>
      </c>
      <c r="CZ168" s="62">
        <f t="shared" si="150"/>
        <v>145.54897745089966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-5.1159076974727213E-13</v>
      </c>
      <c r="DP168" s="18">
        <f>DO168*VLOOKUP('Données projet'!$B$14,Paramètres!$A$1:$I$89,3,0)*VLOOKUP('Données projet'!$B$14,Paramètres!$A$1:$I$89,5,0)</f>
        <v>-5.3471467253984886E-13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493.70175665335978</v>
      </c>
      <c r="DU168" s="62">
        <f t="shared" si="152"/>
        <v>325.12357781685949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-1.7053025658242404E-13</v>
      </c>
      <c r="EK168" s="18">
        <f>EJ168*VLOOKUP('Données projet'!$B$15,Paramètres!$A$1:$I$89,3,0)*VLOOKUP('Données projet'!$B$15,Paramètres!$A$1:$I$89,5,0)</f>
        <v>-1.4897523215040567E-13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202.86354781280403</v>
      </c>
      <c r="EP168" s="62">
        <f t="shared" si="154"/>
        <v>217.25323885665131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-1.7053025658242404E-13</v>
      </c>
      <c r="FF168" s="18">
        <f>FE168*VLOOKUP('Données projet'!$B$16,Paramètres!$A$1:$I$89,3,0)*VLOOKUP('Données projet'!$B$16,Paramètres!$A$1:$I$89,5,0)</f>
        <v>-1.6227659216383472E-13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353.61481736740694</v>
      </c>
      <c r="FK168" s="62">
        <f t="shared" si="156"/>
        <v>244.7141066773861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5.6843418860808015E-14</v>
      </c>
      <c r="GA168" s="18">
        <f>FZ168*VLOOKUP('Données projet'!$B$17,Paramètres!$A$1:$I$89,3,0)*VLOOKUP('Données projet'!$B$17,Paramètres!$A$1:$I$89,5,0)</f>
        <v>6.1186256061773749E-14</v>
      </c>
      <c r="GB168" s="14">
        <f t="shared" si="185"/>
        <v>9.7328366192051127E-13</v>
      </c>
      <c r="GC168" s="22">
        <f t="shared" si="186"/>
        <v>1.8017017738191463E-12</v>
      </c>
      <c r="GD168" s="62">
        <f t="shared" si="134"/>
        <v>293.33333333333513</v>
      </c>
      <c r="GE168" s="62">
        <f ca="1">AVERAGE(OFFSET($GD$3,0,0,'Données projet'!$E$17+1,1))-AVERAGE(OFFSET($H$3,0,0,'Données projet'!$E$17+1,1))</f>
        <v>280.20599015000306</v>
      </c>
      <c r="GF168" s="62">
        <f t="shared" si="158"/>
        <v>166.97658184507787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-5.6843418860808015E-14</v>
      </c>
      <c r="GV168" s="18">
        <f>GU168*VLOOKUP('Données projet'!$B$18,Paramètres!$A$1:$I$89,3,0)*VLOOKUP('Données projet'!$B$18,Paramètres!$A$1:$I$89,5,0)</f>
        <v>-3.813056537183002E-14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291.18686311753402</v>
      </c>
      <c r="HA168" s="62">
        <f t="shared" si="160"/>
        <v>215.44422413249839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9">
        <f t="shared" si="110"/>
        <v>256.66666666666669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260.02504691866199</v>
      </c>
      <c r="T169" s="62">
        <f t="shared" si="142"/>
        <v>270.11268336406368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0.6770861804047078</v>
      </c>
      <c r="AA169" s="23">
        <f>EXP(-LN(2)/25)*AA168+(1-EXP(-LN(2)/25))/(LN(2)/25)*Calculateur!V169*Calculateur!X169*VLOOKUP('Données projet'!$B$9,Paramètres!$A$1:$I$89,3,0)*0.475*44/12</f>
        <v>0.37861162591017206</v>
      </c>
      <c r="AB169" s="23">
        <f>EXP(-LN(2)/2)*AB168+(1-EXP(-LN(2)/2))/(LN(2)/2)*V169*Y169*VLOOKUP('Données projet'!$B$9,Paramètres!$A$1:$I$89,3,0)*0.475*44/12</f>
        <v>2.1480623222012141E-20</v>
      </c>
      <c r="AC169" s="24">
        <f t="shared" si="163"/>
        <v>1.0556978063148799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475.47920969424894</v>
      </c>
      <c r="AO169" s="62">
        <f t="shared" si="144"/>
        <v>271.73544012419364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-8.7434273154940449E-13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428.8489304403459</v>
      </c>
      <c r="BJ169" s="62">
        <f t="shared" si="146"/>
        <v>247.01165577562966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-1.9895196601282805E-13</v>
      </c>
      <c r="BZ169" s="14">
        <f>BY169*VLOOKUP('Données projet'!$B$12,Paramètres!$A$1:$I$89,3,0)*VLOOKUP('Données projet'!$B$12,Paramètres!$A$1:$I$89,5,0)</f>
        <v>-1.6138983482960614E-13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236.22643401787644</v>
      </c>
      <c r="CE169" s="62">
        <f t="shared" si="148"/>
        <v>188.80444043778022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2.8421709430404007E-13</v>
      </c>
      <c r="CU169" s="18">
        <f>CT169*VLOOKUP('Données projet'!$B$13,Paramètres!$A$1:$I$89,3,0)*VLOOKUP('Données projet'!$B$13,Paramètres!$A$1:$I$89,5,0)</f>
        <v>1.3301360013429075E-13</v>
      </c>
      <c r="CV169" s="14">
        <f t="shared" si="173"/>
        <v>1.9329766731057041E-12</v>
      </c>
      <c r="CW169" s="22">
        <f t="shared" si="174"/>
        <v>3.5982663925596575E-12</v>
      </c>
      <c r="CX169" s="62">
        <f t="shared" si="122"/>
        <v>293.3333333333369</v>
      </c>
      <c r="CY169" s="62">
        <f ca="1">AVERAGE(OFFSET($CX$3,0,0,'Données projet'!$E$13+1,1))-AVERAGE(OFFSET($H$3,0,0,'Données projet'!$E$13+1,1))</f>
        <v>246.73711856758143</v>
      </c>
      <c r="CZ169" s="62">
        <f t="shared" si="150"/>
        <v>145.54897745089966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-5.1159076974727213E-13</v>
      </c>
      <c r="DP169" s="18">
        <f>DO169*VLOOKUP('Données projet'!$B$14,Paramètres!$A$1:$I$89,3,0)*VLOOKUP('Données projet'!$B$14,Paramètres!$A$1:$I$89,5,0)</f>
        <v>-5.3471467253984886E-13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493.70175665335978</v>
      </c>
      <c r="DU169" s="62">
        <f t="shared" si="152"/>
        <v>325.12357781685949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-1.7053025658242404E-13</v>
      </c>
      <c r="EK169" s="18">
        <f>EJ169*VLOOKUP('Données projet'!$B$15,Paramètres!$A$1:$I$89,3,0)*VLOOKUP('Données projet'!$B$15,Paramètres!$A$1:$I$89,5,0)</f>
        <v>-1.4897523215040567E-13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202.86354781280403</v>
      </c>
      <c r="EP169" s="62">
        <f t="shared" si="154"/>
        <v>217.25323885665131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-1.7053025658242404E-13</v>
      </c>
      <c r="FF169" s="18">
        <f>FE169*VLOOKUP('Données projet'!$B$16,Paramètres!$A$1:$I$89,3,0)*VLOOKUP('Données projet'!$B$16,Paramètres!$A$1:$I$89,5,0)</f>
        <v>-1.6227659216383472E-13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353.61481736740694</v>
      </c>
      <c r="FK169" s="62">
        <f t="shared" si="156"/>
        <v>244.7141066773861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5.6843418860808015E-14</v>
      </c>
      <c r="GA169" s="18">
        <f>FZ169*VLOOKUP('Données projet'!$B$17,Paramètres!$A$1:$I$89,3,0)*VLOOKUP('Données projet'!$B$17,Paramètres!$A$1:$I$89,5,0)</f>
        <v>6.1186256061773749E-14</v>
      </c>
      <c r="GB169" s="14">
        <f t="shared" si="185"/>
        <v>9.7328366192051127E-13</v>
      </c>
      <c r="GC169" s="22">
        <f t="shared" si="186"/>
        <v>1.8017017738191463E-12</v>
      </c>
      <c r="GD169" s="62">
        <f t="shared" si="134"/>
        <v>293.33333333333513</v>
      </c>
      <c r="GE169" s="62">
        <f ca="1">AVERAGE(OFFSET($GD$3,0,0,'Données projet'!$E$17+1,1))-AVERAGE(OFFSET($H$3,0,0,'Données projet'!$E$17+1,1))</f>
        <v>280.20599015000306</v>
      </c>
      <c r="GF169" s="62">
        <f t="shared" si="158"/>
        <v>166.97658184507787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-5.6843418860808015E-14</v>
      </c>
      <c r="GV169" s="18">
        <f>GU169*VLOOKUP('Données projet'!$B$18,Paramètres!$A$1:$I$89,3,0)*VLOOKUP('Données projet'!$B$18,Paramètres!$A$1:$I$89,5,0)</f>
        <v>-3.813056537183002E-14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291.18686311753402</v>
      </c>
      <c r="HA169" s="62">
        <f t="shared" si="160"/>
        <v>215.44422413249839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9">
        <f t="shared" si="110"/>
        <v>256.66666666666669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260.02504691866199</v>
      </c>
      <c r="T170" s="62">
        <f t="shared" si="142"/>
        <v>270.11268336406368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0.66380893338876301</v>
      </c>
      <c r="AA170" s="23">
        <f>EXP(-LN(2)/25)*AA169+(1-EXP(-LN(2)/25))/(LN(2)/25)*Calculateur!V170*Calculateur!X170*VLOOKUP('Données projet'!$B$9,Paramètres!$A$1:$I$89,3,0)*0.475*44/12</f>
        <v>0.36825847108933835</v>
      </c>
      <c r="AB170" s="23">
        <f>EXP(-LN(2)/2)*AB169+(1-EXP(-LN(2)/2))/(LN(2)/2)*V170*Y170*VLOOKUP('Données projet'!$B$9,Paramètres!$A$1:$I$89,3,0)*0.475*44/12</f>
        <v>1.518909434439801E-20</v>
      </c>
      <c r="AC170" s="24">
        <f t="shared" si="163"/>
        <v>1.0320674044781013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475.47920969424894</v>
      </c>
      <c r="AO170" s="62">
        <f t="shared" si="144"/>
        <v>271.73544012419364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-8.7434273154940449E-13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428.8489304403459</v>
      </c>
      <c r="BJ170" s="62">
        <f t="shared" si="146"/>
        <v>247.01165577562966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-1.9895196601282805E-13</v>
      </c>
      <c r="BZ170" s="14">
        <f>BY170*VLOOKUP('Données projet'!$B$12,Paramètres!$A$1:$I$89,3,0)*VLOOKUP('Données projet'!$B$12,Paramètres!$A$1:$I$89,5,0)</f>
        <v>-1.6138983482960614E-13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236.22643401787644</v>
      </c>
      <c r="CE170" s="62">
        <f t="shared" si="148"/>
        <v>188.80444043778022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2.8421709430404007E-13</v>
      </c>
      <c r="CU170" s="18">
        <f>CT170*VLOOKUP('Données projet'!$B$13,Paramètres!$A$1:$I$89,3,0)*VLOOKUP('Données projet'!$B$13,Paramètres!$A$1:$I$89,5,0)</f>
        <v>1.3301360013429075E-13</v>
      </c>
      <c r="CV170" s="14">
        <f t="shared" si="173"/>
        <v>1.9329766731057041E-12</v>
      </c>
      <c r="CW170" s="22">
        <f t="shared" si="174"/>
        <v>3.5982663925596575E-12</v>
      </c>
      <c r="CX170" s="62">
        <f t="shared" si="122"/>
        <v>293.3333333333369</v>
      </c>
      <c r="CY170" s="62">
        <f ca="1">AVERAGE(OFFSET($CX$3,0,0,'Données projet'!$E$13+1,1))-AVERAGE(OFFSET($H$3,0,0,'Données projet'!$E$13+1,1))</f>
        <v>246.73711856758143</v>
      </c>
      <c r="CZ170" s="62">
        <f t="shared" si="150"/>
        <v>145.54897745089966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-5.1159076974727213E-13</v>
      </c>
      <c r="DP170" s="18">
        <f>DO170*VLOOKUP('Données projet'!$B$14,Paramètres!$A$1:$I$89,3,0)*VLOOKUP('Données projet'!$B$14,Paramètres!$A$1:$I$89,5,0)</f>
        <v>-5.3471467253984886E-13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493.70175665335978</v>
      </c>
      <c r="DU170" s="62">
        <f t="shared" si="152"/>
        <v>325.12357781685949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-1.7053025658242404E-13</v>
      </c>
      <c r="EK170" s="18">
        <f>EJ170*VLOOKUP('Données projet'!$B$15,Paramètres!$A$1:$I$89,3,0)*VLOOKUP('Données projet'!$B$15,Paramètres!$A$1:$I$89,5,0)</f>
        <v>-1.4897523215040567E-13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202.86354781280403</v>
      </c>
      <c r="EP170" s="62">
        <f t="shared" si="154"/>
        <v>217.25323885665131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-1.7053025658242404E-13</v>
      </c>
      <c r="FF170" s="18">
        <f>FE170*VLOOKUP('Données projet'!$B$16,Paramètres!$A$1:$I$89,3,0)*VLOOKUP('Données projet'!$B$16,Paramètres!$A$1:$I$89,5,0)</f>
        <v>-1.6227659216383472E-13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353.61481736740694</v>
      </c>
      <c r="FK170" s="62">
        <f t="shared" si="156"/>
        <v>244.7141066773861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5.6843418860808015E-14</v>
      </c>
      <c r="GA170" s="18">
        <f>FZ170*VLOOKUP('Données projet'!$B$17,Paramètres!$A$1:$I$89,3,0)*VLOOKUP('Données projet'!$B$17,Paramètres!$A$1:$I$89,5,0)</f>
        <v>6.1186256061773749E-14</v>
      </c>
      <c r="GB170" s="14">
        <f t="shared" si="185"/>
        <v>9.7328366192051127E-13</v>
      </c>
      <c r="GC170" s="22">
        <f t="shared" si="186"/>
        <v>1.8017017738191463E-12</v>
      </c>
      <c r="GD170" s="62">
        <f t="shared" si="134"/>
        <v>293.33333333333513</v>
      </c>
      <c r="GE170" s="62">
        <f ca="1">AVERAGE(OFFSET($GD$3,0,0,'Données projet'!$E$17+1,1))-AVERAGE(OFFSET($H$3,0,0,'Données projet'!$E$17+1,1))</f>
        <v>280.20599015000306</v>
      </c>
      <c r="GF170" s="62">
        <f t="shared" si="158"/>
        <v>166.97658184507787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-5.6843418860808015E-14</v>
      </c>
      <c r="GV170" s="18">
        <f>GU170*VLOOKUP('Données projet'!$B$18,Paramètres!$A$1:$I$89,3,0)*VLOOKUP('Données projet'!$B$18,Paramètres!$A$1:$I$89,5,0)</f>
        <v>-3.813056537183002E-14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291.18686311753402</v>
      </c>
      <c r="HA170" s="62">
        <f t="shared" si="160"/>
        <v>215.44422413249839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9">
        <f t="shared" si="110"/>
        <v>256.66666666666669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260.02504691866199</v>
      </c>
      <c r="T171" s="62">
        <f t="shared" si="142"/>
        <v>270.11268336406368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0.65079204508847976</v>
      </c>
      <c r="AA171" s="23">
        <f>EXP(-LN(2)/25)*AA170+(1-EXP(-LN(2)/25))/(LN(2)/25)*Calculateur!V171*Calculateur!X171*VLOOKUP('Données projet'!$B$9,Paramètres!$A$1:$I$89,3,0)*0.475*44/12</f>
        <v>0.35818842383152905</v>
      </c>
      <c r="AB171" s="23">
        <f>EXP(-LN(2)/2)*AB170+(1-EXP(-LN(2)/2))/(LN(2)/2)*V171*Y171*VLOOKUP('Données projet'!$B$9,Paramètres!$A$1:$I$89,3,0)*0.475*44/12</f>
        <v>1.074031161100607E-20</v>
      </c>
      <c r="AC171" s="24">
        <f t="shared" si="163"/>
        <v>1.0089804689200088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475.47920969424894</v>
      </c>
      <c r="AO171" s="62">
        <f t="shared" si="144"/>
        <v>271.73544012419364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-8.7434273154940449E-13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428.8489304403459</v>
      </c>
      <c r="BJ171" s="62">
        <f t="shared" si="146"/>
        <v>247.01165577562966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-1.9895196601282805E-13</v>
      </c>
      <c r="BZ171" s="14">
        <f>BY171*VLOOKUP('Données projet'!$B$12,Paramètres!$A$1:$I$89,3,0)*VLOOKUP('Données projet'!$B$12,Paramètres!$A$1:$I$89,5,0)</f>
        <v>-1.6138983482960614E-13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236.22643401787644</v>
      </c>
      <c r="CE171" s="62">
        <f t="shared" si="148"/>
        <v>188.80444043778022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2.8421709430404007E-13</v>
      </c>
      <c r="CU171" s="18">
        <f>CT171*VLOOKUP('Données projet'!$B$13,Paramètres!$A$1:$I$89,3,0)*VLOOKUP('Données projet'!$B$13,Paramètres!$A$1:$I$89,5,0)</f>
        <v>1.3301360013429075E-13</v>
      </c>
      <c r="CV171" s="14">
        <f t="shared" si="173"/>
        <v>1.9329766731057041E-12</v>
      </c>
      <c r="CW171" s="22">
        <f t="shared" si="174"/>
        <v>3.5982663925596575E-12</v>
      </c>
      <c r="CX171" s="62">
        <f t="shared" si="122"/>
        <v>293.3333333333369</v>
      </c>
      <c r="CY171" s="62">
        <f ca="1">AVERAGE(OFFSET($CX$3,0,0,'Données projet'!$E$13+1,1))-AVERAGE(OFFSET($H$3,0,0,'Données projet'!$E$13+1,1))</f>
        <v>246.73711856758143</v>
      </c>
      <c r="CZ171" s="62">
        <f t="shared" si="150"/>
        <v>145.54897745089966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-5.1159076974727213E-13</v>
      </c>
      <c r="DP171" s="18">
        <f>DO171*VLOOKUP('Données projet'!$B$14,Paramètres!$A$1:$I$89,3,0)*VLOOKUP('Données projet'!$B$14,Paramètres!$A$1:$I$89,5,0)</f>
        <v>-5.3471467253984886E-13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493.70175665335978</v>
      </c>
      <c r="DU171" s="62">
        <f t="shared" si="152"/>
        <v>325.12357781685949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-1.7053025658242404E-13</v>
      </c>
      <c r="EK171" s="18">
        <f>EJ171*VLOOKUP('Données projet'!$B$15,Paramètres!$A$1:$I$89,3,0)*VLOOKUP('Données projet'!$B$15,Paramètres!$A$1:$I$89,5,0)</f>
        <v>-1.4897523215040567E-13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202.86354781280403</v>
      </c>
      <c r="EP171" s="62">
        <f t="shared" si="154"/>
        <v>217.25323885665131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-1.7053025658242404E-13</v>
      </c>
      <c r="FF171" s="18">
        <f>FE171*VLOOKUP('Données projet'!$B$16,Paramètres!$A$1:$I$89,3,0)*VLOOKUP('Données projet'!$B$16,Paramètres!$A$1:$I$89,5,0)</f>
        <v>-1.6227659216383472E-13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353.61481736740694</v>
      </c>
      <c r="FK171" s="62">
        <f t="shared" si="156"/>
        <v>244.7141066773861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5.6843418860808015E-14</v>
      </c>
      <c r="GA171" s="18">
        <f>FZ171*VLOOKUP('Données projet'!$B$17,Paramètres!$A$1:$I$89,3,0)*VLOOKUP('Données projet'!$B$17,Paramètres!$A$1:$I$89,5,0)</f>
        <v>6.1186256061773749E-14</v>
      </c>
      <c r="GB171" s="14">
        <f t="shared" si="185"/>
        <v>9.7328366192051127E-13</v>
      </c>
      <c r="GC171" s="22">
        <f t="shared" si="186"/>
        <v>1.8017017738191463E-12</v>
      </c>
      <c r="GD171" s="62">
        <f t="shared" si="134"/>
        <v>293.33333333333513</v>
      </c>
      <c r="GE171" s="62">
        <f ca="1">AVERAGE(OFFSET($GD$3,0,0,'Données projet'!$E$17+1,1))-AVERAGE(OFFSET($H$3,0,0,'Données projet'!$E$17+1,1))</f>
        <v>280.20599015000306</v>
      </c>
      <c r="GF171" s="62">
        <f t="shared" si="158"/>
        <v>166.97658184507787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-5.6843418860808015E-14</v>
      </c>
      <c r="GV171" s="18">
        <f>GU171*VLOOKUP('Données projet'!$B$18,Paramètres!$A$1:$I$89,3,0)*VLOOKUP('Données projet'!$B$18,Paramètres!$A$1:$I$89,5,0)</f>
        <v>-3.813056537183002E-14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291.18686311753402</v>
      </c>
      <c r="HA171" s="62">
        <f t="shared" si="160"/>
        <v>215.44422413249839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9">
        <f t="shared" si="110"/>
        <v>256.66666666666669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260.02504691866199</v>
      </c>
      <c r="T172" s="62">
        <f t="shared" si="142"/>
        <v>270.11268336406368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0.63803041002824723</v>
      </c>
      <c r="AA172" s="23">
        <f>EXP(-LN(2)/25)*AA171+(1-EXP(-LN(2)/25))/(LN(2)/25)*Calculateur!V172*Calculateur!X172*VLOOKUP('Données projet'!$B$9,Paramètres!$A$1:$I$89,3,0)*0.475*44/12</f>
        <v>0.34839374254554534</v>
      </c>
      <c r="AB172" s="23">
        <f>EXP(-LN(2)/2)*AB171+(1-EXP(-LN(2)/2))/(LN(2)/2)*V172*Y172*VLOOKUP('Données projet'!$B$9,Paramètres!$A$1:$I$89,3,0)*0.475*44/12</f>
        <v>7.5945471721990052E-21</v>
      </c>
      <c r="AC172" s="24">
        <f t="shared" si="163"/>
        <v>0.98642415257379257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475.47920969424894</v>
      </c>
      <c r="AO172" s="62">
        <f t="shared" si="144"/>
        <v>271.73544012419364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-8.7434273154940449E-13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428.8489304403459</v>
      </c>
      <c r="BJ172" s="62">
        <f t="shared" si="146"/>
        <v>247.01165577562966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-1.9895196601282805E-13</v>
      </c>
      <c r="BZ172" s="14">
        <f>BY172*VLOOKUP('Données projet'!$B$12,Paramètres!$A$1:$I$89,3,0)*VLOOKUP('Données projet'!$B$12,Paramètres!$A$1:$I$89,5,0)</f>
        <v>-1.6138983482960614E-13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236.22643401787644</v>
      </c>
      <c r="CE172" s="62">
        <f t="shared" si="148"/>
        <v>188.80444043778022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2.8421709430404007E-13</v>
      </c>
      <c r="CU172" s="18">
        <f>CT172*VLOOKUP('Données projet'!$B$13,Paramètres!$A$1:$I$89,3,0)*VLOOKUP('Données projet'!$B$13,Paramètres!$A$1:$I$89,5,0)</f>
        <v>1.3301360013429075E-13</v>
      </c>
      <c r="CV172" s="14">
        <f t="shared" si="173"/>
        <v>1.9329766731057041E-12</v>
      </c>
      <c r="CW172" s="22">
        <f t="shared" si="174"/>
        <v>3.5982663925596575E-12</v>
      </c>
      <c r="CX172" s="62">
        <f t="shared" si="122"/>
        <v>293.3333333333369</v>
      </c>
      <c r="CY172" s="62">
        <f ca="1">AVERAGE(OFFSET($CX$3,0,0,'Données projet'!$E$13+1,1))-AVERAGE(OFFSET($H$3,0,0,'Données projet'!$E$13+1,1))</f>
        <v>246.73711856758143</v>
      </c>
      <c r="CZ172" s="62">
        <f t="shared" si="150"/>
        <v>145.54897745089966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-5.1159076974727213E-13</v>
      </c>
      <c r="DP172" s="18">
        <f>DO172*VLOOKUP('Données projet'!$B$14,Paramètres!$A$1:$I$89,3,0)*VLOOKUP('Données projet'!$B$14,Paramètres!$A$1:$I$89,5,0)</f>
        <v>-5.3471467253984886E-13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493.70175665335978</v>
      </c>
      <c r="DU172" s="62">
        <f t="shared" si="152"/>
        <v>325.12357781685949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-1.7053025658242404E-13</v>
      </c>
      <c r="EK172" s="18">
        <f>EJ172*VLOOKUP('Données projet'!$B$15,Paramètres!$A$1:$I$89,3,0)*VLOOKUP('Données projet'!$B$15,Paramètres!$A$1:$I$89,5,0)</f>
        <v>-1.4897523215040567E-13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202.86354781280403</v>
      </c>
      <c r="EP172" s="62">
        <f t="shared" si="154"/>
        <v>217.25323885665131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-1.7053025658242404E-13</v>
      </c>
      <c r="FF172" s="18">
        <f>FE172*VLOOKUP('Données projet'!$B$16,Paramètres!$A$1:$I$89,3,0)*VLOOKUP('Données projet'!$B$16,Paramètres!$A$1:$I$89,5,0)</f>
        <v>-1.6227659216383472E-13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353.61481736740694</v>
      </c>
      <c r="FK172" s="62">
        <f t="shared" si="156"/>
        <v>244.7141066773861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5.6843418860808015E-14</v>
      </c>
      <c r="GA172" s="18">
        <f>FZ172*VLOOKUP('Données projet'!$B$17,Paramètres!$A$1:$I$89,3,0)*VLOOKUP('Données projet'!$B$17,Paramètres!$A$1:$I$89,5,0)</f>
        <v>6.1186256061773749E-14</v>
      </c>
      <c r="GB172" s="14">
        <f t="shared" si="185"/>
        <v>9.7328366192051127E-13</v>
      </c>
      <c r="GC172" s="22">
        <f t="shared" si="186"/>
        <v>1.8017017738191463E-12</v>
      </c>
      <c r="GD172" s="62">
        <f t="shared" si="134"/>
        <v>293.33333333333513</v>
      </c>
      <c r="GE172" s="62">
        <f ca="1">AVERAGE(OFFSET($GD$3,0,0,'Données projet'!$E$17+1,1))-AVERAGE(OFFSET($H$3,0,0,'Données projet'!$E$17+1,1))</f>
        <v>280.20599015000306</v>
      </c>
      <c r="GF172" s="62">
        <f t="shared" si="158"/>
        <v>166.97658184507787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-5.6843418860808015E-14</v>
      </c>
      <c r="GV172" s="18">
        <f>GU172*VLOOKUP('Données projet'!$B$18,Paramètres!$A$1:$I$89,3,0)*VLOOKUP('Données projet'!$B$18,Paramètres!$A$1:$I$89,5,0)</f>
        <v>-3.813056537183002E-14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291.18686311753402</v>
      </c>
      <c r="HA172" s="62">
        <f t="shared" si="160"/>
        <v>215.44422413249839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9">
        <f t="shared" si="110"/>
        <v>256.66666666666669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260.02504691866199</v>
      </c>
      <c r="T173" s="62">
        <f t="shared" si="142"/>
        <v>270.11268336406368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0.6255190228477171</v>
      </c>
      <c r="AA173" s="23">
        <f>EXP(-LN(2)/25)*AA172+(1-EXP(-LN(2)/25))/(LN(2)/25)*Calculateur!V173*Calculateur!X173*VLOOKUP('Données projet'!$B$9,Paramètres!$A$1:$I$89,3,0)*0.475*44/12</f>
        <v>0.33886689733440672</v>
      </c>
      <c r="AB173" s="23">
        <f>EXP(-LN(2)/2)*AB172+(1-EXP(-LN(2)/2))/(LN(2)/2)*V173*Y173*VLOOKUP('Données projet'!$B$9,Paramètres!$A$1:$I$89,3,0)*0.475*44/12</f>
        <v>5.3701558055030352E-21</v>
      </c>
      <c r="AC173" s="24">
        <f t="shared" si="163"/>
        <v>0.96438592018212388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475.47920969424894</v>
      </c>
      <c r="AO173" s="62">
        <f t="shared" si="144"/>
        <v>271.73544012419364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-8.7434273154940449E-13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428.8489304403459</v>
      </c>
      <c r="BJ173" s="62">
        <f t="shared" si="146"/>
        <v>247.01165577562966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-1.9895196601282805E-13</v>
      </c>
      <c r="BZ173" s="14">
        <f>BY173*VLOOKUP('Données projet'!$B$12,Paramètres!$A$1:$I$89,3,0)*VLOOKUP('Données projet'!$B$12,Paramètres!$A$1:$I$89,5,0)</f>
        <v>-1.6138983482960614E-13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236.22643401787644</v>
      </c>
      <c r="CE173" s="62">
        <f t="shared" si="148"/>
        <v>188.80444043778022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2.8421709430404007E-13</v>
      </c>
      <c r="CU173" s="18">
        <f>CT173*VLOOKUP('Données projet'!$B$13,Paramètres!$A$1:$I$89,3,0)*VLOOKUP('Données projet'!$B$13,Paramètres!$A$1:$I$89,5,0)</f>
        <v>1.3301360013429075E-13</v>
      </c>
      <c r="CV173" s="14">
        <f t="shared" si="173"/>
        <v>1.9329766731057041E-12</v>
      </c>
      <c r="CW173" s="22">
        <f t="shared" si="174"/>
        <v>3.5982663925596575E-12</v>
      </c>
      <c r="CX173" s="62">
        <f t="shared" si="122"/>
        <v>293.3333333333369</v>
      </c>
      <c r="CY173" s="62">
        <f ca="1">AVERAGE(OFFSET($CX$3,0,0,'Données projet'!$E$13+1,1))-AVERAGE(OFFSET($H$3,0,0,'Données projet'!$E$13+1,1))</f>
        <v>246.73711856758143</v>
      </c>
      <c r="CZ173" s="62">
        <f t="shared" si="150"/>
        <v>145.54897745089966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-5.1159076974727213E-13</v>
      </c>
      <c r="DP173" s="18">
        <f>DO173*VLOOKUP('Données projet'!$B$14,Paramètres!$A$1:$I$89,3,0)*VLOOKUP('Données projet'!$B$14,Paramètres!$A$1:$I$89,5,0)</f>
        <v>-5.3471467253984886E-13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493.70175665335978</v>
      </c>
      <c r="DU173" s="62">
        <f t="shared" si="152"/>
        <v>325.12357781685949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-1.7053025658242404E-13</v>
      </c>
      <c r="EK173" s="18">
        <f>EJ173*VLOOKUP('Données projet'!$B$15,Paramètres!$A$1:$I$89,3,0)*VLOOKUP('Données projet'!$B$15,Paramètres!$A$1:$I$89,5,0)</f>
        <v>-1.4897523215040567E-13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202.86354781280403</v>
      </c>
      <c r="EP173" s="62">
        <f t="shared" si="154"/>
        <v>217.25323885665131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-1.7053025658242404E-13</v>
      </c>
      <c r="FF173" s="18">
        <f>FE173*VLOOKUP('Données projet'!$B$16,Paramètres!$A$1:$I$89,3,0)*VLOOKUP('Données projet'!$B$16,Paramètres!$A$1:$I$89,5,0)</f>
        <v>-1.6227659216383472E-13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353.61481736740694</v>
      </c>
      <c r="FK173" s="62">
        <f t="shared" si="156"/>
        <v>244.7141066773861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5.6843418860808015E-14</v>
      </c>
      <c r="GA173" s="18">
        <f>FZ173*VLOOKUP('Données projet'!$B$17,Paramètres!$A$1:$I$89,3,0)*VLOOKUP('Données projet'!$B$17,Paramètres!$A$1:$I$89,5,0)</f>
        <v>6.1186256061773749E-14</v>
      </c>
      <c r="GB173" s="14">
        <f t="shared" si="185"/>
        <v>9.7328366192051127E-13</v>
      </c>
      <c r="GC173" s="22">
        <f t="shared" si="186"/>
        <v>1.8017017738191463E-12</v>
      </c>
      <c r="GD173" s="62">
        <f t="shared" si="134"/>
        <v>293.33333333333513</v>
      </c>
      <c r="GE173" s="62">
        <f ca="1">AVERAGE(OFFSET($GD$3,0,0,'Données projet'!$E$17+1,1))-AVERAGE(OFFSET($H$3,0,0,'Données projet'!$E$17+1,1))</f>
        <v>280.20599015000306</v>
      </c>
      <c r="GF173" s="62">
        <f t="shared" si="158"/>
        <v>166.97658184507787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-5.6843418860808015E-14</v>
      </c>
      <c r="GV173" s="18">
        <f>GU173*VLOOKUP('Données projet'!$B$18,Paramètres!$A$1:$I$89,3,0)*VLOOKUP('Données projet'!$B$18,Paramètres!$A$1:$I$89,5,0)</f>
        <v>-3.813056537183002E-14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291.18686311753402</v>
      </c>
      <c r="HA173" s="62">
        <f t="shared" si="160"/>
        <v>215.44422413249839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9">
        <f t="shared" si="110"/>
        <v>256.66666666666669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260.02504691866199</v>
      </c>
      <c r="T174" s="62">
        <f t="shared" si="142"/>
        <v>270.11268336406368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0.61325297633860443</v>
      </c>
      <c r="AA174" s="23">
        <f>EXP(-LN(2)/25)*AA173+(1-EXP(-LN(2)/25))/(LN(2)/25)*Calculateur!V174*Calculateur!X174*VLOOKUP('Données projet'!$B$9,Paramètres!$A$1:$I$89,3,0)*0.475*44/12</f>
        <v>0.32960056420656175</v>
      </c>
      <c r="AB174" s="23">
        <f>EXP(-LN(2)/2)*AB173+(1-EXP(-LN(2)/2))/(LN(2)/2)*V174*Y174*VLOOKUP('Données projet'!$B$9,Paramètres!$A$1:$I$89,3,0)*0.475*44/12</f>
        <v>3.7972735860995026E-21</v>
      </c>
      <c r="AC174" s="24">
        <f t="shared" si="163"/>
        <v>0.94285354054516612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475.47920969424894</v>
      </c>
      <c r="AO174" s="62">
        <f t="shared" si="144"/>
        <v>271.73544012419364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-8.7434273154940449E-13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428.8489304403459</v>
      </c>
      <c r="BJ174" s="62">
        <f t="shared" si="146"/>
        <v>247.01165577562966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-1.9895196601282805E-13</v>
      </c>
      <c r="BZ174" s="14">
        <f>BY174*VLOOKUP('Données projet'!$B$12,Paramètres!$A$1:$I$89,3,0)*VLOOKUP('Données projet'!$B$12,Paramètres!$A$1:$I$89,5,0)</f>
        <v>-1.6138983482960614E-13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236.22643401787644</v>
      </c>
      <c r="CE174" s="62">
        <f t="shared" si="148"/>
        <v>188.80444043778022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2.8421709430404007E-13</v>
      </c>
      <c r="CU174" s="18">
        <f>CT174*VLOOKUP('Données projet'!$B$13,Paramètres!$A$1:$I$89,3,0)*VLOOKUP('Données projet'!$B$13,Paramètres!$A$1:$I$89,5,0)</f>
        <v>1.3301360013429075E-13</v>
      </c>
      <c r="CV174" s="14">
        <f t="shared" si="173"/>
        <v>1.9329766731057041E-12</v>
      </c>
      <c r="CW174" s="22">
        <f t="shared" si="174"/>
        <v>3.5982663925596575E-12</v>
      </c>
      <c r="CX174" s="62">
        <f t="shared" si="122"/>
        <v>293.3333333333369</v>
      </c>
      <c r="CY174" s="62">
        <f ca="1">AVERAGE(OFFSET($CX$3,0,0,'Données projet'!$E$13+1,1))-AVERAGE(OFFSET($H$3,0,0,'Données projet'!$E$13+1,1))</f>
        <v>246.73711856758143</v>
      </c>
      <c r="CZ174" s="62">
        <f t="shared" si="150"/>
        <v>145.54897745089966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-5.1159076974727213E-13</v>
      </c>
      <c r="DP174" s="18">
        <f>DO174*VLOOKUP('Données projet'!$B$14,Paramètres!$A$1:$I$89,3,0)*VLOOKUP('Données projet'!$B$14,Paramètres!$A$1:$I$89,5,0)</f>
        <v>-5.3471467253984886E-13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493.70175665335978</v>
      </c>
      <c r="DU174" s="62">
        <f t="shared" si="152"/>
        <v>325.12357781685949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-1.7053025658242404E-13</v>
      </c>
      <c r="EK174" s="18">
        <f>EJ174*VLOOKUP('Données projet'!$B$15,Paramètres!$A$1:$I$89,3,0)*VLOOKUP('Données projet'!$B$15,Paramètres!$A$1:$I$89,5,0)</f>
        <v>-1.4897523215040567E-13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202.86354781280403</v>
      </c>
      <c r="EP174" s="62">
        <f t="shared" si="154"/>
        <v>217.25323885665131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-1.7053025658242404E-13</v>
      </c>
      <c r="FF174" s="18">
        <f>FE174*VLOOKUP('Données projet'!$B$16,Paramètres!$A$1:$I$89,3,0)*VLOOKUP('Données projet'!$B$16,Paramètres!$A$1:$I$89,5,0)</f>
        <v>-1.6227659216383472E-13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353.61481736740694</v>
      </c>
      <c r="FK174" s="62">
        <f t="shared" si="156"/>
        <v>244.7141066773861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5.6843418860808015E-14</v>
      </c>
      <c r="GA174" s="18">
        <f>FZ174*VLOOKUP('Données projet'!$B$17,Paramètres!$A$1:$I$89,3,0)*VLOOKUP('Données projet'!$B$17,Paramètres!$A$1:$I$89,5,0)</f>
        <v>6.1186256061773749E-14</v>
      </c>
      <c r="GB174" s="14">
        <f t="shared" si="185"/>
        <v>9.7328366192051127E-13</v>
      </c>
      <c r="GC174" s="22">
        <f t="shared" si="186"/>
        <v>1.8017017738191463E-12</v>
      </c>
      <c r="GD174" s="62">
        <f t="shared" si="134"/>
        <v>293.33333333333513</v>
      </c>
      <c r="GE174" s="62">
        <f ca="1">AVERAGE(OFFSET($GD$3,0,0,'Données projet'!$E$17+1,1))-AVERAGE(OFFSET($H$3,0,0,'Données projet'!$E$17+1,1))</f>
        <v>280.20599015000306</v>
      </c>
      <c r="GF174" s="62">
        <f t="shared" si="158"/>
        <v>166.97658184507787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-5.6843418860808015E-14</v>
      </c>
      <c r="GV174" s="18">
        <f>GU174*VLOOKUP('Données projet'!$B$18,Paramètres!$A$1:$I$89,3,0)*VLOOKUP('Données projet'!$B$18,Paramètres!$A$1:$I$89,5,0)</f>
        <v>-3.813056537183002E-14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291.18686311753402</v>
      </c>
      <c r="HA174" s="62">
        <f t="shared" si="160"/>
        <v>215.44422413249839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9">
        <f t="shared" si="110"/>
        <v>256.66666666666669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260.02504691866199</v>
      </c>
      <c r="T175" s="62">
        <f t="shared" si="142"/>
        <v>270.11268336406368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0.6012274595199858</v>
      </c>
      <c r="AA175" s="23">
        <f>EXP(-LN(2)/25)*AA174+(1-EXP(-LN(2)/25))/(LN(2)/25)*Calculateur!V175*Calculateur!X175*VLOOKUP('Données projet'!$B$9,Paramètres!$A$1:$I$89,3,0)*0.475*44/12</f>
        <v>0.32058761944539294</v>
      </c>
      <c r="AB175" s="23">
        <f>EXP(-LN(2)/2)*AB174+(1-EXP(-LN(2)/2))/(LN(2)/2)*V175*Y175*VLOOKUP('Données projet'!$B$9,Paramètres!$A$1:$I$89,3,0)*0.475*44/12</f>
        <v>2.6850779027515176E-21</v>
      </c>
      <c r="AC175" s="24">
        <f t="shared" si="163"/>
        <v>0.92181507896537873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475.47920969424894</v>
      </c>
      <c r="AO175" s="62">
        <f t="shared" si="144"/>
        <v>271.73544012419364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-8.7434273154940449E-13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428.8489304403459</v>
      </c>
      <c r="BJ175" s="62">
        <f t="shared" si="146"/>
        <v>247.01165577562966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-1.9895196601282805E-13</v>
      </c>
      <c r="BZ175" s="14">
        <f>BY175*VLOOKUP('Données projet'!$B$12,Paramètres!$A$1:$I$89,3,0)*VLOOKUP('Données projet'!$B$12,Paramètres!$A$1:$I$89,5,0)</f>
        <v>-1.6138983482960614E-13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236.22643401787644</v>
      </c>
      <c r="CE175" s="62">
        <f t="shared" si="148"/>
        <v>188.80444043778022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2.8421709430404007E-13</v>
      </c>
      <c r="CU175" s="18">
        <f>CT175*VLOOKUP('Données projet'!$B$13,Paramètres!$A$1:$I$89,3,0)*VLOOKUP('Données projet'!$B$13,Paramètres!$A$1:$I$89,5,0)</f>
        <v>1.3301360013429075E-13</v>
      </c>
      <c r="CV175" s="14">
        <f t="shared" si="173"/>
        <v>1.9329766731057041E-12</v>
      </c>
      <c r="CW175" s="22">
        <f t="shared" si="174"/>
        <v>3.5982663925596575E-12</v>
      </c>
      <c r="CX175" s="62">
        <f t="shared" si="122"/>
        <v>293.3333333333369</v>
      </c>
      <c r="CY175" s="62">
        <f ca="1">AVERAGE(OFFSET($CX$3,0,0,'Données projet'!$E$13+1,1))-AVERAGE(OFFSET($H$3,0,0,'Données projet'!$E$13+1,1))</f>
        <v>246.73711856758143</v>
      </c>
      <c r="CZ175" s="62">
        <f t="shared" si="150"/>
        <v>145.54897745089966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-5.1159076974727213E-13</v>
      </c>
      <c r="DP175" s="18">
        <f>DO175*VLOOKUP('Données projet'!$B$14,Paramètres!$A$1:$I$89,3,0)*VLOOKUP('Données projet'!$B$14,Paramètres!$A$1:$I$89,5,0)</f>
        <v>-5.3471467253984886E-13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493.70175665335978</v>
      </c>
      <c r="DU175" s="62">
        <f t="shared" si="152"/>
        <v>325.12357781685949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-1.7053025658242404E-13</v>
      </c>
      <c r="EK175" s="18">
        <f>EJ175*VLOOKUP('Données projet'!$B$15,Paramètres!$A$1:$I$89,3,0)*VLOOKUP('Données projet'!$B$15,Paramètres!$A$1:$I$89,5,0)</f>
        <v>-1.4897523215040567E-13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202.86354781280403</v>
      </c>
      <c r="EP175" s="62">
        <f t="shared" si="154"/>
        <v>217.25323885665131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-1.7053025658242404E-13</v>
      </c>
      <c r="FF175" s="18">
        <f>FE175*VLOOKUP('Données projet'!$B$16,Paramètres!$A$1:$I$89,3,0)*VLOOKUP('Données projet'!$B$16,Paramètres!$A$1:$I$89,5,0)</f>
        <v>-1.6227659216383472E-13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353.61481736740694</v>
      </c>
      <c r="FK175" s="62">
        <f t="shared" si="156"/>
        <v>244.7141066773861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5.6843418860808015E-14</v>
      </c>
      <c r="GA175" s="18">
        <f>FZ175*VLOOKUP('Données projet'!$B$17,Paramètres!$A$1:$I$89,3,0)*VLOOKUP('Données projet'!$B$17,Paramètres!$A$1:$I$89,5,0)</f>
        <v>6.1186256061773749E-14</v>
      </c>
      <c r="GB175" s="14">
        <f t="shared" si="185"/>
        <v>9.7328366192051127E-13</v>
      </c>
      <c r="GC175" s="22">
        <f t="shared" si="186"/>
        <v>1.8017017738191463E-12</v>
      </c>
      <c r="GD175" s="62">
        <f t="shared" si="134"/>
        <v>293.33333333333513</v>
      </c>
      <c r="GE175" s="62">
        <f ca="1">AVERAGE(OFFSET($GD$3,0,0,'Données projet'!$E$17+1,1))-AVERAGE(OFFSET($H$3,0,0,'Données projet'!$E$17+1,1))</f>
        <v>280.20599015000306</v>
      </c>
      <c r="GF175" s="62">
        <f t="shared" si="158"/>
        <v>166.97658184507787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-5.6843418860808015E-14</v>
      </c>
      <c r="GV175" s="18">
        <f>GU175*VLOOKUP('Données projet'!$B$18,Paramètres!$A$1:$I$89,3,0)*VLOOKUP('Données projet'!$B$18,Paramètres!$A$1:$I$89,5,0)</f>
        <v>-3.813056537183002E-14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291.18686311753402</v>
      </c>
      <c r="HA175" s="62">
        <f t="shared" si="160"/>
        <v>215.44422413249839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9">
        <f t="shared" si="110"/>
        <v>256.66666666666669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260.02504691866199</v>
      </c>
      <c r="T176" s="62">
        <f t="shared" si="142"/>
        <v>270.11268336406368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0.58943775575133928</v>
      </c>
      <c r="AA176" s="23">
        <f>EXP(-LN(2)/25)*AA175+(1-EXP(-LN(2)/25))/(LN(2)/25)*Calculateur!V176*Calculateur!X176*VLOOKUP('Données projet'!$B$9,Paramètres!$A$1:$I$89,3,0)*0.475*44/12</f>
        <v>0.31182113413268847</v>
      </c>
      <c r="AB176" s="23">
        <f>EXP(-LN(2)/2)*AB175+(1-EXP(-LN(2)/2))/(LN(2)/2)*V176*Y176*VLOOKUP('Données projet'!$B$9,Paramètres!$A$1:$I$89,3,0)*0.475*44/12</f>
        <v>1.8986367930497513E-21</v>
      </c>
      <c r="AC176" s="24">
        <f t="shared" si="163"/>
        <v>0.90125888988402769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475.47920969424894</v>
      </c>
      <c r="AO176" s="62">
        <f t="shared" si="144"/>
        <v>271.73544012419364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-8.7434273154940449E-13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428.8489304403459</v>
      </c>
      <c r="BJ176" s="62">
        <f t="shared" si="146"/>
        <v>247.01165577562966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-1.9895196601282805E-13</v>
      </c>
      <c r="BZ176" s="14">
        <f>BY176*VLOOKUP('Données projet'!$B$12,Paramètres!$A$1:$I$89,3,0)*VLOOKUP('Données projet'!$B$12,Paramètres!$A$1:$I$89,5,0)</f>
        <v>-1.6138983482960614E-13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236.22643401787644</v>
      </c>
      <c r="CE176" s="62">
        <f t="shared" si="148"/>
        <v>188.80444043778022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2.8421709430404007E-13</v>
      </c>
      <c r="CU176" s="18">
        <f>CT176*VLOOKUP('Données projet'!$B$13,Paramètres!$A$1:$I$89,3,0)*VLOOKUP('Données projet'!$B$13,Paramètres!$A$1:$I$89,5,0)</f>
        <v>1.3301360013429075E-13</v>
      </c>
      <c r="CV176" s="14">
        <f t="shared" si="173"/>
        <v>1.9329766731057041E-12</v>
      </c>
      <c r="CW176" s="22">
        <f t="shared" si="174"/>
        <v>3.5982663925596575E-12</v>
      </c>
      <c r="CX176" s="62">
        <f t="shared" si="122"/>
        <v>293.3333333333369</v>
      </c>
      <c r="CY176" s="62">
        <f ca="1">AVERAGE(OFFSET($CX$3,0,0,'Données projet'!$E$13+1,1))-AVERAGE(OFFSET($H$3,0,0,'Données projet'!$E$13+1,1))</f>
        <v>246.73711856758143</v>
      </c>
      <c r="CZ176" s="62">
        <f t="shared" si="150"/>
        <v>145.54897745089966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-5.1159076974727213E-13</v>
      </c>
      <c r="DP176" s="18">
        <f>DO176*VLOOKUP('Données projet'!$B$14,Paramètres!$A$1:$I$89,3,0)*VLOOKUP('Données projet'!$B$14,Paramètres!$A$1:$I$89,5,0)</f>
        <v>-5.3471467253984886E-13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493.70175665335978</v>
      </c>
      <c r="DU176" s="62">
        <f t="shared" si="152"/>
        <v>325.12357781685949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-1.7053025658242404E-13</v>
      </c>
      <c r="EK176" s="18">
        <f>EJ176*VLOOKUP('Données projet'!$B$15,Paramètres!$A$1:$I$89,3,0)*VLOOKUP('Données projet'!$B$15,Paramètres!$A$1:$I$89,5,0)</f>
        <v>-1.4897523215040567E-13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202.86354781280403</v>
      </c>
      <c r="EP176" s="62">
        <f t="shared" si="154"/>
        <v>217.25323885665131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-1.7053025658242404E-13</v>
      </c>
      <c r="FF176" s="18">
        <f>FE176*VLOOKUP('Données projet'!$B$16,Paramètres!$A$1:$I$89,3,0)*VLOOKUP('Données projet'!$B$16,Paramètres!$A$1:$I$89,5,0)</f>
        <v>-1.6227659216383472E-13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353.61481736740694</v>
      </c>
      <c r="FK176" s="62">
        <f t="shared" si="156"/>
        <v>244.7141066773861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5.6843418860808015E-14</v>
      </c>
      <c r="GA176" s="18">
        <f>FZ176*VLOOKUP('Données projet'!$B$17,Paramètres!$A$1:$I$89,3,0)*VLOOKUP('Données projet'!$B$17,Paramètres!$A$1:$I$89,5,0)</f>
        <v>6.1186256061773749E-14</v>
      </c>
      <c r="GB176" s="14">
        <f t="shared" si="185"/>
        <v>9.7328366192051127E-13</v>
      </c>
      <c r="GC176" s="22">
        <f t="shared" si="186"/>
        <v>1.8017017738191463E-12</v>
      </c>
      <c r="GD176" s="62">
        <f t="shared" si="134"/>
        <v>293.33333333333513</v>
      </c>
      <c r="GE176" s="62">
        <f ca="1">AVERAGE(OFFSET($GD$3,0,0,'Données projet'!$E$17+1,1))-AVERAGE(OFFSET($H$3,0,0,'Données projet'!$E$17+1,1))</f>
        <v>280.20599015000306</v>
      </c>
      <c r="GF176" s="62">
        <f t="shared" si="158"/>
        <v>166.97658184507787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-5.6843418860808015E-14</v>
      </c>
      <c r="GV176" s="18">
        <f>GU176*VLOOKUP('Données projet'!$B$18,Paramètres!$A$1:$I$89,3,0)*VLOOKUP('Données projet'!$B$18,Paramètres!$A$1:$I$89,5,0)</f>
        <v>-3.813056537183002E-14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291.18686311753402</v>
      </c>
      <c r="HA176" s="62">
        <f t="shared" si="160"/>
        <v>215.44422413249839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9">
        <f t="shared" si="110"/>
        <v>256.66666666666669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260.02504691866199</v>
      </c>
      <c r="T177" s="62">
        <f t="shared" si="142"/>
        <v>270.11268336406368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0.57787924088258669</v>
      </c>
      <c r="AA177" s="23">
        <f>EXP(-LN(2)/25)*AA176+(1-EXP(-LN(2)/25))/(LN(2)/25)*Calculateur!V177*Calculateur!X177*VLOOKUP('Données projet'!$B$9,Paramètres!$A$1:$I$89,3,0)*0.475*44/12</f>
        <v>0.30329436882186933</v>
      </c>
      <c r="AB177" s="23">
        <f>EXP(-LN(2)/2)*AB176+(1-EXP(-LN(2)/2))/(LN(2)/2)*V177*Y177*VLOOKUP('Données projet'!$B$9,Paramètres!$A$1:$I$89,3,0)*0.475*44/12</f>
        <v>1.3425389513757588E-21</v>
      </c>
      <c r="AC177" s="24">
        <f t="shared" si="163"/>
        <v>0.88117360970445602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475.47920969424894</v>
      </c>
      <c r="AO177" s="62">
        <f t="shared" si="144"/>
        <v>271.73544012419364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-8.7434273154940449E-13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428.8489304403459</v>
      </c>
      <c r="BJ177" s="62">
        <f t="shared" si="146"/>
        <v>247.01165577562966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-1.9895196601282805E-13</v>
      </c>
      <c r="BZ177" s="14">
        <f>BY177*VLOOKUP('Données projet'!$B$12,Paramètres!$A$1:$I$89,3,0)*VLOOKUP('Données projet'!$B$12,Paramètres!$A$1:$I$89,5,0)</f>
        <v>-1.6138983482960614E-13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236.22643401787644</v>
      </c>
      <c r="CE177" s="62">
        <f t="shared" si="148"/>
        <v>188.80444043778022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2.8421709430404007E-13</v>
      </c>
      <c r="CU177" s="18">
        <f>CT177*VLOOKUP('Données projet'!$B$13,Paramètres!$A$1:$I$89,3,0)*VLOOKUP('Données projet'!$B$13,Paramètres!$A$1:$I$89,5,0)</f>
        <v>1.3301360013429075E-13</v>
      </c>
      <c r="CV177" s="14">
        <f t="shared" si="173"/>
        <v>1.9329766731057041E-12</v>
      </c>
      <c r="CW177" s="22">
        <f t="shared" si="174"/>
        <v>3.5982663925596575E-12</v>
      </c>
      <c r="CX177" s="62">
        <f t="shared" si="122"/>
        <v>293.3333333333369</v>
      </c>
      <c r="CY177" s="62">
        <f ca="1">AVERAGE(OFFSET($CX$3,0,0,'Données projet'!$E$13+1,1))-AVERAGE(OFFSET($H$3,0,0,'Données projet'!$E$13+1,1))</f>
        <v>246.73711856758143</v>
      </c>
      <c r="CZ177" s="62">
        <f t="shared" si="150"/>
        <v>145.54897745089966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-5.1159076974727213E-13</v>
      </c>
      <c r="DP177" s="18">
        <f>DO177*VLOOKUP('Données projet'!$B$14,Paramètres!$A$1:$I$89,3,0)*VLOOKUP('Données projet'!$B$14,Paramètres!$A$1:$I$89,5,0)</f>
        <v>-5.3471467253984886E-13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493.70175665335978</v>
      </c>
      <c r="DU177" s="62">
        <f t="shared" si="152"/>
        <v>325.12357781685949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-1.7053025658242404E-13</v>
      </c>
      <c r="EK177" s="18">
        <f>EJ177*VLOOKUP('Données projet'!$B$15,Paramètres!$A$1:$I$89,3,0)*VLOOKUP('Données projet'!$B$15,Paramètres!$A$1:$I$89,5,0)</f>
        <v>-1.4897523215040567E-13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202.86354781280403</v>
      </c>
      <c r="EP177" s="62">
        <f t="shared" si="154"/>
        <v>217.25323885665131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-1.7053025658242404E-13</v>
      </c>
      <c r="FF177" s="18">
        <f>FE177*VLOOKUP('Données projet'!$B$16,Paramètres!$A$1:$I$89,3,0)*VLOOKUP('Données projet'!$B$16,Paramètres!$A$1:$I$89,5,0)</f>
        <v>-1.6227659216383472E-13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353.61481736740694</v>
      </c>
      <c r="FK177" s="62">
        <f t="shared" si="156"/>
        <v>244.7141066773861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5.6843418860808015E-14</v>
      </c>
      <c r="GA177" s="18">
        <f>FZ177*VLOOKUP('Données projet'!$B$17,Paramètres!$A$1:$I$89,3,0)*VLOOKUP('Données projet'!$B$17,Paramètres!$A$1:$I$89,5,0)</f>
        <v>6.1186256061773749E-14</v>
      </c>
      <c r="GB177" s="14">
        <f t="shared" si="185"/>
        <v>9.7328366192051127E-13</v>
      </c>
      <c r="GC177" s="22">
        <f t="shared" si="186"/>
        <v>1.8017017738191463E-12</v>
      </c>
      <c r="GD177" s="62">
        <f t="shared" si="134"/>
        <v>293.33333333333513</v>
      </c>
      <c r="GE177" s="62">
        <f ca="1">AVERAGE(OFFSET($GD$3,0,0,'Données projet'!$E$17+1,1))-AVERAGE(OFFSET($H$3,0,0,'Données projet'!$E$17+1,1))</f>
        <v>280.20599015000306</v>
      </c>
      <c r="GF177" s="62">
        <f t="shared" si="158"/>
        <v>166.97658184507787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-5.6843418860808015E-14</v>
      </c>
      <c r="GV177" s="18">
        <f>GU177*VLOOKUP('Données projet'!$B$18,Paramètres!$A$1:$I$89,3,0)*VLOOKUP('Données projet'!$B$18,Paramètres!$A$1:$I$89,5,0)</f>
        <v>-3.813056537183002E-14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291.18686311753402</v>
      </c>
      <c r="HA177" s="62">
        <f t="shared" si="160"/>
        <v>215.44422413249839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9">
        <f t="shared" si="110"/>
        <v>256.66666666666669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260.02504691866199</v>
      </c>
      <c r="T178" s="62">
        <f t="shared" si="142"/>
        <v>270.11268336406368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0.56654738144041239</v>
      </c>
      <c r="AA178" s="23">
        <f>EXP(-LN(2)/25)*AA177+(1-EXP(-LN(2)/25))/(LN(2)/25)*Calculateur!V178*Calculateur!X178*VLOOKUP('Données projet'!$B$9,Paramètres!$A$1:$I$89,3,0)*0.475*44/12</f>
        <v>0.29500076835687766</v>
      </c>
      <c r="AB178" s="23">
        <f>EXP(-LN(2)/2)*AB177+(1-EXP(-LN(2)/2))/(LN(2)/2)*V178*Y178*VLOOKUP('Données projet'!$B$9,Paramètres!$A$1:$I$89,3,0)*0.475*44/12</f>
        <v>9.4931839652487565E-22</v>
      </c>
      <c r="AC178" s="24">
        <f t="shared" si="163"/>
        <v>0.86154814979729011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475.47920969424894</v>
      </c>
      <c r="AO178" s="62">
        <f t="shared" si="144"/>
        <v>271.73544012419364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-8.7434273154940449E-13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428.8489304403459</v>
      </c>
      <c r="BJ178" s="62">
        <f t="shared" si="146"/>
        <v>247.01165577562966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-1.9895196601282805E-13</v>
      </c>
      <c r="BZ178" s="14">
        <f>BY178*VLOOKUP('Données projet'!$B$12,Paramètres!$A$1:$I$89,3,0)*VLOOKUP('Données projet'!$B$12,Paramètres!$A$1:$I$89,5,0)</f>
        <v>-1.6138983482960614E-13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236.22643401787644</v>
      </c>
      <c r="CE178" s="62">
        <f t="shared" si="148"/>
        <v>188.80444043778022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2.8421709430404007E-13</v>
      </c>
      <c r="CU178" s="18">
        <f>CT178*VLOOKUP('Données projet'!$B$13,Paramètres!$A$1:$I$89,3,0)*VLOOKUP('Données projet'!$B$13,Paramètres!$A$1:$I$89,5,0)</f>
        <v>1.3301360013429075E-13</v>
      </c>
      <c r="CV178" s="14">
        <f t="shared" si="173"/>
        <v>1.9329766731057041E-12</v>
      </c>
      <c r="CW178" s="22">
        <f t="shared" si="174"/>
        <v>3.5982663925596575E-12</v>
      </c>
      <c r="CX178" s="62">
        <f t="shared" si="122"/>
        <v>293.3333333333369</v>
      </c>
      <c r="CY178" s="62">
        <f ca="1">AVERAGE(OFFSET($CX$3,0,0,'Données projet'!$E$13+1,1))-AVERAGE(OFFSET($H$3,0,0,'Données projet'!$E$13+1,1))</f>
        <v>246.73711856758143</v>
      </c>
      <c r="CZ178" s="62">
        <f t="shared" si="150"/>
        <v>145.54897745089966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-5.1159076974727213E-13</v>
      </c>
      <c r="DP178" s="18">
        <f>DO178*VLOOKUP('Données projet'!$B$14,Paramètres!$A$1:$I$89,3,0)*VLOOKUP('Données projet'!$B$14,Paramètres!$A$1:$I$89,5,0)</f>
        <v>-5.3471467253984886E-13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493.70175665335978</v>
      </c>
      <c r="DU178" s="62">
        <f t="shared" si="152"/>
        <v>325.12357781685949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-1.7053025658242404E-13</v>
      </c>
      <c r="EK178" s="18">
        <f>EJ178*VLOOKUP('Données projet'!$B$15,Paramètres!$A$1:$I$89,3,0)*VLOOKUP('Données projet'!$B$15,Paramètres!$A$1:$I$89,5,0)</f>
        <v>-1.4897523215040567E-13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202.86354781280403</v>
      </c>
      <c r="EP178" s="62">
        <f t="shared" si="154"/>
        <v>217.25323885665131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-1.7053025658242404E-13</v>
      </c>
      <c r="FF178" s="18">
        <f>FE178*VLOOKUP('Données projet'!$B$16,Paramètres!$A$1:$I$89,3,0)*VLOOKUP('Données projet'!$B$16,Paramètres!$A$1:$I$89,5,0)</f>
        <v>-1.6227659216383472E-13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353.61481736740694</v>
      </c>
      <c r="FK178" s="62">
        <f t="shared" si="156"/>
        <v>244.7141066773861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5.6843418860808015E-14</v>
      </c>
      <c r="GA178" s="18">
        <f>FZ178*VLOOKUP('Données projet'!$B$17,Paramètres!$A$1:$I$89,3,0)*VLOOKUP('Données projet'!$B$17,Paramètres!$A$1:$I$89,5,0)</f>
        <v>6.1186256061773749E-14</v>
      </c>
      <c r="GB178" s="14">
        <f t="shared" si="185"/>
        <v>9.7328366192051127E-13</v>
      </c>
      <c r="GC178" s="22">
        <f t="shared" si="186"/>
        <v>1.8017017738191463E-12</v>
      </c>
      <c r="GD178" s="62">
        <f t="shared" si="134"/>
        <v>293.33333333333513</v>
      </c>
      <c r="GE178" s="62">
        <f ca="1">AVERAGE(OFFSET($GD$3,0,0,'Données projet'!$E$17+1,1))-AVERAGE(OFFSET($H$3,0,0,'Données projet'!$E$17+1,1))</f>
        <v>280.20599015000306</v>
      </c>
      <c r="GF178" s="62">
        <f t="shared" si="158"/>
        <v>166.97658184507787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-5.6843418860808015E-14</v>
      </c>
      <c r="GV178" s="18">
        <f>GU178*VLOOKUP('Données projet'!$B$18,Paramètres!$A$1:$I$89,3,0)*VLOOKUP('Données projet'!$B$18,Paramètres!$A$1:$I$89,5,0)</f>
        <v>-3.813056537183002E-14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291.18686311753402</v>
      </c>
      <c r="HA178" s="62">
        <f t="shared" si="160"/>
        <v>215.44422413249839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9">
        <f t="shared" si="110"/>
        <v>256.66666666666669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260.02504691866199</v>
      </c>
      <c r="T179" s="62">
        <f t="shared" si="142"/>
        <v>270.11268336406368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0.55543773285014741</v>
      </c>
      <c r="AA179" s="23">
        <f>EXP(-LN(2)/25)*AA178+(1-EXP(-LN(2)/25))/(LN(2)/25)*Calculateur!V179*Calculateur!X179*VLOOKUP('Données projet'!$B$9,Paramètres!$A$1:$I$89,3,0)*0.475*44/12</f>
        <v>0.28693395683274264</v>
      </c>
      <c r="AB179" s="23">
        <f>EXP(-LN(2)/2)*AB178+(1-EXP(-LN(2)/2))/(LN(2)/2)*V179*Y179*VLOOKUP('Données projet'!$B$9,Paramètres!$A$1:$I$89,3,0)*0.475*44/12</f>
        <v>6.712694756878794E-22</v>
      </c>
      <c r="AC179" s="24">
        <f t="shared" si="163"/>
        <v>0.84237168968289011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475.47920969424894</v>
      </c>
      <c r="AO179" s="62">
        <f t="shared" si="144"/>
        <v>271.73544012419364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-8.7434273154940449E-13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428.8489304403459</v>
      </c>
      <c r="BJ179" s="62">
        <f t="shared" si="146"/>
        <v>247.01165577562966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-1.9895196601282805E-13</v>
      </c>
      <c r="BZ179" s="14">
        <f>BY179*VLOOKUP('Données projet'!$B$12,Paramètres!$A$1:$I$89,3,0)*VLOOKUP('Données projet'!$B$12,Paramètres!$A$1:$I$89,5,0)</f>
        <v>-1.6138983482960614E-13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236.22643401787644</v>
      </c>
      <c r="CE179" s="62">
        <f t="shared" si="148"/>
        <v>188.80444043778022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2.8421709430404007E-13</v>
      </c>
      <c r="CU179" s="18">
        <f>CT179*VLOOKUP('Données projet'!$B$13,Paramètres!$A$1:$I$89,3,0)*VLOOKUP('Données projet'!$B$13,Paramètres!$A$1:$I$89,5,0)</f>
        <v>1.3301360013429075E-13</v>
      </c>
      <c r="CV179" s="14">
        <f t="shared" si="173"/>
        <v>1.9329766731057041E-12</v>
      </c>
      <c r="CW179" s="22">
        <f t="shared" si="174"/>
        <v>3.5982663925596575E-12</v>
      </c>
      <c r="CX179" s="62">
        <f t="shared" si="122"/>
        <v>293.3333333333369</v>
      </c>
      <c r="CY179" s="62">
        <f ca="1">AVERAGE(OFFSET($CX$3,0,0,'Données projet'!$E$13+1,1))-AVERAGE(OFFSET($H$3,0,0,'Données projet'!$E$13+1,1))</f>
        <v>246.73711856758143</v>
      </c>
      <c r="CZ179" s="62">
        <f t="shared" si="150"/>
        <v>145.54897745089966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-5.1159076974727213E-13</v>
      </c>
      <c r="DP179" s="18">
        <f>DO179*VLOOKUP('Données projet'!$B$14,Paramètres!$A$1:$I$89,3,0)*VLOOKUP('Données projet'!$B$14,Paramètres!$A$1:$I$89,5,0)</f>
        <v>-5.3471467253984886E-13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493.70175665335978</v>
      </c>
      <c r="DU179" s="62">
        <f t="shared" si="152"/>
        <v>325.12357781685949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-1.7053025658242404E-13</v>
      </c>
      <c r="EK179" s="18">
        <f>EJ179*VLOOKUP('Données projet'!$B$15,Paramètres!$A$1:$I$89,3,0)*VLOOKUP('Données projet'!$B$15,Paramètres!$A$1:$I$89,5,0)</f>
        <v>-1.4897523215040567E-13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202.86354781280403</v>
      </c>
      <c r="EP179" s="62">
        <f t="shared" si="154"/>
        <v>217.25323885665131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-1.7053025658242404E-13</v>
      </c>
      <c r="FF179" s="18">
        <f>FE179*VLOOKUP('Données projet'!$B$16,Paramètres!$A$1:$I$89,3,0)*VLOOKUP('Données projet'!$B$16,Paramètres!$A$1:$I$89,5,0)</f>
        <v>-1.6227659216383472E-13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353.61481736740694</v>
      </c>
      <c r="FK179" s="62">
        <f t="shared" si="156"/>
        <v>244.7141066773861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5.6843418860808015E-14</v>
      </c>
      <c r="GA179" s="18">
        <f>FZ179*VLOOKUP('Données projet'!$B$17,Paramètres!$A$1:$I$89,3,0)*VLOOKUP('Données projet'!$B$17,Paramètres!$A$1:$I$89,5,0)</f>
        <v>6.1186256061773749E-14</v>
      </c>
      <c r="GB179" s="14">
        <f t="shared" si="185"/>
        <v>9.7328366192051127E-13</v>
      </c>
      <c r="GC179" s="22">
        <f t="shared" si="186"/>
        <v>1.8017017738191463E-12</v>
      </c>
      <c r="GD179" s="62">
        <f t="shared" si="134"/>
        <v>293.33333333333513</v>
      </c>
      <c r="GE179" s="62">
        <f ca="1">AVERAGE(OFFSET($GD$3,0,0,'Données projet'!$E$17+1,1))-AVERAGE(OFFSET($H$3,0,0,'Données projet'!$E$17+1,1))</f>
        <v>280.20599015000306</v>
      </c>
      <c r="GF179" s="62">
        <f t="shared" si="158"/>
        <v>166.97658184507787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-5.6843418860808015E-14</v>
      </c>
      <c r="GV179" s="18">
        <f>GU179*VLOOKUP('Données projet'!$B$18,Paramètres!$A$1:$I$89,3,0)*VLOOKUP('Données projet'!$B$18,Paramètres!$A$1:$I$89,5,0)</f>
        <v>-3.813056537183002E-14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291.18686311753402</v>
      </c>
      <c r="HA179" s="62">
        <f t="shared" si="160"/>
        <v>215.44422413249839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9">
        <f t="shared" si="110"/>
        <v>256.66666666666669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260.02504691866199</v>
      </c>
      <c r="T180" s="62">
        <f t="shared" si="142"/>
        <v>270.11268336406368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0.54454593769252091</v>
      </c>
      <c r="AA180" s="23">
        <f>EXP(-LN(2)/25)*AA179+(1-EXP(-LN(2)/25))/(LN(2)/25)*Calculateur!V180*Calculateur!X180*VLOOKUP('Données projet'!$B$9,Paramètres!$A$1:$I$89,3,0)*0.475*44/12</f>
        <v>0.27908773269395032</v>
      </c>
      <c r="AB180" s="23">
        <f>EXP(-LN(2)/2)*AB179+(1-EXP(-LN(2)/2))/(LN(2)/2)*V180*Y180*VLOOKUP('Données projet'!$B$9,Paramètres!$A$1:$I$89,3,0)*0.475*44/12</f>
        <v>4.7465919826243782E-22</v>
      </c>
      <c r="AC180" s="24">
        <f t="shared" si="163"/>
        <v>0.82363367038647128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475.47920969424894</v>
      </c>
      <c r="AO180" s="62">
        <f t="shared" si="144"/>
        <v>271.73544012419364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-8.7434273154940449E-13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428.8489304403459</v>
      </c>
      <c r="BJ180" s="62">
        <f t="shared" si="146"/>
        <v>247.01165577562966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-1.9895196601282805E-13</v>
      </c>
      <c r="BZ180" s="14">
        <f>BY180*VLOOKUP('Données projet'!$B$12,Paramètres!$A$1:$I$89,3,0)*VLOOKUP('Données projet'!$B$12,Paramètres!$A$1:$I$89,5,0)</f>
        <v>-1.6138983482960614E-13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236.22643401787644</v>
      </c>
      <c r="CE180" s="62">
        <f t="shared" si="148"/>
        <v>188.80444043778022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2.8421709430404007E-13</v>
      </c>
      <c r="CU180" s="18">
        <f>CT180*VLOOKUP('Données projet'!$B$13,Paramètres!$A$1:$I$89,3,0)*VLOOKUP('Données projet'!$B$13,Paramètres!$A$1:$I$89,5,0)</f>
        <v>1.3301360013429075E-13</v>
      </c>
      <c r="CV180" s="14">
        <f t="shared" si="173"/>
        <v>1.9329766731057041E-12</v>
      </c>
      <c r="CW180" s="22">
        <f t="shared" si="174"/>
        <v>3.5982663925596575E-12</v>
      </c>
      <c r="CX180" s="62">
        <f t="shared" si="122"/>
        <v>293.3333333333369</v>
      </c>
      <c r="CY180" s="62">
        <f ca="1">AVERAGE(OFFSET($CX$3,0,0,'Données projet'!$E$13+1,1))-AVERAGE(OFFSET($H$3,0,0,'Données projet'!$E$13+1,1))</f>
        <v>246.73711856758143</v>
      </c>
      <c r="CZ180" s="62">
        <f t="shared" si="150"/>
        <v>145.54897745089966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-5.1159076974727213E-13</v>
      </c>
      <c r="DP180" s="18">
        <f>DO180*VLOOKUP('Données projet'!$B$14,Paramètres!$A$1:$I$89,3,0)*VLOOKUP('Données projet'!$B$14,Paramètres!$A$1:$I$89,5,0)</f>
        <v>-5.3471467253984886E-13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493.70175665335978</v>
      </c>
      <c r="DU180" s="62">
        <f t="shared" si="152"/>
        <v>325.12357781685949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-1.7053025658242404E-13</v>
      </c>
      <c r="EK180" s="18">
        <f>EJ180*VLOOKUP('Données projet'!$B$15,Paramètres!$A$1:$I$89,3,0)*VLOOKUP('Données projet'!$B$15,Paramètres!$A$1:$I$89,5,0)</f>
        <v>-1.4897523215040567E-13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202.86354781280403</v>
      </c>
      <c r="EP180" s="62">
        <f t="shared" si="154"/>
        <v>217.25323885665131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-1.7053025658242404E-13</v>
      </c>
      <c r="FF180" s="18">
        <f>FE180*VLOOKUP('Données projet'!$B$16,Paramètres!$A$1:$I$89,3,0)*VLOOKUP('Données projet'!$B$16,Paramètres!$A$1:$I$89,5,0)</f>
        <v>-1.6227659216383472E-13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353.61481736740694</v>
      </c>
      <c r="FK180" s="62">
        <f t="shared" si="156"/>
        <v>244.7141066773861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5.6843418860808015E-14</v>
      </c>
      <c r="GA180" s="18">
        <f>FZ180*VLOOKUP('Données projet'!$B$17,Paramètres!$A$1:$I$89,3,0)*VLOOKUP('Données projet'!$B$17,Paramètres!$A$1:$I$89,5,0)</f>
        <v>6.1186256061773749E-14</v>
      </c>
      <c r="GB180" s="14">
        <f t="shared" si="185"/>
        <v>9.7328366192051127E-13</v>
      </c>
      <c r="GC180" s="22">
        <f t="shared" si="186"/>
        <v>1.8017017738191463E-12</v>
      </c>
      <c r="GD180" s="62">
        <f t="shared" si="134"/>
        <v>293.33333333333513</v>
      </c>
      <c r="GE180" s="62">
        <f ca="1">AVERAGE(OFFSET($GD$3,0,0,'Données projet'!$E$17+1,1))-AVERAGE(OFFSET($H$3,0,0,'Données projet'!$E$17+1,1))</f>
        <v>280.20599015000306</v>
      </c>
      <c r="GF180" s="62">
        <f t="shared" si="158"/>
        <v>166.97658184507787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-5.6843418860808015E-14</v>
      </c>
      <c r="GV180" s="18">
        <f>GU180*VLOOKUP('Données projet'!$B$18,Paramètres!$A$1:$I$89,3,0)*VLOOKUP('Données projet'!$B$18,Paramètres!$A$1:$I$89,5,0)</f>
        <v>-3.813056537183002E-14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291.18686311753402</v>
      </c>
      <c r="HA180" s="62">
        <f t="shared" si="160"/>
        <v>215.44422413249839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9">
        <f t="shared" si="110"/>
        <v>256.66666666666669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260.02504691866199</v>
      </c>
      <c r="T181" s="62">
        <f t="shared" si="142"/>
        <v>270.11268336406368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0.53386772399459648</v>
      </c>
      <c r="AA181" s="23">
        <f>EXP(-LN(2)/25)*AA180+(1-EXP(-LN(2)/25))/(LN(2)/25)*Calculateur!V181*Calculateur!X181*VLOOKUP('Données projet'!$B$9,Paramètres!$A$1:$I$89,3,0)*0.475*44/12</f>
        <v>0.27145606396684824</v>
      </c>
      <c r="AB181" s="23">
        <f>EXP(-LN(2)/2)*AB180+(1-EXP(-LN(2)/2))/(LN(2)/2)*V181*Y181*VLOOKUP('Données projet'!$B$9,Paramètres!$A$1:$I$89,3,0)*0.475*44/12</f>
        <v>3.356347378439397E-22</v>
      </c>
      <c r="AC181" s="24">
        <f t="shared" si="163"/>
        <v>0.80532378796144477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475.47920969424894</v>
      </c>
      <c r="AO181" s="62">
        <f t="shared" si="144"/>
        <v>271.73544012419364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-8.7434273154940449E-13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428.8489304403459</v>
      </c>
      <c r="BJ181" s="62">
        <f t="shared" si="146"/>
        <v>247.01165577562966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-1.9895196601282805E-13</v>
      </c>
      <c r="BZ181" s="14">
        <f>BY181*VLOOKUP('Données projet'!$B$12,Paramètres!$A$1:$I$89,3,0)*VLOOKUP('Données projet'!$B$12,Paramètres!$A$1:$I$89,5,0)</f>
        <v>-1.6138983482960614E-13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236.22643401787644</v>
      </c>
      <c r="CE181" s="62">
        <f t="shared" si="148"/>
        <v>188.80444043778022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2.8421709430404007E-13</v>
      </c>
      <c r="CU181" s="18">
        <f>CT181*VLOOKUP('Données projet'!$B$13,Paramètres!$A$1:$I$89,3,0)*VLOOKUP('Données projet'!$B$13,Paramètres!$A$1:$I$89,5,0)</f>
        <v>1.3301360013429075E-13</v>
      </c>
      <c r="CV181" s="14">
        <f t="shared" si="173"/>
        <v>1.9329766731057041E-12</v>
      </c>
      <c r="CW181" s="22">
        <f t="shared" si="174"/>
        <v>3.5982663925596575E-12</v>
      </c>
      <c r="CX181" s="62">
        <f t="shared" si="122"/>
        <v>293.3333333333369</v>
      </c>
      <c r="CY181" s="62">
        <f ca="1">AVERAGE(OFFSET($CX$3,0,0,'Données projet'!$E$13+1,1))-AVERAGE(OFFSET($H$3,0,0,'Données projet'!$E$13+1,1))</f>
        <v>246.73711856758143</v>
      </c>
      <c r="CZ181" s="62">
        <f t="shared" si="150"/>
        <v>145.54897745089966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-5.1159076974727213E-13</v>
      </c>
      <c r="DP181" s="18">
        <f>DO181*VLOOKUP('Données projet'!$B$14,Paramètres!$A$1:$I$89,3,0)*VLOOKUP('Données projet'!$B$14,Paramètres!$A$1:$I$89,5,0)</f>
        <v>-5.3471467253984886E-13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493.70175665335978</v>
      </c>
      <c r="DU181" s="62">
        <f t="shared" si="152"/>
        <v>325.12357781685949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-1.7053025658242404E-13</v>
      </c>
      <c r="EK181" s="18">
        <f>EJ181*VLOOKUP('Données projet'!$B$15,Paramètres!$A$1:$I$89,3,0)*VLOOKUP('Données projet'!$B$15,Paramètres!$A$1:$I$89,5,0)</f>
        <v>-1.4897523215040567E-13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202.86354781280403</v>
      </c>
      <c r="EP181" s="62">
        <f t="shared" si="154"/>
        <v>217.25323885665131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-1.7053025658242404E-13</v>
      </c>
      <c r="FF181" s="18">
        <f>FE181*VLOOKUP('Données projet'!$B$16,Paramètres!$A$1:$I$89,3,0)*VLOOKUP('Données projet'!$B$16,Paramètres!$A$1:$I$89,5,0)</f>
        <v>-1.6227659216383472E-13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353.61481736740694</v>
      </c>
      <c r="FK181" s="62">
        <f t="shared" si="156"/>
        <v>244.7141066773861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5.6843418860808015E-14</v>
      </c>
      <c r="GA181" s="18">
        <f>FZ181*VLOOKUP('Données projet'!$B$17,Paramètres!$A$1:$I$89,3,0)*VLOOKUP('Données projet'!$B$17,Paramètres!$A$1:$I$89,5,0)</f>
        <v>6.1186256061773749E-14</v>
      </c>
      <c r="GB181" s="14">
        <f t="shared" si="185"/>
        <v>9.7328366192051127E-13</v>
      </c>
      <c r="GC181" s="22">
        <f t="shared" si="186"/>
        <v>1.8017017738191463E-12</v>
      </c>
      <c r="GD181" s="62">
        <f t="shared" si="134"/>
        <v>293.33333333333513</v>
      </c>
      <c r="GE181" s="62">
        <f ca="1">AVERAGE(OFFSET($GD$3,0,0,'Données projet'!$E$17+1,1))-AVERAGE(OFFSET($H$3,0,0,'Données projet'!$E$17+1,1))</f>
        <v>280.20599015000306</v>
      </c>
      <c r="GF181" s="62">
        <f t="shared" si="158"/>
        <v>166.97658184507787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-5.6843418860808015E-14</v>
      </c>
      <c r="GV181" s="18">
        <f>GU181*VLOOKUP('Données projet'!$B$18,Paramètres!$A$1:$I$89,3,0)*VLOOKUP('Données projet'!$B$18,Paramètres!$A$1:$I$89,5,0)</f>
        <v>-3.813056537183002E-14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291.18686311753402</v>
      </c>
      <c r="HA181" s="62">
        <f t="shared" si="160"/>
        <v>215.44422413249839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9">
        <f t="shared" si="110"/>
        <v>256.66666666666669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260.02504691866199</v>
      </c>
      <c r="T182" s="62">
        <f t="shared" si="142"/>
        <v>270.11268336406368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0.52339890355422103</v>
      </c>
      <c r="AA182" s="23">
        <f>EXP(-LN(2)/25)*AA181+(1-EXP(-LN(2)/25))/(LN(2)/25)*Calculateur!V182*Calculateur!X182*VLOOKUP('Données projet'!$B$9,Paramètres!$A$1:$I$89,3,0)*0.475*44/12</f>
        <v>0.26403308362242078</v>
      </c>
      <c r="AB182" s="23">
        <f>EXP(-LN(2)/2)*AB181+(1-EXP(-LN(2)/2))/(LN(2)/2)*V182*Y182*VLOOKUP('Données projet'!$B$9,Paramètres!$A$1:$I$89,3,0)*0.475*44/12</f>
        <v>2.3732959913121891E-22</v>
      </c>
      <c r="AC182" s="24">
        <f t="shared" si="163"/>
        <v>0.78743198717664176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475.47920969424894</v>
      </c>
      <c r="AO182" s="62">
        <f t="shared" si="144"/>
        <v>271.73544012419364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-8.7434273154940449E-13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428.8489304403459</v>
      </c>
      <c r="BJ182" s="62">
        <f t="shared" si="146"/>
        <v>247.01165577562966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-1.9895196601282805E-13</v>
      </c>
      <c r="BZ182" s="14">
        <f>BY182*VLOOKUP('Données projet'!$B$12,Paramètres!$A$1:$I$89,3,0)*VLOOKUP('Données projet'!$B$12,Paramètres!$A$1:$I$89,5,0)</f>
        <v>-1.6138983482960614E-13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236.22643401787644</v>
      </c>
      <c r="CE182" s="62">
        <f t="shared" si="148"/>
        <v>188.80444043778022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2.8421709430404007E-13</v>
      </c>
      <c r="CU182" s="18">
        <f>CT182*VLOOKUP('Données projet'!$B$13,Paramètres!$A$1:$I$89,3,0)*VLOOKUP('Données projet'!$B$13,Paramètres!$A$1:$I$89,5,0)</f>
        <v>1.3301360013429075E-13</v>
      </c>
      <c r="CV182" s="14">
        <f t="shared" si="173"/>
        <v>1.9329766731057041E-12</v>
      </c>
      <c r="CW182" s="22">
        <f t="shared" si="174"/>
        <v>3.5982663925596575E-12</v>
      </c>
      <c r="CX182" s="62">
        <f t="shared" si="122"/>
        <v>293.3333333333369</v>
      </c>
      <c r="CY182" s="62">
        <f ca="1">AVERAGE(OFFSET($CX$3,0,0,'Données projet'!$E$13+1,1))-AVERAGE(OFFSET($H$3,0,0,'Données projet'!$E$13+1,1))</f>
        <v>246.73711856758143</v>
      </c>
      <c r="CZ182" s="62">
        <f t="shared" si="150"/>
        <v>145.54897745089966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-5.1159076974727213E-13</v>
      </c>
      <c r="DP182" s="18">
        <f>DO182*VLOOKUP('Données projet'!$B$14,Paramètres!$A$1:$I$89,3,0)*VLOOKUP('Données projet'!$B$14,Paramètres!$A$1:$I$89,5,0)</f>
        <v>-5.3471467253984886E-13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493.70175665335978</v>
      </c>
      <c r="DU182" s="62">
        <f t="shared" si="152"/>
        <v>325.12357781685949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-1.7053025658242404E-13</v>
      </c>
      <c r="EK182" s="18">
        <f>EJ182*VLOOKUP('Données projet'!$B$15,Paramètres!$A$1:$I$89,3,0)*VLOOKUP('Données projet'!$B$15,Paramètres!$A$1:$I$89,5,0)</f>
        <v>-1.4897523215040567E-13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202.86354781280403</v>
      </c>
      <c r="EP182" s="62">
        <f t="shared" si="154"/>
        <v>217.25323885665131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-1.7053025658242404E-13</v>
      </c>
      <c r="FF182" s="18">
        <f>FE182*VLOOKUP('Données projet'!$B$16,Paramètres!$A$1:$I$89,3,0)*VLOOKUP('Données projet'!$B$16,Paramètres!$A$1:$I$89,5,0)</f>
        <v>-1.6227659216383472E-13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353.61481736740694</v>
      </c>
      <c r="FK182" s="62">
        <f t="shared" si="156"/>
        <v>244.7141066773861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5.6843418860808015E-14</v>
      </c>
      <c r="GA182" s="18">
        <f>FZ182*VLOOKUP('Données projet'!$B$17,Paramètres!$A$1:$I$89,3,0)*VLOOKUP('Données projet'!$B$17,Paramètres!$A$1:$I$89,5,0)</f>
        <v>6.1186256061773749E-14</v>
      </c>
      <c r="GB182" s="14">
        <f t="shared" si="185"/>
        <v>9.7328366192051127E-13</v>
      </c>
      <c r="GC182" s="22">
        <f t="shared" si="186"/>
        <v>1.8017017738191463E-12</v>
      </c>
      <c r="GD182" s="62">
        <f t="shared" si="134"/>
        <v>293.33333333333513</v>
      </c>
      <c r="GE182" s="62">
        <f ca="1">AVERAGE(OFFSET($GD$3,0,0,'Données projet'!$E$17+1,1))-AVERAGE(OFFSET($H$3,0,0,'Données projet'!$E$17+1,1))</f>
        <v>280.20599015000306</v>
      </c>
      <c r="GF182" s="62">
        <f t="shared" si="158"/>
        <v>166.97658184507787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-5.6843418860808015E-14</v>
      </c>
      <c r="GV182" s="18">
        <f>GU182*VLOOKUP('Données projet'!$B$18,Paramètres!$A$1:$I$89,3,0)*VLOOKUP('Données projet'!$B$18,Paramètres!$A$1:$I$89,5,0)</f>
        <v>-3.813056537183002E-14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291.18686311753402</v>
      </c>
      <c r="HA182" s="62">
        <f t="shared" si="160"/>
        <v>215.44422413249839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9">
        <f t="shared" si="110"/>
        <v>256.66666666666669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260.02504691866199</v>
      </c>
      <c r="T183" s="62">
        <f t="shared" si="142"/>
        <v>270.11268336406368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0.51313537029733136</v>
      </c>
      <c r="AA183" s="23">
        <f>EXP(-LN(2)/25)*AA182+(1-EXP(-LN(2)/25))/(LN(2)/25)*Calculateur!V183*Calculateur!X183*VLOOKUP('Données projet'!$B$9,Paramètres!$A$1:$I$89,3,0)*0.475*44/12</f>
        <v>0.25681308506586925</v>
      </c>
      <c r="AB183" s="23">
        <f>EXP(-LN(2)/2)*AB182+(1-EXP(-LN(2)/2))/(LN(2)/2)*V183*Y183*VLOOKUP('Données projet'!$B$9,Paramètres!$A$1:$I$89,3,0)*0.475*44/12</f>
        <v>1.6781736892196985E-22</v>
      </c>
      <c r="AC183" s="24">
        <f t="shared" si="163"/>
        <v>0.76994845536320056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475.47920969424894</v>
      </c>
      <c r="AO183" s="62">
        <f t="shared" si="144"/>
        <v>271.73544012419364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-8.7434273154940449E-13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428.8489304403459</v>
      </c>
      <c r="BJ183" s="62">
        <f t="shared" si="146"/>
        <v>247.01165577562966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-1.9895196601282805E-13</v>
      </c>
      <c r="BZ183" s="14">
        <f>BY183*VLOOKUP('Données projet'!$B$12,Paramètres!$A$1:$I$89,3,0)*VLOOKUP('Données projet'!$B$12,Paramètres!$A$1:$I$89,5,0)</f>
        <v>-1.6138983482960614E-13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236.22643401787644</v>
      </c>
      <c r="CE183" s="62">
        <f t="shared" si="148"/>
        <v>188.80444043778022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2.8421709430404007E-13</v>
      </c>
      <c r="CU183" s="18">
        <f>CT183*VLOOKUP('Données projet'!$B$13,Paramètres!$A$1:$I$89,3,0)*VLOOKUP('Données projet'!$B$13,Paramètres!$A$1:$I$89,5,0)</f>
        <v>1.3301360013429075E-13</v>
      </c>
      <c r="CV183" s="14">
        <f t="shared" si="173"/>
        <v>1.9329766731057041E-12</v>
      </c>
      <c r="CW183" s="22">
        <f t="shared" si="174"/>
        <v>3.5982663925596575E-12</v>
      </c>
      <c r="CX183" s="62">
        <f t="shared" si="122"/>
        <v>293.3333333333369</v>
      </c>
      <c r="CY183" s="62">
        <f ca="1">AVERAGE(OFFSET($CX$3,0,0,'Données projet'!$E$13+1,1))-AVERAGE(OFFSET($H$3,0,0,'Données projet'!$E$13+1,1))</f>
        <v>246.73711856758143</v>
      </c>
      <c r="CZ183" s="62">
        <f t="shared" si="150"/>
        <v>145.54897745089966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-5.1159076974727213E-13</v>
      </c>
      <c r="DP183" s="18">
        <f>DO183*VLOOKUP('Données projet'!$B$14,Paramètres!$A$1:$I$89,3,0)*VLOOKUP('Données projet'!$B$14,Paramètres!$A$1:$I$89,5,0)</f>
        <v>-5.3471467253984886E-13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493.70175665335978</v>
      </c>
      <c r="DU183" s="62">
        <f t="shared" si="152"/>
        <v>325.12357781685949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-1.7053025658242404E-13</v>
      </c>
      <c r="EK183" s="18">
        <f>EJ183*VLOOKUP('Données projet'!$B$15,Paramètres!$A$1:$I$89,3,0)*VLOOKUP('Données projet'!$B$15,Paramètres!$A$1:$I$89,5,0)</f>
        <v>-1.4897523215040567E-13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202.86354781280403</v>
      </c>
      <c r="EP183" s="62">
        <f t="shared" si="154"/>
        <v>217.25323885665131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-1.7053025658242404E-13</v>
      </c>
      <c r="FF183" s="18">
        <f>FE183*VLOOKUP('Données projet'!$B$16,Paramètres!$A$1:$I$89,3,0)*VLOOKUP('Données projet'!$B$16,Paramètres!$A$1:$I$89,5,0)</f>
        <v>-1.6227659216383472E-13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353.61481736740694</v>
      </c>
      <c r="FK183" s="62">
        <f t="shared" si="156"/>
        <v>244.7141066773861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5.6843418860808015E-14</v>
      </c>
      <c r="GA183" s="18">
        <f>FZ183*VLOOKUP('Données projet'!$B$17,Paramètres!$A$1:$I$89,3,0)*VLOOKUP('Données projet'!$B$17,Paramètres!$A$1:$I$89,5,0)</f>
        <v>6.1186256061773749E-14</v>
      </c>
      <c r="GB183" s="14">
        <f t="shared" si="185"/>
        <v>9.7328366192051127E-13</v>
      </c>
      <c r="GC183" s="22">
        <f t="shared" si="186"/>
        <v>1.8017017738191463E-12</v>
      </c>
      <c r="GD183" s="62">
        <f t="shared" si="134"/>
        <v>293.33333333333513</v>
      </c>
      <c r="GE183" s="62">
        <f ca="1">AVERAGE(OFFSET($GD$3,0,0,'Données projet'!$E$17+1,1))-AVERAGE(OFFSET($H$3,0,0,'Données projet'!$E$17+1,1))</f>
        <v>280.20599015000306</v>
      </c>
      <c r="GF183" s="62">
        <f t="shared" si="158"/>
        <v>166.97658184507787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-5.6843418860808015E-14</v>
      </c>
      <c r="GV183" s="18">
        <f>GU183*VLOOKUP('Données projet'!$B$18,Paramètres!$A$1:$I$89,3,0)*VLOOKUP('Données projet'!$B$18,Paramètres!$A$1:$I$89,5,0)</f>
        <v>-3.813056537183002E-14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291.18686311753402</v>
      </c>
      <c r="HA183" s="62">
        <f t="shared" si="160"/>
        <v>215.44422413249839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9">
        <f t="shared" si="110"/>
        <v>256.66666666666669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260.02504691866199</v>
      </c>
      <c r="T184" s="62">
        <f t="shared" si="142"/>
        <v>270.11268336406368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0.50307309866747218</v>
      </c>
      <c r="AA184" s="23">
        <f>EXP(-LN(2)/25)*AA183+(1-EXP(-LN(2)/25))/(LN(2)/25)*Calculateur!V184*Calculateur!X184*VLOOKUP('Données projet'!$B$9,Paramètres!$A$1:$I$89,3,0)*0.475*44/12</f>
        <v>0.24979051774952987</v>
      </c>
      <c r="AB184" s="23">
        <f>EXP(-LN(2)/2)*AB183+(1-EXP(-LN(2)/2))/(LN(2)/2)*V184*Y184*VLOOKUP('Données projet'!$B$9,Paramètres!$A$1:$I$89,3,0)*0.475*44/12</f>
        <v>1.1866479956560946E-22</v>
      </c>
      <c r="AC184" s="24">
        <f t="shared" si="163"/>
        <v>0.75286361641700206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475.47920969424894</v>
      </c>
      <c r="AO184" s="62">
        <f t="shared" si="144"/>
        <v>271.73544012419364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-8.7434273154940449E-13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428.8489304403459</v>
      </c>
      <c r="BJ184" s="62">
        <f t="shared" si="146"/>
        <v>247.01165577562966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-1.9895196601282805E-13</v>
      </c>
      <c r="BZ184" s="14">
        <f>BY184*VLOOKUP('Données projet'!$B$12,Paramètres!$A$1:$I$89,3,0)*VLOOKUP('Données projet'!$B$12,Paramètres!$A$1:$I$89,5,0)</f>
        <v>-1.6138983482960614E-13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236.22643401787644</v>
      </c>
      <c r="CE184" s="62">
        <f t="shared" si="148"/>
        <v>188.80444043778022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2.8421709430404007E-13</v>
      </c>
      <c r="CU184" s="18">
        <f>CT184*VLOOKUP('Données projet'!$B$13,Paramètres!$A$1:$I$89,3,0)*VLOOKUP('Données projet'!$B$13,Paramètres!$A$1:$I$89,5,0)</f>
        <v>1.3301360013429075E-13</v>
      </c>
      <c r="CV184" s="14">
        <f t="shared" si="173"/>
        <v>1.9329766731057041E-12</v>
      </c>
      <c r="CW184" s="22">
        <f t="shared" si="174"/>
        <v>3.5982663925596575E-12</v>
      </c>
      <c r="CX184" s="62">
        <f t="shared" si="122"/>
        <v>293.3333333333369</v>
      </c>
      <c r="CY184" s="62">
        <f ca="1">AVERAGE(OFFSET($CX$3,0,0,'Données projet'!$E$13+1,1))-AVERAGE(OFFSET($H$3,0,0,'Données projet'!$E$13+1,1))</f>
        <v>246.73711856758143</v>
      </c>
      <c r="CZ184" s="62">
        <f t="shared" si="150"/>
        <v>145.54897745089966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-5.1159076974727213E-13</v>
      </c>
      <c r="DP184" s="18">
        <f>DO184*VLOOKUP('Données projet'!$B$14,Paramètres!$A$1:$I$89,3,0)*VLOOKUP('Données projet'!$B$14,Paramètres!$A$1:$I$89,5,0)</f>
        <v>-5.3471467253984886E-13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493.70175665335978</v>
      </c>
      <c r="DU184" s="62">
        <f t="shared" si="152"/>
        <v>325.12357781685949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-1.7053025658242404E-13</v>
      </c>
      <c r="EK184" s="18">
        <f>EJ184*VLOOKUP('Données projet'!$B$15,Paramètres!$A$1:$I$89,3,0)*VLOOKUP('Données projet'!$B$15,Paramètres!$A$1:$I$89,5,0)</f>
        <v>-1.4897523215040567E-13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202.86354781280403</v>
      </c>
      <c r="EP184" s="62">
        <f t="shared" si="154"/>
        <v>217.25323885665131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-1.7053025658242404E-13</v>
      </c>
      <c r="FF184" s="18">
        <f>FE184*VLOOKUP('Données projet'!$B$16,Paramètres!$A$1:$I$89,3,0)*VLOOKUP('Données projet'!$B$16,Paramètres!$A$1:$I$89,5,0)</f>
        <v>-1.6227659216383472E-13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353.61481736740694</v>
      </c>
      <c r="FK184" s="62">
        <f t="shared" si="156"/>
        <v>244.7141066773861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5.6843418860808015E-14</v>
      </c>
      <c r="GA184" s="18">
        <f>FZ184*VLOOKUP('Données projet'!$B$17,Paramètres!$A$1:$I$89,3,0)*VLOOKUP('Données projet'!$B$17,Paramètres!$A$1:$I$89,5,0)</f>
        <v>6.1186256061773749E-14</v>
      </c>
      <c r="GB184" s="14">
        <f t="shared" si="185"/>
        <v>9.7328366192051127E-13</v>
      </c>
      <c r="GC184" s="22">
        <f t="shared" si="186"/>
        <v>1.8017017738191463E-12</v>
      </c>
      <c r="GD184" s="62">
        <f t="shared" si="134"/>
        <v>293.33333333333513</v>
      </c>
      <c r="GE184" s="62">
        <f ca="1">AVERAGE(OFFSET($GD$3,0,0,'Données projet'!$E$17+1,1))-AVERAGE(OFFSET($H$3,0,0,'Données projet'!$E$17+1,1))</f>
        <v>280.20599015000306</v>
      </c>
      <c r="GF184" s="62">
        <f t="shared" si="158"/>
        <v>166.97658184507787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-5.6843418860808015E-14</v>
      </c>
      <c r="GV184" s="18">
        <f>GU184*VLOOKUP('Données projet'!$B$18,Paramètres!$A$1:$I$89,3,0)*VLOOKUP('Données projet'!$B$18,Paramètres!$A$1:$I$89,5,0)</f>
        <v>-3.813056537183002E-14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291.18686311753402</v>
      </c>
      <c r="HA184" s="62">
        <f t="shared" si="160"/>
        <v>215.44422413249839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9">
        <f t="shared" si="110"/>
        <v>256.66666666666669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260.02504691866199</v>
      </c>
      <c r="T185" s="62">
        <f t="shared" si="142"/>
        <v>270.11268336406368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0.49320814204689489</v>
      </c>
      <c r="AA185" s="23">
        <f>EXP(-LN(2)/25)*AA184+(1-EXP(-LN(2)/25))/(LN(2)/25)*Calculateur!V185*Calculateur!X185*VLOOKUP('Données projet'!$B$9,Paramètres!$A$1:$I$89,3,0)*0.475*44/12</f>
        <v>0.24295998290575654</v>
      </c>
      <c r="AB185" s="23">
        <f>EXP(-LN(2)/2)*AB184+(1-EXP(-LN(2)/2))/(LN(2)/2)*V185*Y185*VLOOKUP('Données projet'!$B$9,Paramètres!$A$1:$I$89,3,0)*0.475*44/12</f>
        <v>8.3908684460984925E-23</v>
      </c>
      <c r="AC185" s="24">
        <f t="shared" si="163"/>
        <v>0.73616812495265149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475.47920969424894</v>
      </c>
      <c r="AO185" s="62">
        <f t="shared" si="144"/>
        <v>271.73544012419364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-8.7434273154940449E-13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428.8489304403459</v>
      </c>
      <c r="BJ185" s="62">
        <f t="shared" si="146"/>
        <v>247.01165577562966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-1.9895196601282805E-13</v>
      </c>
      <c r="BZ185" s="14">
        <f>BY185*VLOOKUP('Données projet'!$B$12,Paramètres!$A$1:$I$89,3,0)*VLOOKUP('Données projet'!$B$12,Paramètres!$A$1:$I$89,5,0)</f>
        <v>-1.6138983482960614E-13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236.22643401787644</v>
      </c>
      <c r="CE185" s="62">
        <f t="shared" si="148"/>
        <v>188.80444043778022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2.8421709430404007E-13</v>
      </c>
      <c r="CU185" s="18">
        <f>CT185*VLOOKUP('Données projet'!$B$13,Paramètres!$A$1:$I$89,3,0)*VLOOKUP('Données projet'!$B$13,Paramètres!$A$1:$I$89,5,0)</f>
        <v>1.3301360013429075E-13</v>
      </c>
      <c r="CV185" s="14">
        <f t="shared" si="173"/>
        <v>1.9329766731057041E-12</v>
      </c>
      <c r="CW185" s="22">
        <f t="shared" si="174"/>
        <v>3.5982663925596575E-12</v>
      </c>
      <c r="CX185" s="62">
        <f t="shared" si="122"/>
        <v>293.3333333333369</v>
      </c>
      <c r="CY185" s="62">
        <f ca="1">AVERAGE(OFFSET($CX$3,0,0,'Données projet'!$E$13+1,1))-AVERAGE(OFFSET($H$3,0,0,'Données projet'!$E$13+1,1))</f>
        <v>246.73711856758143</v>
      </c>
      <c r="CZ185" s="62">
        <f t="shared" si="150"/>
        <v>145.54897745089966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-5.1159076974727213E-13</v>
      </c>
      <c r="DP185" s="18">
        <f>DO185*VLOOKUP('Données projet'!$B$14,Paramètres!$A$1:$I$89,3,0)*VLOOKUP('Données projet'!$B$14,Paramètres!$A$1:$I$89,5,0)</f>
        <v>-5.3471467253984886E-13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493.70175665335978</v>
      </c>
      <c r="DU185" s="62">
        <f t="shared" si="152"/>
        <v>325.12357781685949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-1.7053025658242404E-13</v>
      </c>
      <c r="EK185" s="18">
        <f>EJ185*VLOOKUP('Données projet'!$B$15,Paramètres!$A$1:$I$89,3,0)*VLOOKUP('Données projet'!$B$15,Paramètres!$A$1:$I$89,5,0)</f>
        <v>-1.4897523215040567E-13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202.86354781280403</v>
      </c>
      <c r="EP185" s="62">
        <f t="shared" si="154"/>
        <v>217.25323885665131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-1.7053025658242404E-13</v>
      </c>
      <c r="FF185" s="18">
        <f>FE185*VLOOKUP('Données projet'!$B$16,Paramètres!$A$1:$I$89,3,0)*VLOOKUP('Données projet'!$B$16,Paramètres!$A$1:$I$89,5,0)</f>
        <v>-1.6227659216383472E-13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353.61481736740694</v>
      </c>
      <c r="FK185" s="62">
        <f t="shared" si="156"/>
        <v>244.7141066773861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5.6843418860808015E-14</v>
      </c>
      <c r="GA185" s="18">
        <f>FZ185*VLOOKUP('Données projet'!$B$17,Paramètres!$A$1:$I$89,3,0)*VLOOKUP('Données projet'!$B$17,Paramètres!$A$1:$I$89,5,0)</f>
        <v>6.1186256061773749E-14</v>
      </c>
      <c r="GB185" s="14">
        <f t="shared" si="185"/>
        <v>9.7328366192051127E-13</v>
      </c>
      <c r="GC185" s="22">
        <f t="shared" si="186"/>
        <v>1.8017017738191463E-12</v>
      </c>
      <c r="GD185" s="62">
        <f t="shared" si="134"/>
        <v>293.33333333333513</v>
      </c>
      <c r="GE185" s="62">
        <f ca="1">AVERAGE(OFFSET($GD$3,0,0,'Données projet'!$E$17+1,1))-AVERAGE(OFFSET($H$3,0,0,'Données projet'!$E$17+1,1))</f>
        <v>280.20599015000306</v>
      </c>
      <c r="GF185" s="62">
        <f t="shared" si="158"/>
        <v>166.97658184507787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-5.6843418860808015E-14</v>
      </c>
      <c r="GV185" s="18">
        <f>GU185*VLOOKUP('Données projet'!$B$18,Paramètres!$A$1:$I$89,3,0)*VLOOKUP('Données projet'!$B$18,Paramètres!$A$1:$I$89,5,0)</f>
        <v>-3.813056537183002E-14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291.18686311753402</v>
      </c>
      <c r="HA185" s="62">
        <f t="shared" si="160"/>
        <v>215.44422413249839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9">
        <f t="shared" si="110"/>
        <v>256.66666666666669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260.02504691866199</v>
      </c>
      <c r="T186" s="62">
        <f t="shared" si="142"/>
        <v>270.11268336406368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0.48353663120861773</v>
      </c>
      <c r="AA186" s="23">
        <f>EXP(-LN(2)/25)*AA185+(1-EXP(-LN(2)/25))/(LN(2)/25)*Calculateur!V186*Calculateur!X186*VLOOKUP('Données projet'!$B$9,Paramètres!$A$1:$I$89,3,0)*0.475*44/12</f>
        <v>0.23631622939648841</v>
      </c>
      <c r="AB186" s="23">
        <f>EXP(-LN(2)/2)*AB185+(1-EXP(-LN(2)/2))/(LN(2)/2)*V186*Y186*VLOOKUP('Données projet'!$B$9,Paramètres!$A$1:$I$89,3,0)*0.475*44/12</f>
        <v>5.9332399782804728E-23</v>
      </c>
      <c r="AC186" s="24">
        <f t="shared" si="163"/>
        <v>0.71985286060510612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475.47920969424894</v>
      </c>
      <c r="AO186" s="62">
        <f t="shared" si="144"/>
        <v>271.73544012419364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-8.7434273154940449E-13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428.8489304403459</v>
      </c>
      <c r="BJ186" s="62">
        <f t="shared" si="146"/>
        <v>247.01165577562966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-1.9895196601282805E-13</v>
      </c>
      <c r="BZ186" s="14">
        <f>BY186*VLOOKUP('Données projet'!$B$12,Paramètres!$A$1:$I$89,3,0)*VLOOKUP('Données projet'!$B$12,Paramètres!$A$1:$I$89,5,0)</f>
        <v>-1.6138983482960614E-13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236.22643401787644</v>
      </c>
      <c r="CE186" s="62">
        <f t="shared" si="148"/>
        <v>188.80444043778022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2.8421709430404007E-13</v>
      </c>
      <c r="CU186" s="18">
        <f>CT186*VLOOKUP('Données projet'!$B$13,Paramètres!$A$1:$I$89,3,0)*VLOOKUP('Données projet'!$B$13,Paramètres!$A$1:$I$89,5,0)</f>
        <v>1.3301360013429075E-13</v>
      </c>
      <c r="CV186" s="14">
        <f t="shared" si="173"/>
        <v>1.9329766731057041E-12</v>
      </c>
      <c r="CW186" s="22">
        <f t="shared" si="174"/>
        <v>3.5982663925596575E-12</v>
      </c>
      <c r="CX186" s="62">
        <f t="shared" si="122"/>
        <v>293.3333333333369</v>
      </c>
      <c r="CY186" s="62">
        <f ca="1">AVERAGE(OFFSET($CX$3,0,0,'Données projet'!$E$13+1,1))-AVERAGE(OFFSET($H$3,0,0,'Données projet'!$E$13+1,1))</f>
        <v>246.73711856758143</v>
      </c>
      <c r="CZ186" s="62">
        <f t="shared" si="150"/>
        <v>145.54897745089966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-5.1159076974727213E-13</v>
      </c>
      <c r="DP186" s="18">
        <f>DO186*VLOOKUP('Données projet'!$B$14,Paramètres!$A$1:$I$89,3,0)*VLOOKUP('Données projet'!$B$14,Paramètres!$A$1:$I$89,5,0)</f>
        <v>-5.3471467253984886E-13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493.70175665335978</v>
      </c>
      <c r="DU186" s="62">
        <f t="shared" si="152"/>
        <v>325.12357781685949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-1.7053025658242404E-13</v>
      </c>
      <c r="EK186" s="18">
        <f>EJ186*VLOOKUP('Données projet'!$B$15,Paramètres!$A$1:$I$89,3,0)*VLOOKUP('Données projet'!$B$15,Paramètres!$A$1:$I$89,5,0)</f>
        <v>-1.4897523215040567E-13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202.86354781280403</v>
      </c>
      <c r="EP186" s="62">
        <f t="shared" si="154"/>
        <v>217.25323885665131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-1.7053025658242404E-13</v>
      </c>
      <c r="FF186" s="18">
        <f>FE186*VLOOKUP('Données projet'!$B$16,Paramètres!$A$1:$I$89,3,0)*VLOOKUP('Données projet'!$B$16,Paramètres!$A$1:$I$89,5,0)</f>
        <v>-1.6227659216383472E-13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353.61481736740694</v>
      </c>
      <c r="FK186" s="62">
        <f t="shared" si="156"/>
        <v>244.7141066773861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5.6843418860808015E-14</v>
      </c>
      <c r="GA186" s="18">
        <f>FZ186*VLOOKUP('Données projet'!$B$17,Paramètres!$A$1:$I$89,3,0)*VLOOKUP('Données projet'!$B$17,Paramètres!$A$1:$I$89,5,0)</f>
        <v>6.1186256061773749E-14</v>
      </c>
      <c r="GB186" s="14">
        <f t="shared" si="185"/>
        <v>9.7328366192051127E-13</v>
      </c>
      <c r="GC186" s="22">
        <f t="shared" si="186"/>
        <v>1.8017017738191463E-12</v>
      </c>
      <c r="GD186" s="62">
        <f t="shared" si="134"/>
        <v>293.33333333333513</v>
      </c>
      <c r="GE186" s="62">
        <f ca="1">AVERAGE(OFFSET($GD$3,0,0,'Données projet'!$E$17+1,1))-AVERAGE(OFFSET($H$3,0,0,'Données projet'!$E$17+1,1))</f>
        <v>280.20599015000306</v>
      </c>
      <c r="GF186" s="62">
        <f t="shared" si="158"/>
        <v>166.97658184507787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-5.6843418860808015E-14</v>
      </c>
      <c r="GV186" s="18">
        <f>GU186*VLOOKUP('Données projet'!$B$18,Paramètres!$A$1:$I$89,3,0)*VLOOKUP('Données projet'!$B$18,Paramètres!$A$1:$I$89,5,0)</f>
        <v>-3.813056537183002E-14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291.18686311753402</v>
      </c>
      <c r="HA186" s="62">
        <f t="shared" si="160"/>
        <v>215.44422413249839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9">
        <f t="shared" si="110"/>
        <v>256.66666666666669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260.02504691866199</v>
      </c>
      <c r="T187" s="62">
        <f t="shared" si="142"/>
        <v>270.11268336406368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0.47405477279884001</v>
      </c>
      <c r="AA187" s="23">
        <f>EXP(-LN(2)/25)*AA186+(1-EXP(-LN(2)/25))/(LN(2)/25)*Calculateur!V187*Calculateur!X187*VLOOKUP('Données projet'!$B$9,Paramètres!$A$1:$I$89,3,0)*0.475*44/12</f>
        <v>0.22985414967631104</v>
      </c>
      <c r="AB187" s="23">
        <f>EXP(-LN(2)/2)*AB186+(1-EXP(-LN(2)/2))/(LN(2)/2)*V187*Y187*VLOOKUP('Données projet'!$B$9,Paramètres!$A$1:$I$89,3,0)*0.475*44/12</f>
        <v>4.1954342230492463E-23</v>
      </c>
      <c r="AC187" s="24">
        <f t="shared" si="163"/>
        <v>0.70390892247515102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475.47920969424894</v>
      </c>
      <c r="AO187" s="62">
        <f t="shared" si="144"/>
        <v>271.73544012419364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-8.7434273154940449E-13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428.8489304403459</v>
      </c>
      <c r="BJ187" s="62">
        <f t="shared" si="146"/>
        <v>247.01165577562966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-1.9895196601282805E-13</v>
      </c>
      <c r="BZ187" s="14">
        <f>BY187*VLOOKUP('Données projet'!$B$12,Paramètres!$A$1:$I$89,3,0)*VLOOKUP('Données projet'!$B$12,Paramètres!$A$1:$I$89,5,0)</f>
        <v>-1.6138983482960614E-13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236.22643401787644</v>
      </c>
      <c r="CE187" s="62">
        <f t="shared" si="148"/>
        <v>188.80444043778022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2.8421709430404007E-13</v>
      </c>
      <c r="CU187" s="18">
        <f>CT187*VLOOKUP('Données projet'!$B$13,Paramètres!$A$1:$I$89,3,0)*VLOOKUP('Données projet'!$B$13,Paramètres!$A$1:$I$89,5,0)</f>
        <v>1.3301360013429075E-13</v>
      </c>
      <c r="CV187" s="14">
        <f t="shared" si="173"/>
        <v>1.9329766731057041E-12</v>
      </c>
      <c r="CW187" s="22">
        <f t="shared" si="174"/>
        <v>3.5982663925596575E-12</v>
      </c>
      <c r="CX187" s="62">
        <f t="shared" si="122"/>
        <v>293.3333333333369</v>
      </c>
      <c r="CY187" s="62">
        <f ca="1">AVERAGE(OFFSET($CX$3,0,0,'Données projet'!$E$13+1,1))-AVERAGE(OFFSET($H$3,0,0,'Données projet'!$E$13+1,1))</f>
        <v>246.73711856758143</v>
      </c>
      <c r="CZ187" s="62">
        <f t="shared" si="150"/>
        <v>145.54897745089966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-5.1159076974727213E-13</v>
      </c>
      <c r="DP187" s="18">
        <f>DO187*VLOOKUP('Données projet'!$B$14,Paramètres!$A$1:$I$89,3,0)*VLOOKUP('Données projet'!$B$14,Paramètres!$A$1:$I$89,5,0)</f>
        <v>-5.3471467253984886E-13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493.70175665335978</v>
      </c>
      <c r="DU187" s="62">
        <f t="shared" si="152"/>
        <v>325.12357781685949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-1.7053025658242404E-13</v>
      </c>
      <c r="EK187" s="18">
        <f>EJ187*VLOOKUP('Données projet'!$B$15,Paramètres!$A$1:$I$89,3,0)*VLOOKUP('Données projet'!$B$15,Paramètres!$A$1:$I$89,5,0)</f>
        <v>-1.4897523215040567E-13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202.86354781280403</v>
      </c>
      <c r="EP187" s="62">
        <f t="shared" si="154"/>
        <v>217.25323885665131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-1.7053025658242404E-13</v>
      </c>
      <c r="FF187" s="18">
        <f>FE187*VLOOKUP('Données projet'!$B$16,Paramètres!$A$1:$I$89,3,0)*VLOOKUP('Données projet'!$B$16,Paramètres!$A$1:$I$89,5,0)</f>
        <v>-1.6227659216383472E-13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353.61481736740694</v>
      </c>
      <c r="FK187" s="62">
        <f t="shared" si="156"/>
        <v>244.7141066773861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5.6843418860808015E-14</v>
      </c>
      <c r="GA187" s="18">
        <f>FZ187*VLOOKUP('Données projet'!$B$17,Paramètres!$A$1:$I$89,3,0)*VLOOKUP('Données projet'!$B$17,Paramètres!$A$1:$I$89,5,0)</f>
        <v>6.1186256061773749E-14</v>
      </c>
      <c r="GB187" s="14">
        <f t="shared" si="185"/>
        <v>9.7328366192051127E-13</v>
      </c>
      <c r="GC187" s="22">
        <f t="shared" si="186"/>
        <v>1.8017017738191463E-12</v>
      </c>
      <c r="GD187" s="62">
        <f t="shared" si="134"/>
        <v>293.33333333333513</v>
      </c>
      <c r="GE187" s="62">
        <f ca="1">AVERAGE(OFFSET($GD$3,0,0,'Données projet'!$E$17+1,1))-AVERAGE(OFFSET($H$3,0,0,'Données projet'!$E$17+1,1))</f>
        <v>280.20599015000306</v>
      </c>
      <c r="GF187" s="62">
        <f t="shared" si="158"/>
        <v>166.97658184507787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-5.6843418860808015E-14</v>
      </c>
      <c r="GV187" s="18">
        <f>GU187*VLOOKUP('Données projet'!$B$18,Paramètres!$A$1:$I$89,3,0)*VLOOKUP('Données projet'!$B$18,Paramètres!$A$1:$I$89,5,0)</f>
        <v>-3.813056537183002E-14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291.18686311753402</v>
      </c>
      <c r="HA187" s="62">
        <f t="shared" si="160"/>
        <v>215.44422413249839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9">
        <f t="shared" si="110"/>
        <v>256.66666666666669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260.02504691866199</v>
      </c>
      <c r="T188" s="62">
        <f t="shared" si="142"/>
        <v>270.11268336406368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0.46475884784911548</v>
      </c>
      <c r="AA188" s="23">
        <f>EXP(-LN(2)/25)*AA187+(1-EXP(-LN(2)/25))/(LN(2)/25)*Calculateur!V188*Calculateur!X188*VLOOKUP('Données projet'!$B$9,Paramètres!$A$1:$I$89,3,0)*0.475*44/12</f>
        <v>0.22356877586590793</v>
      </c>
      <c r="AB188" s="23">
        <f>EXP(-LN(2)/2)*AB187+(1-EXP(-LN(2)/2))/(LN(2)/2)*V188*Y188*VLOOKUP('Données projet'!$B$9,Paramètres!$A$1:$I$89,3,0)*0.475*44/12</f>
        <v>2.9666199891402364E-23</v>
      </c>
      <c r="AC188" s="24">
        <f t="shared" si="163"/>
        <v>0.68832762371502343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475.47920969424894</v>
      </c>
      <c r="AO188" s="62">
        <f t="shared" si="144"/>
        <v>271.73544012419364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-8.7434273154940449E-13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428.8489304403459</v>
      </c>
      <c r="BJ188" s="62">
        <f t="shared" si="146"/>
        <v>247.01165577562966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-1.9895196601282805E-13</v>
      </c>
      <c r="BZ188" s="14">
        <f>BY188*VLOOKUP('Données projet'!$B$12,Paramètres!$A$1:$I$89,3,0)*VLOOKUP('Données projet'!$B$12,Paramètres!$A$1:$I$89,5,0)</f>
        <v>-1.6138983482960614E-13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236.22643401787644</v>
      </c>
      <c r="CE188" s="62">
        <f t="shared" si="148"/>
        <v>188.80444043778022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2.8421709430404007E-13</v>
      </c>
      <c r="CU188" s="18">
        <f>CT188*VLOOKUP('Données projet'!$B$13,Paramètres!$A$1:$I$89,3,0)*VLOOKUP('Données projet'!$B$13,Paramètres!$A$1:$I$89,5,0)</f>
        <v>1.3301360013429075E-13</v>
      </c>
      <c r="CV188" s="14">
        <f t="shared" si="173"/>
        <v>1.9329766731057041E-12</v>
      </c>
      <c r="CW188" s="22">
        <f t="shared" si="174"/>
        <v>3.5982663925596575E-12</v>
      </c>
      <c r="CX188" s="62">
        <f t="shared" si="122"/>
        <v>293.3333333333369</v>
      </c>
      <c r="CY188" s="62">
        <f ca="1">AVERAGE(OFFSET($CX$3,0,0,'Données projet'!$E$13+1,1))-AVERAGE(OFFSET($H$3,0,0,'Données projet'!$E$13+1,1))</f>
        <v>246.73711856758143</v>
      </c>
      <c r="CZ188" s="62">
        <f t="shared" si="150"/>
        <v>145.54897745089966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-5.1159076974727213E-13</v>
      </c>
      <c r="DP188" s="18">
        <f>DO188*VLOOKUP('Données projet'!$B$14,Paramètres!$A$1:$I$89,3,0)*VLOOKUP('Données projet'!$B$14,Paramètres!$A$1:$I$89,5,0)</f>
        <v>-5.3471467253984886E-13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493.70175665335978</v>
      </c>
      <c r="DU188" s="62">
        <f t="shared" si="152"/>
        <v>325.12357781685949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-1.7053025658242404E-13</v>
      </c>
      <c r="EK188" s="18">
        <f>EJ188*VLOOKUP('Données projet'!$B$15,Paramètres!$A$1:$I$89,3,0)*VLOOKUP('Données projet'!$B$15,Paramètres!$A$1:$I$89,5,0)</f>
        <v>-1.4897523215040567E-13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202.86354781280403</v>
      </c>
      <c r="EP188" s="62">
        <f t="shared" si="154"/>
        <v>217.25323885665131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-1.7053025658242404E-13</v>
      </c>
      <c r="FF188" s="18">
        <f>FE188*VLOOKUP('Données projet'!$B$16,Paramètres!$A$1:$I$89,3,0)*VLOOKUP('Données projet'!$B$16,Paramètres!$A$1:$I$89,5,0)</f>
        <v>-1.6227659216383472E-13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353.61481736740694</v>
      </c>
      <c r="FK188" s="62">
        <f t="shared" si="156"/>
        <v>244.7141066773861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5.6843418860808015E-14</v>
      </c>
      <c r="GA188" s="18">
        <f>FZ188*VLOOKUP('Données projet'!$B$17,Paramètres!$A$1:$I$89,3,0)*VLOOKUP('Données projet'!$B$17,Paramètres!$A$1:$I$89,5,0)</f>
        <v>6.1186256061773749E-14</v>
      </c>
      <c r="GB188" s="14">
        <f t="shared" si="185"/>
        <v>9.7328366192051127E-13</v>
      </c>
      <c r="GC188" s="22">
        <f t="shared" si="186"/>
        <v>1.8017017738191463E-12</v>
      </c>
      <c r="GD188" s="62">
        <f t="shared" si="134"/>
        <v>293.33333333333513</v>
      </c>
      <c r="GE188" s="62">
        <f ca="1">AVERAGE(OFFSET($GD$3,0,0,'Données projet'!$E$17+1,1))-AVERAGE(OFFSET($H$3,0,0,'Données projet'!$E$17+1,1))</f>
        <v>280.20599015000306</v>
      </c>
      <c r="GF188" s="62">
        <f t="shared" si="158"/>
        <v>166.97658184507787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-5.6843418860808015E-14</v>
      </c>
      <c r="GV188" s="18">
        <f>GU188*VLOOKUP('Données projet'!$B$18,Paramètres!$A$1:$I$89,3,0)*VLOOKUP('Données projet'!$B$18,Paramètres!$A$1:$I$89,5,0)</f>
        <v>-3.813056537183002E-14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291.18686311753402</v>
      </c>
      <c r="HA188" s="62">
        <f t="shared" si="160"/>
        <v>215.44422413249839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9">
        <f t="shared" si="110"/>
        <v>256.66666666666669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260.02504691866199</v>
      </c>
      <c r="T189" s="62">
        <f t="shared" si="142"/>
        <v>270.11268336406368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0.45564521031770067</v>
      </c>
      <c r="AA189" s="23">
        <f>EXP(-LN(2)/25)*AA188+(1-EXP(-LN(2)/25))/(LN(2)/25)*Calculateur!V189*Calculateur!X189*VLOOKUP('Données projet'!$B$9,Paramètres!$A$1:$I$89,3,0)*0.475*44/12</f>
        <v>0.21745527593288372</v>
      </c>
      <c r="AB189" s="23">
        <f>EXP(-LN(2)/2)*AB188+(1-EXP(-LN(2)/2))/(LN(2)/2)*V189*Y189*VLOOKUP('Données projet'!$B$9,Paramètres!$A$1:$I$89,3,0)*0.475*44/12</f>
        <v>2.0977171115246231E-23</v>
      </c>
      <c r="AC189" s="24">
        <f t="shared" si="163"/>
        <v>0.67310048625058438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475.47920969424894</v>
      </c>
      <c r="AO189" s="62">
        <f t="shared" si="144"/>
        <v>271.73544012419364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-8.7434273154940449E-13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428.8489304403459</v>
      </c>
      <c r="BJ189" s="62">
        <f t="shared" si="146"/>
        <v>247.01165577562966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-1.9895196601282805E-13</v>
      </c>
      <c r="BZ189" s="14">
        <f>BY189*VLOOKUP('Données projet'!$B$12,Paramètres!$A$1:$I$89,3,0)*VLOOKUP('Données projet'!$B$12,Paramètres!$A$1:$I$89,5,0)</f>
        <v>-1.6138983482960614E-13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236.22643401787644</v>
      </c>
      <c r="CE189" s="62">
        <f t="shared" si="148"/>
        <v>188.80444043778022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2.8421709430404007E-13</v>
      </c>
      <c r="CU189" s="18">
        <f>CT189*VLOOKUP('Données projet'!$B$13,Paramètres!$A$1:$I$89,3,0)*VLOOKUP('Données projet'!$B$13,Paramètres!$A$1:$I$89,5,0)</f>
        <v>1.3301360013429075E-13</v>
      </c>
      <c r="CV189" s="14">
        <f t="shared" si="173"/>
        <v>1.9329766731057041E-12</v>
      </c>
      <c r="CW189" s="22">
        <f t="shared" si="174"/>
        <v>3.5982663925596575E-12</v>
      </c>
      <c r="CX189" s="62">
        <f t="shared" si="122"/>
        <v>293.3333333333369</v>
      </c>
      <c r="CY189" s="62">
        <f ca="1">AVERAGE(OFFSET($CX$3,0,0,'Données projet'!$E$13+1,1))-AVERAGE(OFFSET($H$3,0,0,'Données projet'!$E$13+1,1))</f>
        <v>246.73711856758143</v>
      </c>
      <c r="CZ189" s="62">
        <f t="shared" si="150"/>
        <v>145.54897745089966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-5.1159076974727213E-13</v>
      </c>
      <c r="DP189" s="18">
        <f>DO189*VLOOKUP('Données projet'!$B$14,Paramètres!$A$1:$I$89,3,0)*VLOOKUP('Données projet'!$B$14,Paramètres!$A$1:$I$89,5,0)</f>
        <v>-5.3471467253984886E-13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493.70175665335978</v>
      </c>
      <c r="DU189" s="62">
        <f t="shared" si="152"/>
        <v>325.12357781685949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-1.7053025658242404E-13</v>
      </c>
      <c r="EK189" s="18">
        <f>EJ189*VLOOKUP('Données projet'!$B$15,Paramètres!$A$1:$I$89,3,0)*VLOOKUP('Données projet'!$B$15,Paramètres!$A$1:$I$89,5,0)</f>
        <v>-1.4897523215040567E-13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202.86354781280403</v>
      </c>
      <c r="EP189" s="62">
        <f t="shared" si="154"/>
        <v>217.25323885665131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-1.7053025658242404E-13</v>
      </c>
      <c r="FF189" s="18">
        <f>FE189*VLOOKUP('Données projet'!$B$16,Paramètres!$A$1:$I$89,3,0)*VLOOKUP('Données projet'!$B$16,Paramètres!$A$1:$I$89,5,0)</f>
        <v>-1.6227659216383472E-13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353.61481736740694</v>
      </c>
      <c r="FK189" s="62">
        <f t="shared" si="156"/>
        <v>244.7141066773861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5.6843418860808015E-14</v>
      </c>
      <c r="GA189" s="18">
        <f>FZ189*VLOOKUP('Données projet'!$B$17,Paramètres!$A$1:$I$89,3,0)*VLOOKUP('Données projet'!$B$17,Paramètres!$A$1:$I$89,5,0)</f>
        <v>6.1186256061773749E-14</v>
      </c>
      <c r="GB189" s="14">
        <f t="shared" si="185"/>
        <v>9.7328366192051127E-13</v>
      </c>
      <c r="GC189" s="22">
        <f t="shared" si="186"/>
        <v>1.8017017738191463E-12</v>
      </c>
      <c r="GD189" s="62">
        <f t="shared" si="134"/>
        <v>293.33333333333513</v>
      </c>
      <c r="GE189" s="62">
        <f ca="1">AVERAGE(OFFSET($GD$3,0,0,'Données projet'!$E$17+1,1))-AVERAGE(OFFSET($H$3,0,0,'Données projet'!$E$17+1,1))</f>
        <v>280.20599015000306</v>
      </c>
      <c r="GF189" s="62">
        <f t="shared" si="158"/>
        <v>166.97658184507787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-5.6843418860808015E-14</v>
      </c>
      <c r="GV189" s="18">
        <f>GU189*VLOOKUP('Données projet'!$B$18,Paramètres!$A$1:$I$89,3,0)*VLOOKUP('Données projet'!$B$18,Paramètres!$A$1:$I$89,5,0)</f>
        <v>-3.813056537183002E-14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291.18686311753402</v>
      </c>
      <c r="HA189" s="62">
        <f t="shared" si="160"/>
        <v>215.44422413249839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9">
        <f t="shared" si="110"/>
        <v>256.66666666666669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260.02504691866199</v>
      </c>
      <c r="T190" s="62">
        <f t="shared" si="142"/>
        <v>270.11268336406368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0.44671028565950693</v>
      </c>
      <c r="AA190" s="23">
        <f>EXP(-LN(2)/25)*AA189+(1-EXP(-LN(2)/25))/(LN(2)/25)*Calculateur!V190*Calculateur!X190*VLOOKUP('Données projet'!$B$9,Paramètres!$A$1:$I$89,3,0)*0.475*44/12</f>
        <v>0.21150894997702305</v>
      </c>
      <c r="AB190" s="23">
        <f>EXP(-LN(2)/2)*AB189+(1-EXP(-LN(2)/2))/(LN(2)/2)*V190*Y190*VLOOKUP('Données projet'!$B$9,Paramètres!$A$1:$I$89,3,0)*0.475*44/12</f>
        <v>1.4833099945701182E-23</v>
      </c>
      <c r="AC190" s="24">
        <f t="shared" si="163"/>
        <v>0.65821923563652995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475.47920969424894</v>
      </c>
      <c r="AO190" s="62">
        <f t="shared" si="144"/>
        <v>271.73544012419364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-8.7434273154940449E-13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428.8489304403459</v>
      </c>
      <c r="BJ190" s="62">
        <f t="shared" si="146"/>
        <v>247.01165577562966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-1.9895196601282805E-13</v>
      </c>
      <c r="BZ190" s="14">
        <f>BY190*VLOOKUP('Données projet'!$B$12,Paramètres!$A$1:$I$89,3,0)*VLOOKUP('Données projet'!$B$12,Paramètres!$A$1:$I$89,5,0)</f>
        <v>-1.6138983482960614E-13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236.22643401787644</v>
      </c>
      <c r="CE190" s="62">
        <f t="shared" si="148"/>
        <v>188.80444043778022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2.8421709430404007E-13</v>
      </c>
      <c r="CU190" s="18">
        <f>CT190*VLOOKUP('Données projet'!$B$13,Paramètres!$A$1:$I$89,3,0)*VLOOKUP('Données projet'!$B$13,Paramètres!$A$1:$I$89,5,0)</f>
        <v>1.3301360013429075E-13</v>
      </c>
      <c r="CV190" s="14">
        <f t="shared" si="173"/>
        <v>1.9329766731057041E-12</v>
      </c>
      <c r="CW190" s="22">
        <f t="shared" si="174"/>
        <v>3.5982663925596575E-12</v>
      </c>
      <c r="CX190" s="62">
        <f t="shared" si="122"/>
        <v>293.3333333333369</v>
      </c>
      <c r="CY190" s="62">
        <f ca="1">AVERAGE(OFFSET($CX$3,0,0,'Données projet'!$E$13+1,1))-AVERAGE(OFFSET($H$3,0,0,'Données projet'!$E$13+1,1))</f>
        <v>246.73711856758143</v>
      </c>
      <c r="CZ190" s="62">
        <f t="shared" si="150"/>
        <v>145.54897745089966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-5.1159076974727213E-13</v>
      </c>
      <c r="DP190" s="18">
        <f>DO190*VLOOKUP('Données projet'!$B$14,Paramètres!$A$1:$I$89,3,0)*VLOOKUP('Données projet'!$B$14,Paramètres!$A$1:$I$89,5,0)</f>
        <v>-5.3471467253984886E-13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493.70175665335978</v>
      </c>
      <c r="DU190" s="62">
        <f t="shared" si="152"/>
        <v>325.12357781685949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-1.7053025658242404E-13</v>
      </c>
      <c r="EK190" s="18">
        <f>EJ190*VLOOKUP('Données projet'!$B$15,Paramètres!$A$1:$I$89,3,0)*VLOOKUP('Données projet'!$B$15,Paramètres!$A$1:$I$89,5,0)</f>
        <v>-1.4897523215040567E-13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202.86354781280403</v>
      </c>
      <c r="EP190" s="62">
        <f t="shared" si="154"/>
        <v>217.25323885665131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-1.7053025658242404E-13</v>
      </c>
      <c r="FF190" s="18">
        <f>FE190*VLOOKUP('Données projet'!$B$16,Paramètres!$A$1:$I$89,3,0)*VLOOKUP('Données projet'!$B$16,Paramètres!$A$1:$I$89,5,0)</f>
        <v>-1.6227659216383472E-13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353.61481736740694</v>
      </c>
      <c r="FK190" s="62">
        <f t="shared" si="156"/>
        <v>244.7141066773861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5.6843418860808015E-14</v>
      </c>
      <c r="GA190" s="18">
        <f>FZ190*VLOOKUP('Données projet'!$B$17,Paramètres!$A$1:$I$89,3,0)*VLOOKUP('Données projet'!$B$17,Paramètres!$A$1:$I$89,5,0)</f>
        <v>6.1186256061773749E-14</v>
      </c>
      <c r="GB190" s="14">
        <f t="shared" si="185"/>
        <v>9.7328366192051127E-13</v>
      </c>
      <c r="GC190" s="22">
        <f t="shared" si="186"/>
        <v>1.8017017738191463E-12</v>
      </c>
      <c r="GD190" s="62">
        <f t="shared" si="134"/>
        <v>293.33333333333513</v>
      </c>
      <c r="GE190" s="62">
        <f ca="1">AVERAGE(OFFSET($GD$3,0,0,'Données projet'!$E$17+1,1))-AVERAGE(OFFSET($H$3,0,0,'Données projet'!$E$17+1,1))</f>
        <v>280.20599015000306</v>
      </c>
      <c r="GF190" s="62">
        <f t="shared" si="158"/>
        <v>166.97658184507787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-5.6843418860808015E-14</v>
      </c>
      <c r="GV190" s="18">
        <f>GU190*VLOOKUP('Données projet'!$B$18,Paramètres!$A$1:$I$89,3,0)*VLOOKUP('Données projet'!$B$18,Paramètres!$A$1:$I$89,5,0)</f>
        <v>-3.813056537183002E-14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291.18686311753402</v>
      </c>
      <c r="HA190" s="62">
        <f t="shared" si="160"/>
        <v>215.44422413249839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9">
        <f t="shared" si="110"/>
        <v>256.66666666666669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260.02504691866199</v>
      </c>
      <c r="T191" s="62">
        <f t="shared" si="142"/>
        <v>270.11268336406368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0.43795056942409444</v>
      </c>
      <c r="AA191" s="23">
        <f>EXP(-LN(2)/25)*AA190+(1-EXP(-LN(2)/25))/(LN(2)/25)*Calculateur!V191*Calculateur!X191*VLOOKUP('Données projet'!$B$9,Paramètres!$A$1:$I$89,3,0)*0.475*44/12</f>
        <v>0.20572522661712908</v>
      </c>
      <c r="AB191" s="23">
        <f>EXP(-LN(2)/2)*AB190+(1-EXP(-LN(2)/2))/(LN(2)/2)*V191*Y191*VLOOKUP('Données projet'!$B$9,Paramètres!$A$1:$I$89,3,0)*0.475*44/12</f>
        <v>1.0488585557623116E-23</v>
      </c>
      <c r="AC191" s="24">
        <f t="shared" si="163"/>
        <v>0.64367579604122349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475.47920969424894</v>
      </c>
      <c r="AO191" s="62">
        <f t="shared" si="144"/>
        <v>271.73544012419364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-8.7434273154940449E-13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428.8489304403459</v>
      </c>
      <c r="BJ191" s="62">
        <f t="shared" si="146"/>
        <v>247.01165577562966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-1.9895196601282805E-13</v>
      </c>
      <c r="BZ191" s="14">
        <f>BY191*VLOOKUP('Données projet'!$B$12,Paramètres!$A$1:$I$89,3,0)*VLOOKUP('Données projet'!$B$12,Paramètres!$A$1:$I$89,5,0)</f>
        <v>-1.6138983482960614E-13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236.22643401787644</v>
      </c>
      <c r="CE191" s="62">
        <f t="shared" si="148"/>
        <v>188.80444043778022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2.8421709430404007E-13</v>
      </c>
      <c r="CU191" s="18">
        <f>CT191*VLOOKUP('Données projet'!$B$13,Paramètres!$A$1:$I$89,3,0)*VLOOKUP('Données projet'!$B$13,Paramètres!$A$1:$I$89,5,0)</f>
        <v>1.3301360013429075E-13</v>
      </c>
      <c r="CV191" s="14">
        <f t="shared" si="173"/>
        <v>1.9329766731057041E-12</v>
      </c>
      <c r="CW191" s="22">
        <f t="shared" si="174"/>
        <v>3.5982663925596575E-12</v>
      </c>
      <c r="CX191" s="62">
        <f t="shared" si="122"/>
        <v>293.3333333333369</v>
      </c>
      <c r="CY191" s="62">
        <f ca="1">AVERAGE(OFFSET($CX$3,0,0,'Données projet'!$E$13+1,1))-AVERAGE(OFFSET($H$3,0,0,'Données projet'!$E$13+1,1))</f>
        <v>246.73711856758143</v>
      </c>
      <c r="CZ191" s="62">
        <f t="shared" si="150"/>
        <v>145.54897745089966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-5.1159076974727213E-13</v>
      </c>
      <c r="DP191" s="18">
        <f>DO191*VLOOKUP('Données projet'!$B$14,Paramètres!$A$1:$I$89,3,0)*VLOOKUP('Données projet'!$B$14,Paramètres!$A$1:$I$89,5,0)</f>
        <v>-5.3471467253984886E-13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493.70175665335978</v>
      </c>
      <c r="DU191" s="62">
        <f t="shared" si="152"/>
        <v>325.12357781685949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-1.7053025658242404E-13</v>
      </c>
      <c r="EK191" s="18">
        <f>EJ191*VLOOKUP('Données projet'!$B$15,Paramètres!$A$1:$I$89,3,0)*VLOOKUP('Données projet'!$B$15,Paramètres!$A$1:$I$89,5,0)</f>
        <v>-1.4897523215040567E-13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202.86354781280403</v>
      </c>
      <c r="EP191" s="62">
        <f t="shared" si="154"/>
        <v>217.25323885665131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-1.7053025658242404E-13</v>
      </c>
      <c r="FF191" s="18">
        <f>FE191*VLOOKUP('Données projet'!$B$16,Paramètres!$A$1:$I$89,3,0)*VLOOKUP('Données projet'!$B$16,Paramètres!$A$1:$I$89,5,0)</f>
        <v>-1.6227659216383472E-13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353.61481736740694</v>
      </c>
      <c r="FK191" s="62">
        <f t="shared" si="156"/>
        <v>244.7141066773861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5.6843418860808015E-14</v>
      </c>
      <c r="GA191" s="18">
        <f>FZ191*VLOOKUP('Données projet'!$B$17,Paramètres!$A$1:$I$89,3,0)*VLOOKUP('Données projet'!$B$17,Paramètres!$A$1:$I$89,5,0)</f>
        <v>6.1186256061773749E-14</v>
      </c>
      <c r="GB191" s="14">
        <f t="shared" si="185"/>
        <v>9.7328366192051127E-13</v>
      </c>
      <c r="GC191" s="22">
        <f t="shared" si="186"/>
        <v>1.8017017738191463E-12</v>
      </c>
      <c r="GD191" s="62">
        <f t="shared" si="134"/>
        <v>293.33333333333513</v>
      </c>
      <c r="GE191" s="62">
        <f ca="1">AVERAGE(OFFSET($GD$3,0,0,'Données projet'!$E$17+1,1))-AVERAGE(OFFSET($H$3,0,0,'Données projet'!$E$17+1,1))</f>
        <v>280.20599015000306</v>
      </c>
      <c r="GF191" s="62">
        <f t="shared" si="158"/>
        <v>166.97658184507787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-5.6843418860808015E-14</v>
      </c>
      <c r="GV191" s="18">
        <f>GU191*VLOOKUP('Données projet'!$B$18,Paramètres!$A$1:$I$89,3,0)*VLOOKUP('Données projet'!$B$18,Paramètres!$A$1:$I$89,5,0)</f>
        <v>-3.813056537183002E-14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291.18686311753402</v>
      </c>
      <c r="HA191" s="62">
        <f t="shared" si="160"/>
        <v>215.44422413249839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9">
        <f t="shared" si="110"/>
        <v>256.66666666666669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260.02504691866199</v>
      </c>
      <c r="T192" s="62">
        <f t="shared" si="142"/>
        <v>270.11268336406368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0.42936262588115903</v>
      </c>
      <c r="AA192" s="23">
        <f>EXP(-LN(2)/25)*AA191+(1-EXP(-LN(2)/25))/(LN(2)/25)*Calculateur!V192*Calculateur!X192*VLOOKUP('Données projet'!$B$9,Paramètres!$A$1:$I$89,3,0)*0.475*44/12</f>
        <v>0.20009965947666422</v>
      </c>
      <c r="AB192" s="23">
        <f>EXP(-LN(2)/2)*AB191+(1-EXP(-LN(2)/2))/(LN(2)/2)*V192*Y192*VLOOKUP('Données projet'!$B$9,Paramètres!$A$1:$I$89,3,0)*0.475*44/12</f>
        <v>7.416549972850591E-24</v>
      </c>
      <c r="AC192" s="24">
        <f t="shared" si="163"/>
        <v>0.62946228535782323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475.47920969424894</v>
      </c>
      <c r="AO192" s="62">
        <f t="shared" si="144"/>
        <v>271.73544012419364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-8.7434273154940449E-13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428.8489304403459</v>
      </c>
      <c r="BJ192" s="62">
        <f t="shared" si="146"/>
        <v>247.01165577562966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-1.9895196601282805E-13</v>
      </c>
      <c r="BZ192" s="14">
        <f>BY192*VLOOKUP('Données projet'!$B$12,Paramètres!$A$1:$I$89,3,0)*VLOOKUP('Données projet'!$B$12,Paramètres!$A$1:$I$89,5,0)</f>
        <v>-1.6138983482960614E-13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236.22643401787644</v>
      </c>
      <c r="CE192" s="62">
        <f t="shared" si="148"/>
        <v>188.80444043778022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2.8421709430404007E-13</v>
      </c>
      <c r="CU192" s="18">
        <f>CT192*VLOOKUP('Données projet'!$B$13,Paramètres!$A$1:$I$89,3,0)*VLOOKUP('Données projet'!$B$13,Paramètres!$A$1:$I$89,5,0)</f>
        <v>1.3301360013429075E-13</v>
      </c>
      <c r="CV192" s="14">
        <f t="shared" si="173"/>
        <v>1.9329766731057041E-12</v>
      </c>
      <c r="CW192" s="22">
        <f t="shared" si="174"/>
        <v>3.5982663925596575E-12</v>
      </c>
      <c r="CX192" s="62">
        <f t="shared" si="122"/>
        <v>293.3333333333369</v>
      </c>
      <c r="CY192" s="62">
        <f ca="1">AVERAGE(OFFSET($CX$3,0,0,'Données projet'!$E$13+1,1))-AVERAGE(OFFSET($H$3,0,0,'Données projet'!$E$13+1,1))</f>
        <v>246.73711856758143</v>
      </c>
      <c r="CZ192" s="62">
        <f t="shared" si="150"/>
        <v>145.54897745089966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-5.1159076974727213E-13</v>
      </c>
      <c r="DP192" s="18">
        <f>DO192*VLOOKUP('Données projet'!$B$14,Paramètres!$A$1:$I$89,3,0)*VLOOKUP('Données projet'!$B$14,Paramètres!$A$1:$I$89,5,0)</f>
        <v>-5.3471467253984886E-13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493.70175665335978</v>
      </c>
      <c r="DU192" s="62">
        <f t="shared" si="152"/>
        <v>325.12357781685949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-1.7053025658242404E-13</v>
      </c>
      <c r="EK192" s="18">
        <f>EJ192*VLOOKUP('Données projet'!$B$15,Paramètres!$A$1:$I$89,3,0)*VLOOKUP('Données projet'!$B$15,Paramètres!$A$1:$I$89,5,0)</f>
        <v>-1.4897523215040567E-13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202.86354781280403</v>
      </c>
      <c r="EP192" s="62">
        <f t="shared" si="154"/>
        <v>217.25323885665131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-1.7053025658242404E-13</v>
      </c>
      <c r="FF192" s="18">
        <f>FE192*VLOOKUP('Données projet'!$B$16,Paramètres!$A$1:$I$89,3,0)*VLOOKUP('Données projet'!$B$16,Paramètres!$A$1:$I$89,5,0)</f>
        <v>-1.6227659216383472E-13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353.61481736740694</v>
      </c>
      <c r="FK192" s="62">
        <f t="shared" si="156"/>
        <v>244.7141066773861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5.6843418860808015E-14</v>
      </c>
      <c r="GA192" s="18">
        <f>FZ192*VLOOKUP('Données projet'!$B$17,Paramètres!$A$1:$I$89,3,0)*VLOOKUP('Données projet'!$B$17,Paramètres!$A$1:$I$89,5,0)</f>
        <v>6.1186256061773749E-14</v>
      </c>
      <c r="GB192" s="14">
        <f t="shared" si="185"/>
        <v>9.7328366192051127E-13</v>
      </c>
      <c r="GC192" s="22">
        <f t="shared" si="186"/>
        <v>1.8017017738191463E-12</v>
      </c>
      <c r="GD192" s="62">
        <f t="shared" si="134"/>
        <v>293.33333333333513</v>
      </c>
      <c r="GE192" s="62">
        <f ca="1">AVERAGE(OFFSET($GD$3,0,0,'Données projet'!$E$17+1,1))-AVERAGE(OFFSET($H$3,0,0,'Données projet'!$E$17+1,1))</f>
        <v>280.20599015000306</v>
      </c>
      <c r="GF192" s="62">
        <f t="shared" si="158"/>
        <v>166.97658184507787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-5.6843418860808015E-14</v>
      </c>
      <c r="GV192" s="18">
        <f>GU192*VLOOKUP('Données projet'!$B$18,Paramètres!$A$1:$I$89,3,0)*VLOOKUP('Données projet'!$B$18,Paramètres!$A$1:$I$89,5,0)</f>
        <v>-3.813056537183002E-14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291.18686311753402</v>
      </c>
      <c r="HA192" s="62">
        <f t="shared" si="160"/>
        <v>215.44422413249839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9">
        <f t="shared" si="110"/>
        <v>256.66666666666669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260.02504691866199</v>
      </c>
      <c r="T193" s="62">
        <f t="shared" si="142"/>
        <v>270.11268336406368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0.42094308667297226</v>
      </c>
      <c r="AA193" s="23">
        <f>EXP(-LN(2)/25)*AA192+(1-EXP(-LN(2)/25))/(LN(2)/25)*Calculateur!V193*Calculateur!X193*VLOOKUP('Données projet'!$B$9,Paramètres!$A$1:$I$89,3,0)*0.475*44/12</f>
        <v>0.19462792376549107</v>
      </c>
      <c r="AB193" s="23">
        <f>EXP(-LN(2)/2)*AB192+(1-EXP(-LN(2)/2))/(LN(2)/2)*V193*Y193*VLOOKUP('Données projet'!$B$9,Paramètres!$A$1:$I$89,3,0)*0.475*44/12</f>
        <v>5.2442927788115578E-24</v>
      </c>
      <c r="AC193" s="24">
        <f t="shared" si="163"/>
        <v>0.6155710104384633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475.47920969424894</v>
      </c>
      <c r="AO193" s="62">
        <f t="shared" si="144"/>
        <v>271.73544012419364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-8.7434273154940449E-13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428.8489304403459</v>
      </c>
      <c r="BJ193" s="62">
        <f t="shared" si="146"/>
        <v>247.01165577562966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-1.9895196601282805E-13</v>
      </c>
      <c r="BZ193" s="14">
        <f>BY193*VLOOKUP('Données projet'!$B$12,Paramètres!$A$1:$I$89,3,0)*VLOOKUP('Données projet'!$B$12,Paramètres!$A$1:$I$89,5,0)</f>
        <v>-1.6138983482960614E-13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236.22643401787644</v>
      </c>
      <c r="CE193" s="62">
        <f t="shared" si="148"/>
        <v>188.80444043778022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2.8421709430404007E-13</v>
      </c>
      <c r="CU193" s="18">
        <f>CT193*VLOOKUP('Données projet'!$B$13,Paramètres!$A$1:$I$89,3,0)*VLOOKUP('Données projet'!$B$13,Paramètres!$A$1:$I$89,5,0)</f>
        <v>1.3301360013429075E-13</v>
      </c>
      <c r="CV193" s="14">
        <f t="shared" si="173"/>
        <v>1.9329766731057041E-12</v>
      </c>
      <c r="CW193" s="22">
        <f t="shared" si="174"/>
        <v>3.5982663925596575E-12</v>
      </c>
      <c r="CX193" s="62">
        <f t="shared" si="122"/>
        <v>293.3333333333369</v>
      </c>
      <c r="CY193" s="62">
        <f ca="1">AVERAGE(OFFSET($CX$3,0,0,'Données projet'!$E$13+1,1))-AVERAGE(OFFSET($H$3,0,0,'Données projet'!$E$13+1,1))</f>
        <v>246.73711856758143</v>
      </c>
      <c r="CZ193" s="62">
        <f t="shared" si="150"/>
        <v>145.54897745089966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-5.1159076974727213E-13</v>
      </c>
      <c r="DP193" s="18">
        <f>DO193*VLOOKUP('Données projet'!$B$14,Paramètres!$A$1:$I$89,3,0)*VLOOKUP('Données projet'!$B$14,Paramètres!$A$1:$I$89,5,0)</f>
        <v>-5.3471467253984886E-13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493.70175665335978</v>
      </c>
      <c r="DU193" s="62">
        <f t="shared" si="152"/>
        <v>325.12357781685949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-1.7053025658242404E-13</v>
      </c>
      <c r="EK193" s="18">
        <f>EJ193*VLOOKUP('Données projet'!$B$15,Paramètres!$A$1:$I$89,3,0)*VLOOKUP('Données projet'!$B$15,Paramètres!$A$1:$I$89,5,0)</f>
        <v>-1.4897523215040567E-13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202.86354781280403</v>
      </c>
      <c r="EP193" s="62">
        <f t="shared" si="154"/>
        <v>217.25323885665131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-1.7053025658242404E-13</v>
      </c>
      <c r="FF193" s="18">
        <f>FE193*VLOOKUP('Données projet'!$B$16,Paramètres!$A$1:$I$89,3,0)*VLOOKUP('Données projet'!$B$16,Paramètres!$A$1:$I$89,5,0)</f>
        <v>-1.6227659216383472E-13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353.61481736740694</v>
      </c>
      <c r="FK193" s="62">
        <f t="shared" si="156"/>
        <v>244.7141066773861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5.6843418860808015E-14</v>
      </c>
      <c r="GA193" s="18">
        <f>FZ193*VLOOKUP('Données projet'!$B$17,Paramètres!$A$1:$I$89,3,0)*VLOOKUP('Données projet'!$B$17,Paramètres!$A$1:$I$89,5,0)</f>
        <v>6.1186256061773749E-14</v>
      </c>
      <c r="GB193" s="14">
        <f t="shared" si="185"/>
        <v>9.7328366192051127E-13</v>
      </c>
      <c r="GC193" s="22">
        <f t="shared" si="186"/>
        <v>1.8017017738191463E-12</v>
      </c>
      <c r="GD193" s="62">
        <f t="shared" si="134"/>
        <v>293.33333333333513</v>
      </c>
      <c r="GE193" s="62">
        <f ca="1">AVERAGE(OFFSET($GD$3,0,0,'Données projet'!$E$17+1,1))-AVERAGE(OFFSET($H$3,0,0,'Données projet'!$E$17+1,1))</f>
        <v>280.20599015000306</v>
      </c>
      <c r="GF193" s="62">
        <f t="shared" si="158"/>
        <v>166.97658184507787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-5.6843418860808015E-14</v>
      </c>
      <c r="GV193" s="18">
        <f>GU193*VLOOKUP('Données projet'!$B$18,Paramètres!$A$1:$I$89,3,0)*VLOOKUP('Données projet'!$B$18,Paramètres!$A$1:$I$89,5,0)</f>
        <v>-3.813056537183002E-14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291.18686311753402</v>
      </c>
      <c r="HA193" s="62">
        <f t="shared" si="160"/>
        <v>215.44422413249839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9">
        <f t="shared" si="110"/>
        <v>256.66666666666669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260.02504691866199</v>
      </c>
      <c r="T194" s="62">
        <f t="shared" si="142"/>
        <v>270.11268336406368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0.41268864949324618</v>
      </c>
      <c r="AA194" s="23">
        <f>EXP(-LN(2)/25)*AA193+(1-EXP(-LN(2)/25))/(LN(2)/25)*Calculateur!V194*Calculateur!X194*VLOOKUP('Données projet'!$B$9,Paramètres!$A$1:$I$89,3,0)*0.475*44/12</f>
        <v>0.18930581295508603</v>
      </c>
      <c r="AB194" s="23">
        <f>EXP(-LN(2)/2)*AB193+(1-EXP(-LN(2)/2))/(LN(2)/2)*V194*Y194*VLOOKUP('Données projet'!$B$9,Paramètres!$A$1:$I$89,3,0)*0.475*44/12</f>
        <v>3.7082749864252955E-24</v>
      </c>
      <c r="AC194" s="24">
        <f t="shared" si="163"/>
        <v>0.60199446244833221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475.47920969424894</v>
      </c>
      <c r="AO194" s="62">
        <f t="shared" si="144"/>
        <v>271.73544012419364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-8.7434273154940449E-13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428.8489304403459</v>
      </c>
      <c r="BJ194" s="62">
        <f t="shared" si="146"/>
        <v>247.01165577562966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-1.9895196601282805E-13</v>
      </c>
      <c r="BZ194" s="14">
        <f>BY194*VLOOKUP('Données projet'!$B$12,Paramètres!$A$1:$I$89,3,0)*VLOOKUP('Données projet'!$B$12,Paramètres!$A$1:$I$89,5,0)</f>
        <v>-1.6138983482960614E-13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236.22643401787644</v>
      </c>
      <c r="CE194" s="62">
        <f t="shared" si="148"/>
        <v>188.80444043778022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2.8421709430404007E-13</v>
      </c>
      <c r="CU194" s="18">
        <f>CT194*VLOOKUP('Données projet'!$B$13,Paramètres!$A$1:$I$89,3,0)*VLOOKUP('Données projet'!$B$13,Paramètres!$A$1:$I$89,5,0)</f>
        <v>1.3301360013429075E-13</v>
      </c>
      <c r="CV194" s="14">
        <f t="shared" si="173"/>
        <v>1.9329766731057041E-12</v>
      </c>
      <c r="CW194" s="22">
        <f t="shared" si="174"/>
        <v>3.5982663925596575E-12</v>
      </c>
      <c r="CX194" s="62">
        <f t="shared" si="122"/>
        <v>293.3333333333369</v>
      </c>
      <c r="CY194" s="62">
        <f ca="1">AVERAGE(OFFSET($CX$3,0,0,'Données projet'!$E$13+1,1))-AVERAGE(OFFSET($H$3,0,0,'Données projet'!$E$13+1,1))</f>
        <v>246.73711856758143</v>
      </c>
      <c r="CZ194" s="62">
        <f t="shared" si="150"/>
        <v>145.54897745089966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-5.1159076974727213E-13</v>
      </c>
      <c r="DP194" s="18">
        <f>DO194*VLOOKUP('Données projet'!$B$14,Paramètres!$A$1:$I$89,3,0)*VLOOKUP('Données projet'!$B$14,Paramètres!$A$1:$I$89,5,0)</f>
        <v>-5.3471467253984886E-13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493.70175665335978</v>
      </c>
      <c r="DU194" s="62">
        <f t="shared" si="152"/>
        <v>325.12357781685949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-1.7053025658242404E-13</v>
      </c>
      <c r="EK194" s="18">
        <f>EJ194*VLOOKUP('Données projet'!$B$15,Paramètres!$A$1:$I$89,3,0)*VLOOKUP('Données projet'!$B$15,Paramètres!$A$1:$I$89,5,0)</f>
        <v>-1.4897523215040567E-13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202.86354781280403</v>
      </c>
      <c r="EP194" s="62">
        <f t="shared" si="154"/>
        <v>217.25323885665131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-1.7053025658242404E-13</v>
      </c>
      <c r="FF194" s="18">
        <f>FE194*VLOOKUP('Données projet'!$B$16,Paramètres!$A$1:$I$89,3,0)*VLOOKUP('Données projet'!$B$16,Paramètres!$A$1:$I$89,5,0)</f>
        <v>-1.6227659216383472E-13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353.61481736740694</v>
      </c>
      <c r="FK194" s="62">
        <f t="shared" si="156"/>
        <v>244.7141066773861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5.6843418860808015E-14</v>
      </c>
      <c r="GA194" s="18">
        <f>FZ194*VLOOKUP('Données projet'!$B$17,Paramètres!$A$1:$I$89,3,0)*VLOOKUP('Données projet'!$B$17,Paramètres!$A$1:$I$89,5,0)</f>
        <v>6.1186256061773749E-14</v>
      </c>
      <c r="GB194" s="14">
        <f t="shared" si="185"/>
        <v>9.7328366192051127E-13</v>
      </c>
      <c r="GC194" s="22">
        <f t="shared" si="186"/>
        <v>1.8017017738191463E-12</v>
      </c>
      <c r="GD194" s="62">
        <f t="shared" si="134"/>
        <v>293.33333333333513</v>
      </c>
      <c r="GE194" s="62">
        <f ca="1">AVERAGE(OFFSET($GD$3,0,0,'Données projet'!$E$17+1,1))-AVERAGE(OFFSET($H$3,0,0,'Données projet'!$E$17+1,1))</f>
        <v>280.20599015000306</v>
      </c>
      <c r="GF194" s="62">
        <f t="shared" si="158"/>
        <v>166.97658184507787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-5.6843418860808015E-14</v>
      </c>
      <c r="GV194" s="18">
        <f>GU194*VLOOKUP('Données projet'!$B$18,Paramètres!$A$1:$I$89,3,0)*VLOOKUP('Données projet'!$B$18,Paramètres!$A$1:$I$89,5,0)</f>
        <v>-3.813056537183002E-14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291.18686311753402</v>
      </c>
      <c r="HA194" s="62">
        <f t="shared" si="160"/>
        <v>215.44422413249839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9">
        <f t="shared" si="110"/>
        <v>256.66666666666669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260.02504691866199</v>
      </c>
      <c r="T195" s="62">
        <f t="shared" si="142"/>
        <v>270.11268336406368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0.40459607679190501</v>
      </c>
      <c r="AA195" s="23">
        <f>EXP(-LN(2)/25)*AA194+(1-EXP(-LN(2)/25))/(LN(2)/25)*Calculateur!V195*Calculateur!X195*VLOOKUP('Données projet'!$B$9,Paramètres!$A$1:$I$89,3,0)*0.475*44/12</f>
        <v>0.18412923554466917</v>
      </c>
      <c r="AB195" s="23">
        <f>EXP(-LN(2)/2)*AB194+(1-EXP(-LN(2)/2))/(LN(2)/2)*V195*Y195*VLOOKUP('Données projet'!$B$9,Paramètres!$A$1:$I$89,3,0)*0.475*44/12</f>
        <v>2.6221463894057789E-24</v>
      </c>
      <c r="AC195" s="24">
        <f t="shared" si="163"/>
        <v>0.58872531233657421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475.47920969424894</v>
      </c>
      <c r="AO195" s="62">
        <f t="shared" si="144"/>
        <v>271.73544012419364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-8.7434273154940449E-13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428.8489304403459</v>
      </c>
      <c r="BJ195" s="62">
        <f t="shared" si="146"/>
        <v>247.01165577562966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-1.9895196601282805E-13</v>
      </c>
      <c r="BZ195" s="14">
        <f>BY195*VLOOKUP('Données projet'!$B$12,Paramètres!$A$1:$I$89,3,0)*VLOOKUP('Données projet'!$B$12,Paramètres!$A$1:$I$89,5,0)</f>
        <v>-1.6138983482960614E-13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236.22643401787644</v>
      </c>
      <c r="CE195" s="62">
        <f t="shared" si="148"/>
        <v>188.80444043778022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2.8421709430404007E-13</v>
      </c>
      <c r="CU195" s="18">
        <f>CT195*VLOOKUP('Données projet'!$B$13,Paramètres!$A$1:$I$89,3,0)*VLOOKUP('Données projet'!$B$13,Paramètres!$A$1:$I$89,5,0)</f>
        <v>1.3301360013429075E-13</v>
      </c>
      <c r="CV195" s="14">
        <f t="shared" si="173"/>
        <v>1.9329766731057041E-12</v>
      </c>
      <c r="CW195" s="22">
        <f t="shared" si="174"/>
        <v>3.5982663925596575E-12</v>
      </c>
      <c r="CX195" s="62">
        <f t="shared" si="122"/>
        <v>293.3333333333369</v>
      </c>
      <c r="CY195" s="62">
        <f ca="1">AVERAGE(OFFSET($CX$3,0,0,'Données projet'!$E$13+1,1))-AVERAGE(OFFSET($H$3,0,0,'Données projet'!$E$13+1,1))</f>
        <v>246.73711856758143</v>
      </c>
      <c r="CZ195" s="62">
        <f t="shared" si="150"/>
        <v>145.54897745089966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-5.1159076974727213E-13</v>
      </c>
      <c r="DP195" s="18">
        <f>DO195*VLOOKUP('Données projet'!$B$14,Paramètres!$A$1:$I$89,3,0)*VLOOKUP('Données projet'!$B$14,Paramètres!$A$1:$I$89,5,0)</f>
        <v>-5.3471467253984886E-13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493.70175665335978</v>
      </c>
      <c r="DU195" s="62">
        <f t="shared" si="152"/>
        <v>325.12357781685949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-1.7053025658242404E-13</v>
      </c>
      <c r="EK195" s="18">
        <f>EJ195*VLOOKUP('Données projet'!$B$15,Paramètres!$A$1:$I$89,3,0)*VLOOKUP('Données projet'!$B$15,Paramètres!$A$1:$I$89,5,0)</f>
        <v>-1.4897523215040567E-13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202.86354781280403</v>
      </c>
      <c r="EP195" s="62">
        <f t="shared" si="154"/>
        <v>217.25323885665131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-1.7053025658242404E-13</v>
      </c>
      <c r="FF195" s="18">
        <f>FE195*VLOOKUP('Données projet'!$B$16,Paramètres!$A$1:$I$89,3,0)*VLOOKUP('Données projet'!$B$16,Paramètres!$A$1:$I$89,5,0)</f>
        <v>-1.6227659216383472E-13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353.61481736740694</v>
      </c>
      <c r="FK195" s="62">
        <f t="shared" si="156"/>
        <v>244.7141066773861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5.6843418860808015E-14</v>
      </c>
      <c r="GA195" s="18">
        <f>FZ195*VLOOKUP('Données projet'!$B$17,Paramètres!$A$1:$I$89,3,0)*VLOOKUP('Données projet'!$B$17,Paramètres!$A$1:$I$89,5,0)</f>
        <v>6.1186256061773749E-14</v>
      </c>
      <c r="GB195" s="14">
        <f t="shared" si="185"/>
        <v>9.7328366192051127E-13</v>
      </c>
      <c r="GC195" s="22">
        <f t="shared" si="186"/>
        <v>1.8017017738191463E-12</v>
      </c>
      <c r="GD195" s="62">
        <f t="shared" si="134"/>
        <v>293.33333333333513</v>
      </c>
      <c r="GE195" s="62">
        <f ca="1">AVERAGE(OFFSET($GD$3,0,0,'Données projet'!$E$17+1,1))-AVERAGE(OFFSET($H$3,0,0,'Données projet'!$E$17+1,1))</f>
        <v>280.20599015000306</v>
      </c>
      <c r="GF195" s="62">
        <f t="shared" si="158"/>
        <v>166.97658184507787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-5.6843418860808015E-14</v>
      </c>
      <c r="GV195" s="18">
        <f>GU195*VLOOKUP('Données projet'!$B$18,Paramètres!$A$1:$I$89,3,0)*VLOOKUP('Données projet'!$B$18,Paramètres!$A$1:$I$89,5,0)</f>
        <v>-3.813056537183002E-14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291.18686311753402</v>
      </c>
      <c r="HA195" s="62">
        <f t="shared" si="160"/>
        <v>215.44422413249839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9">
        <f t="shared" ref="H196:H203" si="192">(B196+E196+F196)*44/12+(C196+D196)*0.475*44/12</f>
        <v>256.66666666666669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260.02504691866199</v>
      </c>
      <c r="T196" s="62">
        <f t="shared" si="142"/>
        <v>270.11268336406368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0.39666219450525519</v>
      </c>
      <c r="AA196" s="23">
        <f>EXP(-LN(2)/25)*AA195+(1-EXP(-LN(2)/25))/(LN(2)/25)*Calculateur!V196*Calculateur!X196*VLOOKUP('Données projet'!$B$9,Paramètres!$A$1:$I$89,3,0)*0.475*44/12</f>
        <v>0.17909421191576452</v>
      </c>
      <c r="AB196" s="23">
        <f>EXP(-LN(2)/2)*AB195+(1-EXP(-LN(2)/2))/(LN(2)/2)*V196*Y196*VLOOKUP('Données projet'!$B$9,Paramètres!$A$1:$I$89,3,0)*0.475*44/12</f>
        <v>1.8541374932126477E-24</v>
      </c>
      <c r="AC196" s="24">
        <f t="shared" si="163"/>
        <v>0.57575640642101966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475.47920969424894</v>
      </c>
      <c r="AO196" s="62">
        <f t="shared" si="144"/>
        <v>271.73544012419364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-8.7434273154940449E-13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428.8489304403459</v>
      </c>
      <c r="BJ196" s="62">
        <f t="shared" si="146"/>
        <v>247.01165577562966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-1.9895196601282805E-13</v>
      </c>
      <c r="BZ196" s="14">
        <f>BY196*VLOOKUP('Données projet'!$B$12,Paramètres!$A$1:$I$89,3,0)*VLOOKUP('Données projet'!$B$12,Paramètres!$A$1:$I$89,5,0)</f>
        <v>-1.6138983482960614E-13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236.22643401787644</v>
      </c>
      <c r="CE196" s="62">
        <f t="shared" si="148"/>
        <v>188.80444043778022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2.8421709430404007E-13</v>
      </c>
      <c r="CU196" s="18">
        <f>CT196*VLOOKUP('Données projet'!$B$13,Paramètres!$A$1:$I$89,3,0)*VLOOKUP('Données projet'!$B$13,Paramètres!$A$1:$I$89,5,0)</f>
        <v>1.3301360013429075E-13</v>
      </c>
      <c r="CV196" s="14">
        <f t="shared" si="173"/>
        <v>1.9329766731057041E-12</v>
      </c>
      <c r="CW196" s="22">
        <f t="shared" si="174"/>
        <v>3.5982663925596575E-12</v>
      </c>
      <c r="CX196" s="62">
        <f t="shared" ref="CX196:CX203" si="196">CW196+(CO196+CP196)*44/12</f>
        <v>293.3333333333369</v>
      </c>
      <c r="CY196" s="62">
        <f ca="1">AVERAGE(OFFSET($CX$3,0,0,'Données projet'!$E$13+1,1))-AVERAGE(OFFSET($H$3,0,0,'Données projet'!$E$13+1,1))</f>
        <v>246.73711856758143</v>
      </c>
      <c r="CZ196" s="62">
        <f t="shared" si="150"/>
        <v>145.54897745089966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-5.1159076974727213E-13</v>
      </c>
      <c r="DP196" s="18">
        <f>DO196*VLOOKUP('Données projet'!$B$14,Paramètres!$A$1:$I$89,3,0)*VLOOKUP('Données projet'!$B$14,Paramètres!$A$1:$I$89,5,0)</f>
        <v>-5.3471467253984886E-13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493.70175665335978</v>
      </c>
      <c r="DU196" s="62">
        <f t="shared" si="152"/>
        <v>325.12357781685949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-1.7053025658242404E-13</v>
      </c>
      <c r="EK196" s="18">
        <f>EJ196*VLOOKUP('Données projet'!$B$15,Paramètres!$A$1:$I$89,3,0)*VLOOKUP('Données projet'!$B$15,Paramètres!$A$1:$I$89,5,0)</f>
        <v>-1.4897523215040567E-13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202.86354781280403</v>
      </c>
      <c r="EP196" s="62">
        <f t="shared" si="154"/>
        <v>217.25323885665131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-1.7053025658242404E-13</v>
      </c>
      <c r="FF196" s="18">
        <f>FE196*VLOOKUP('Données projet'!$B$16,Paramètres!$A$1:$I$89,3,0)*VLOOKUP('Données projet'!$B$16,Paramètres!$A$1:$I$89,5,0)</f>
        <v>-1.6227659216383472E-13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353.61481736740694</v>
      </c>
      <c r="FK196" s="62">
        <f t="shared" si="156"/>
        <v>244.7141066773861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5.6843418860808015E-14</v>
      </c>
      <c r="GA196" s="18">
        <f>FZ196*VLOOKUP('Données projet'!$B$17,Paramètres!$A$1:$I$89,3,0)*VLOOKUP('Données projet'!$B$17,Paramètres!$A$1:$I$89,5,0)</f>
        <v>6.1186256061773749E-14</v>
      </c>
      <c r="GB196" s="14">
        <f t="shared" si="185"/>
        <v>9.7328366192051127E-13</v>
      </c>
      <c r="GC196" s="22">
        <f t="shared" si="186"/>
        <v>1.8017017738191463E-12</v>
      </c>
      <c r="GD196" s="62">
        <f t="shared" ref="GD196:GD203" si="200">GC196+(FU196+FV196)*44/12</f>
        <v>293.33333333333513</v>
      </c>
      <c r="GE196" s="62">
        <f ca="1">AVERAGE(OFFSET($GD$3,0,0,'Données projet'!$E$17+1,1))-AVERAGE(OFFSET($H$3,0,0,'Données projet'!$E$17+1,1))</f>
        <v>280.20599015000306</v>
      </c>
      <c r="GF196" s="62">
        <f t="shared" si="158"/>
        <v>166.97658184507787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-5.6843418860808015E-14</v>
      </c>
      <c r="GV196" s="18">
        <f>GU196*VLOOKUP('Données projet'!$B$18,Paramètres!$A$1:$I$89,3,0)*VLOOKUP('Données projet'!$B$18,Paramètres!$A$1:$I$89,5,0)</f>
        <v>-3.813056537183002E-14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291.18686311753402</v>
      </c>
      <c r="HA196" s="62">
        <f t="shared" si="160"/>
        <v>215.44422413249839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9">
        <f t="shared" si="192"/>
        <v>256.66666666666669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260.02504691866199</v>
      </c>
      <c r="T197" s="62">
        <f t="shared" ref="T197:T203" si="204">$T$3</f>
        <v>270.11268336406368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0.38888389081105618</v>
      </c>
      <c r="AA197" s="23">
        <f>EXP(-LN(2)/25)*AA196+(1-EXP(-LN(2)/25))/(LN(2)/25)*Calculateur!V197*Calculateur!X197*VLOOKUP('Données projet'!$B$9,Paramètres!$A$1:$I$89,3,0)*0.475*44/12</f>
        <v>0.17419687127277267</v>
      </c>
      <c r="AB197" s="23">
        <f>EXP(-LN(2)/2)*AB196+(1-EXP(-LN(2)/2))/(LN(2)/2)*V197*Y197*VLOOKUP('Données projet'!$B$9,Paramètres!$A$1:$I$89,3,0)*0.475*44/12</f>
        <v>1.3110731947028895E-24</v>
      </c>
      <c r="AC197" s="24">
        <f t="shared" si="163"/>
        <v>0.56308076208382885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475.47920969424894</v>
      </c>
      <c r="AO197" s="62">
        <f t="shared" ref="AO197:AO203" si="205">$AO$3</f>
        <v>271.73544012419364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-8.7434273154940449E-13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428.8489304403459</v>
      </c>
      <c r="BJ197" s="62">
        <f t="shared" ref="BJ197:BJ203" si="206">$BJ$3</f>
        <v>247.01165577562966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-1.9895196601282805E-13</v>
      </c>
      <c r="BZ197" s="14">
        <f>BY197*VLOOKUP('Données projet'!$B$12,Paramètres!$A$1:$I$89,3,0)*VLOOKUP('Données projet'!$B$12,Paramètres!$A$1:$I$89,5,0)</f>
        <v>-1.6138983482960614E-13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236.22643401787644</v>
      </c>
      <c r="CE197" s="62">
        <f t="shared" ref="CE197:CE203" si="207">$CE$3</f>
        <v>188.80444043778022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2.8421709430404007E-13</v>
      </c>
      <c r="CU197" s="18">
        <f>CT197*VLOOKUP('Données projet'!$B$13,Paramètres!$A$1:$I$89,3,0)*VLOOKUP('Données projet'!$B$13,Paramètres!$A$1:$I$89,5,0)</f>
        <v>1.3301360013429075E-13</v>
      </c>
      <c r="CV197" s="14">
        <f t="shared" si="173"/>
        <v>1.9329766731057041E-12</v>
      </c>
      <c r="CW197" s="22">
        <f t="shared" si="174"/>
        <v>3.5982663925596575E-12</v>
      </c>
      <c r="CX197" s="62">
        <f t="shared" si="196"/>
        <v>293.3333333333369</v>
      </c>
      <c r="CY197" s="62">
        <f ca="1">AVERAGE(OFFSET($CX$3,0,0,'Données projet'!$E$13+1,1))-AVERAGE(OFFSET($H$3,0,0,'Données projet'!$E$13+1,1))</f>
        <v>246.73711856758143</v>
      </c>
      <c r="CZ197" s="62">
        <f t="shared" ref="CZ197:CZ203" si="208">$CZ$3</f>
        <v>145.54897745089966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-5.1159076974727213E-13</v>
      </c>
      <c r="DP197" s="18">
        <f>DO197*VLOOKUP('Données projet'!$B$14,Paramètres!$A$1:$I$89,3,0)*VLOOKUP('Données projet'!$B$14,Paramètres!$A$1:$I$89,5,0)</f>
        <v>-5.3471467253984886E-13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493.70175665335978</v>
      </c>
      <c r="DU197" s="62">
        <f t="shared" ref="DU197:DU203" si="209">$DU$3</f>
        <v>325.12357781685949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-1.7053025658242404E-13</v>
      </c>
      <c r="EK197" s="18">
        <f>EJ197*VLOOKUP('Données projet'!$B$15,Paramètres!$A$1:$I$89,3,0)*VLOOKUP('Données projet'!$B$15,Paramètres!$A$1:$I$89,5,0)</f>
        <v>-1.4897523215040567E-13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202.86354781280403</v>
      </c>
      <c r="EP197" s="62">
        <f t="shared" ref="EP197:EP203" si="210">$EP$3</f>
        <v>217.25323885665131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-1.7053025658242404E-13</v>
      </c>
      <c r="FF197" s="18">
        <f>FE197*VLOOKUP('Données projet'!$B$16,Paramètres!$A$1:$I$89,3,0)*VLOOKUP('Données projet'!$B$16,Paramètres!$A$1:$I$89,5,0)</f>
        <v>-1.6227659216383472E-13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353.61481736740694</v>
      </c>
      <c r="FK197" s="62">
        <f t="shared" ref="FK197:FK203" si="211">$FK$3</f>
        <v>244.7141066773861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5.6843418860808015E-14</v>
      </c>
      <c r="GA197" s="18">
        <f>FZ197*VLOOKUP('Données projet'!$B$17,Paramètres!$A$1:$I$89,3,0)*VLOOKUP('Données projet'!$B$17,Paramètres!$A$1:$I$89,5,0)</f>
        <v>6.1186256061773749E-14</v>
      </c>
      <c r="GB197" s="14">
        <f t="shared" si="185"/>
        <v>9.7328366192051127E-13</v>
      </c>
      <c r="GC197" s="22">
        <f t="shared" si="186"/>
        <v>1.8017017738191463E-12</v>
      </c>
      <c r="GD197" s="62">
        <f t="shared" si="200"/>
        <v>293.33333333333513</v>
      </c>
      <c r="GE197" s="62">
        <f ca="1">AVERAGE(OFFSET($GD$3,0,0,'Données projet'!$E$17+1,1))-AVERAGE(OFFSET($H$3,0,0,'Données projet'!$E$17+1,1))</f>
        <v>280.20599015000306</v>
      </c>
      <c r="GF197" s="62">
        <f t="shared" ref="GF197:GF203" si="212">$GF$3</f>
        <v>166.97658184507787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-5.6843418860808015E-14</v>
      </c>
      <c r="GV197" s="18">
        <f>GU197*VLOOKUP('Données projet'!$B$18,Paramètres!$A$1:$I$89,3,0)*VLOOKUP('Données projet'!$B$18,Paramètres!$A$1:$I$89,5,0)</f>
        <v>-3.813056537183002E-14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291.18686311753402</v>
      </c>
      <c r="HA197" s="62">
        <f t="shared" ref="HA197:HA203" si="213">$HA$3</f>
        <v>215.44422413249839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9">
        <f t="shared" si="192"/>
        <v>256.66666666666669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260.02504691866199</v>
      </c>
      <c r="T198" s="62">
        <f t="shared" si="204"/>
        <v>270.11268336406368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0.3812581149080036</v>
      </c>
      <c r="AA198" s="23">
        <f>EXP(-LN(2)/25)*AA197+(1-EXP(-LN(2)/25))/(LN(2)/25)*Calculateur!V198*Calculateur!X198*VLOOKUP('Données projet'!$B$9,Paramètres!$A$1:$I$89,3,0)*0.475*44/12</f>
        <v>0.16943344866720336</v>
      </c>
      <c r="AB198" s="23">
        <f>EXP(-LN(2)/2)*AB197+(1-EXP(-LN(2)/2))/(LN(2)/2)*V198*Y198*VLOOKUP('Données projet'!$B$9,Paramètres!$A$1:$I$89,3,0)*0.475*44/12</f>
        <v>9.2706874660632387E-25</v>
      </c>
      <c r="AC198" s="24">
        <f t="shared" si="163"/>
        <v>0.55069156357520699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475.47920969424894</v>
      </c>
      <c r="AO198" s="62">
        <f t="shared" si="205"/>
        <v>271.73544012419364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-8.7434273154940449E-13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428.8489304403459</v>
      </c>
      <c r="BJ198" s="62">
        <f t="shared" si="206"/>
        <v>247.01165577562966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-1.9895196601282805E-13</v>
      </c>
      <c r="BZ198" s="14">
        <f>BY198*VLOOKUP('Données projet'!$B$12,Paramètres!$A$1:$I$89,3,0)*VLOOKUP('Données projet'!$B$12,Paramètres!$A$1:$I$89,5,0)</f>
        <v>-1.6138983482960614E-13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236.22643401787644</v>
      </c>
      <c r="CE198" s="62">
        <f t="shared" si="207"/>
        <v>188.80444043778022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2.8421709430404007E-13</v>
      </c>
      <c r="CU198" s="18">
        <f>CT198*VLOOKUP('Données projet'!$B$13,Paramètres!$A$1:$I$89,3,0)*VLOOKUP('Données projet'!$B$13,Paramètres!$A$1:$I$89,5,0)</f>
        <v>1.3301360013429075E-13</v>
      </c>
      <c r="CV198" s="14">
        <f t="shared" si="173"/>
        <v>1.9329766731057041E-12</v>
      </c>
      <c r="CW198" s="22">
        <f t="shared" si="174"/>
        <v>3.5982663925596575E-12</v>
      </c>
      <c r="CX198" s="62">
        <f t="shared" si="196"/>
        <v>293.3333333333369</v>
      </c>
      <c r="CY198" s="62">
        <f ca="1">AVERAGE(OFFSET($CX$3,0,0,'Données projet'!$E$13+1,1))-AVERAGE(OFFSET($H$3,0,0,'Données projet'!$E$13+1,1))</f>
        <v>246.73711856758143</v>
      </c>
      <c r="CZ198" s="62">
        <f t="shared" si="208"/>
        <v>145.54897745089966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-5.1159076974727213E-13</v>
      </c>
      <c r="DP198" s="18">
        <f>DO198*VLOOKUP('Données projet'!$B$14,Paramètres!$A$1:$I$89,3,0)*VLOOKUP('Données projet'!$B$14,Paramètres!$A$1:$I$89,5,0)</f>
        <v>-5.3471467253984886E-13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493.70175665335978</v>
      </c>
      <c r="DU198" s="62">
        <f t="shared" si="209"/>
        <v>325.12357781685949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-1.7053025658242404E-13</v>
      </c>
      <c r="EK198" s="18">
        <f>EJ198*VLOOKUP('Données projet'!$B$15,Paramètres!$A$1:$I$89,3,0)*VLOOKUP('Données projet'!$B$15,Paramètres!$A$1:$I$89,5,0)</f>
        <v>-1.4897523215040567E-13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202.86354781280403</v>
      </c>
      <c r="EP198" s="62">
        <f t="shared" si="210"/>
        <v>217.25323885665131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-1.7053025658242404E-13</v>
      </c>
      <c r="FF198" s="18">
        <f>FE198*VLOOKUP('Données projet'!$B$16,Paramètres!$A$1:$I$89,3,0)*VLOOKUP('Données projet'!$B$16,Paramètres!$A$1:$I$89,5,0)</f>
        <v>-1.6227659216383472E-13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353.61481736740694</v>
      </c>
      <c r="FK198" s="62">
        <f t="shared" si="211"/>
        <v>244.7141066773861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5.6843418860808015E-14</v>
      </c>
      <c r="GA198" s="18">
        <f>FZ198*VLOOKUP('Données projet'!$B$17,Paramètres!$A$1:$I$89,3,0)*VLOOKUP('Données projet'!$B$17,Paramètres!$A$1:$I$89,5,0)</f>
        <v>6.1186256061773749E-14</v>
      </c>
      <c r="GB198" s="14">
        <f t="shared" si="185"/>
        <v>9.7328366192051127E-13</v>
      </c>
      <c r="GC198" s="22">
        <f t="shared" si="186"/>
        <v>1.8017017738191463E-12</v>
      </c>
      <c r="GD198" s="62">
        <f t="shared" si="200"/>
        <v>293.33333333333513</v>
      </c>
      <c r="GE198" s="62">
        <f ca="1">AVERAGE(OFFSET($GD$3,0,0,'Données projet'!$E$17+1,1))-AVERAGE(OFFSET($H$3,0,0,'Données projet'!$E$17+1,1))</f>
        <v>280.20599015000306</v>
      </c>
      <c r="GF198" s="62">
        <f t="shared" si="212"/>
        <v>166.97658184507787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-5.6843418860808015E-14</v>
      </c>
      <c r="GV198" s="18">
        <f>GU198*VLOOKUP('Données projet'!$B$18,Paramètres!$A$1:$I$89,3,0)*VLOOKUP('Données projet'!$B$18,Paramètres!$A$1:$I$89,5,0)</f>
        <v>-3.813056537183002E-14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291.18686311753402</v>
      </c>
      <c r="HA198" s="62">
        <f t="shared" si="213"/>
        <v>215.44422413249839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9">
        <f t="shared" si="192"/>
        <v>256.66666666666669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260.02504691866199</v>
      </c>
      <c r="T199" s="62">
        <f t="shared" si="204"/>
        <v>270.11268336406368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0.3737818758191459</v>
      </c>
      <c r="AA199" s="23">
        <f>EXP(-LN(2)/25)*AA198+(1-EXP(-LN(2)/25))/(LN(2)/25)*Calculateur!V199*Calculateur!X199*VLOOKUP('Données projet'!$B$9,Paramètres!$A$1:$I$89,3,0)*0.475*44/12</f>
        <v>0.16480028210328088</v>
      </c>
      <c r="AB199" s="23">
        <f>EXP(-LN(2)/2)*AB198+(1-EXP(-LN(2)/2))/(LN(2)/2)*V199*Y199*VLOOKUP('Données projet'!$B$9,Paramètres!$A$1:$I$89,3,0)*0.475*44/12</f>
        <v>6.5553659735144473E-25</v>
      </c>
      <c r="AC199" s="24">
        <f t="shared" si="163"/>
        <v>0.53858215792242681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475.47920969424894</v>
      </c>
      <c r="AO199" s="62">
        <f t="shared" si="205"/>
        <v>271.73544012419364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-8.7434273154940449E-13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428.8489304403459</v>
      </c>
      <c r="BJ199" s="62">
        <f t="shared" si="206"/>
        <v>247.01165577562966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-1.9895196601282805E-13</v>
      </c>
      <c r="BZ199" s="14">
        <f>BY199*VLOOKUP('Données projet'!$B$12,Paramètres!$A$1:$I$89,3,0)*VLOOKUP('Données projet'!$B$12,Paramètres!$A$1:$I$89,5,0)</f>
        <v>-1.6138983482960614E-13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236.22643401787644</v>
      </c>
      <c r="CE199" s="62">
        <f t="shared" si="207"/>
        <v>188.80444043778022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2.8421709430404007E-13</v>
      </c>
      <c r="CU199" s="18">
        <f>CT199*VLOOKUP('Données projet'!$B$13,Paramètres!$A$1:$I$89,3,0)*VLOOKUP('Données projet'!$B$13,Paramètres!$A$1:$I$89,5,0)</f>
        <v>1.3301360013429075E-13</v>
      </c>
      <c r="CV199" s="14">
        <f t="shared" si="173"/>
        <v>1.9329766731057041E-12</v>
      </c>
      <c r="CW199" s="22">
        <f t="shared" si="174"/>
        <v>3.5982663925596575E-12</v>
      </c>
      <c r="CX199" s="62">
        <f t="shared" si="196"/>
        <v>293.3333333333369</v>
      </c>
      <c r="CY199" s="62">
        <f ca="1">AVERAGE(OFFSET($CX$3,0,0,'Données projet'!$E$13+1,1))-AVERAGE(OFFSET($H$3,0,0,'Données projet'!$E$13+1,1))</f>
        <v>246.73711856758143</v>
      </c>
      <c r="CZ199" s="62">
        <f t="shared" si="208"/>
        <v>145.54897745089966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-5.1159076974727213E-13</v>
      </c>
      <c r="DP199" s="18">
        <f>DO199*VLOOKUP('Données projet'!$B$14,Paramètres!$A$1:$I$89,3,0)*VLOOKUP('Données projet'!$B$14,Paramètres!$A$1:$I$89,5,0)</f>
        <v>-5.3471467253984886E-13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493.70175665335978</v>
      </c>
      <c r="DU199" s="62">
        <f t="shared" si="209"/>
        <v>325.12357781685949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-1.7053025658242404E-13</v>
      </c>
      <c r="EK199" s="18">
        <f>EJ199*VLOOKUP('Données projet'!$B$15,Paramètres!$A$1:$I$89,3,0)*VLOOKUP('Données projet'!$B$15,Paramètres!$A$1:$I$89,5,0)</f>
        <v>-1.4897523215040567E-13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202.86354781280403</v>
      </c>
      <c r="EP199" s="62">
        <f t="shared" si="210"/>
        <v>217.25323885665131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-1.7053025658242404E-13</v>
      </c>
      <c r="FF199" s="18">
        <f>FE199*VLOOKUP('Données projet'!$B$16,Paramètres!$A$1:$I$89,3,0)*VLOOKUP('Données projet'!$B$16,Paramètres!$A$1:$I$89,5,0)</f>
        <v>-1.6227659216383472E-13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353.61481736740694</v>
      </c>
      <c r="FK199" s="62">
        <f t="shared" si="211"/>
        <v>244.7141066773861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5.6843418860808015E-14</v>
      </c>
      <c r="GA199" s="18">
        <f>FZ199*VLOOKUP('Données projet'!$B$17,Paramètres!$A$1:$I$89,3,0)*VLOOKUP('Données projet'!$B$17,Paramètres!$A$1:$I$89,5,0)</f>
        <v>6.1186256061773749E-14</v>
      </c>
      <c r="GB199" s="14">
        <f t="shared" si="185"/>
        <v>9.7328366192051127E-13</v>
      </c>
      <c r="GC199" s="22">
        <f t="shared" si="186"/>
        <v>1.8017017738191463E-12</v>
      </c>
      <c r="GD199" s="62">
        <f t="shared" si="200"/>
        <v>293.33333333333513</v>
      </c>
      <c r="GE199" s="62">
        <f ca="1">AVERAGE(OFFSET($GD$3,0,0,'Données projet'!$E$17+1,1))-AVERAGE(OFFSET($H$3,0,0,'Données projet'!$E$17+1,1))</f>
        <v>280.20599015000306</v>
      </c>
      <c r="GF199" s="62">
        <f t="shared" si="212"/>
        <v>166.97658184507787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-5.6843418860808015E-14</v>
      </c>
      <c r="GV199" s="18">
        <f>GU199*VLOOKUP('Données projet'!$B$18,Paramètres!$A$1:$I$89,3,0)*VLOOKUP('Données projet'!$B$18,Paramètres!$A$1:$I$89,5,0)</f>
        <v>-3.813056537183002E-14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291.18686311753402</v>
      </c>
      <c r="HA199" s="62">
        <f t="shared" si="213"/>
        <v>215.44422413249839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9">
        <f t="shared" si="192"/>
        <v>256.66666666666669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260.02504691866199</v>
      </c>
      <c r="T200" s="62">
        <f t="shared" si="204"/>
        <v>270.11268336406368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0.36645224121876513</v>
      </c>
      <c r="AA200" s="23">
        <f>EXP(-LN(2)/25)*AA199+(1-EXP(-LN(2)/25))/(LN(2)/25)*Calculateur!V200*Calculateur!X200*VLOOKUP('Données projet'!$B$9,Paramètres!$A$1:$I$89,3,0)*0.475*44/12</f>
        <v>0.16029380972269647</v>
      </c>
      <c r="AB200" s="23">
        <f>EXP(-LN(2)/2)*AB199+(1-EXP(-LN(2)/2))/(LN(2)/2)*V200*Y200*VLOOKUP('Données projet'!$B$9,Paramètres!$A$1:$I$89,3,0)*0.475*44/12</f>
        <v>4.6353437330316194E-25</v>
      </c>
      <c r="AC200" s="24">
        <f t="shared" si="163"/>
        <v>0.52674605094146165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475.47920969424894</v>
      </c>
      <c r="AO200" s="62">
        <f t="shared" si="205"/>
        <v>271.73544012419364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-8.7434273154940449E-13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428.8489304403459</v>
      </c>
      <c r="BJ200" s="62">
        <f t="shared" si="206"/>
        <v>247.01165577562966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-1.9895196601282805E-13</v>
      </c>
      <c r="BZ200" s="14">
        <f>BY200*VLOOKUP('Données projet'!$B$12,Paramètres!$A$1:$I$89,3,0)*VLOOKUP('Données projet'!$B$12,Paramètres!$A$1:$I$89,5,0)</f>
        <v>-1.6138983482960614E-13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236.22643401787644</v>
      </c>
      <c r="CE200" s="62">
        <f t="shared" si="207"/>
        <v>188.80444043778022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2.8421709430404007E-13</v>
      </c>
      <c r="CU200" s="18">
        <f>CT200*VLOOKUP('Données projet'!$B$13,Paramètres!$A$1:$I$89,3,0)*VLOOKUP('Données projet'!$B$13,Paramètres!$A$1:$I$89,5,0)</f>
        <v>1.3301360013429075E-13</v>
      </c>
      <c r="CV200" s="14">
        <f t="shared" si="173"/>
        <v>1.9329766731057041E-12</v>
      </c>
      <c r="CW200" s="22">
        <f t="shared" si="174"/>
        <v>3.5982663925596575E-12</v>
      </c>
      <c r="CX200" s="62">
        <f t="shared" si="196"/>
        <v>293.3333333333369</v>
      </c>
      <c r="CY200" s="62">
        <f ca="1">AVERAGE(OFFSET($CX$3,0,0,'Données projet'!$E$13+1,1))-AVERAGE(OFFSET($H$3,0,0,'Données projet'!$E$13+1,1))</f>
        <v>246.73711856758143</v>
      </c>
      <c r="CZ200" s="62">
        <f t="shared" si="208"/>
        <v>145.54897745089966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-5.1159076974727213E-13</v>
      </c>
      <c r="DP200" s="18">
        <f>DO200*VLOOKUP('Données projet'!$B$14,Paramètres!$A$1:$I$89,3,0)*VLOOKUP('Données projet'!$B$14,Paramètres!$A$1:$I$89,5,0)</f>
        <v>-5.3471467253984886E-13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493.70175665335978</v>
      </c>
      <c r="DU200" s="62">
        <f t="shared" si="209"/>
        <v>325.12357781685949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-1.7053025658242404E-13</v>
      </c>
      <c r="EK200" s="18">
        <f>EJ200*VLOOKUP('Données projet'!$B$15,Paramètres!$A$1:$I$89,3,0)*VLOOKUP('Données projet'!$B$15,Paramètres!$A$1:$I$89,5,0)</f>
        <v>-1.4897523215040567E-13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202.86354781280403</v>
      </c>
      <c r="EP200" s="62">
        <f t="shared" si="210"/>
        <v>217.25323885665131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-1.7053025658242404E-13</v>
      </c>
      <c r="FF200" s="18">
        <f>FE200*VLOOKUP('Données projet'!$B$16,Paramètres!$A$1:$I$89,3,0)*VLOOKUP('Données projet'!$B$16,Paramètres!$A$1:$I$89,5,0)</f>
        <v>-1.6227659216383472E-13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353.61481736740694</v>
      </c>
      <c r="FK200" s="62">
        <f t="shared" si="211"/>
        <v>244.7141066773861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5.6843418860808015E-14</v>
      </c>
      <c r="GA200" s="18">
        <f>FZ200*VLOOKUP('Données projet'!$B$17,Paramètres!$A$1:$I$89,3,0)*VLOOKUP('Données projet'!$B$17,Paramètres!$A$1:$I$89,5,0)</f>
        <v>6.1186256061773749E-14</v>
      </c>
      <c r="GB200" s="14">
        <f t="shared" si="185"/>
        <v>9.7328366192051127E-13</v>
      </c>
      <c r="GC200" s="22">
        <f t="shared" si="186"/>
        <v>1.8017017738191463E-12</v>
      </c>
      <c r="GD200" s="62">
        <f t="shared" si="200"/>
        <v>293.33333333333513</v>
      </c>
      <c r="GE200" s="62">
        <f ca="1">AVERAGE(OFFSET($GD$3,0,0,'Données projet'!$E$17+1,1))-AVERAGE(OFFSET($H$3,0,0,'Données projet'!$E$17+1,1))</f>
        <v>280.20599015000306</v>
      </c>
      <c r="GF200" s="62">
        <f t="shared" si="212"/>
        <v>166.97658184507787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-5.6843418860808015E-14</v>
      </c>
      <c r="GV200" s="18">
        <f>GU200*VLOOKUP('Données projet'!$B$18,Paramètres!$A$1:$I$89,3,0)*VLOOKUP('Données projet'!$B$18,Paramètres!$A$1:$I$89,5,0)</f>
        <v>-3.813056537183002E-14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291.18686311753402</v>
      </c>
      <c r="HA200" s="62">
        <f t="shared" si="213"/>
        <v>215.44422413249839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9">
        <f t="shared" si="192"/>
        <v>256.66666666666669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260.02504691866199</v>
      </c>
      <c r="T201" s="62">
        <f t="shared" si="204"/>
        <v>270.11268336406368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0.35926633628226212</v>
      </c>
      <c r="AA201" s="23">
        <f>EXP(-LN(2)/25)*AA200+(1-EXP(-LN(2)/25))/(LN(2)/25)*Calculateur!V201*Calculateur!X201*VLOOKUP('Données projet'!$B$9,Paramètres!$A$1:$I$89,3,0)*0.475*44/12</f>
        <v>0.15591056706634424</v>
      </c>
      <c r="AB201" s="23">
        <f>EXP(-LN(2)/2)*AB200+(1-EXP(-LN(2)/2))/(LN(2)/2)*V201*Y201*VLOOKUP('Données projet'!$B$9,Paramètres!$A$1:$I$89,3,0)*0.475*44/12</f>
        <v>3.2776829867572236E-25</v>
      </c>
      <c r="AC201" s="24">
        <f t="shared" si="163"/>
        <v>0.51517690334860633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475.47920969424894</v>
      </c>
      <c r="AO201" s="62">
        <f t="shared" si="205"/>
        <v>271.73544012419364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-8.7434273154940449E-13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428.8489304403459</v>
      </c>
      <c r="BJ201" s="62">
        <f t="shared" si="206"/>
        <v>247.01165577562966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-1.9895196601282805E-13</v>
      </c>
      <c r="BZ201" s="14">
        <f>BY201*VLOOKUP('Données projet'!$B$12,Paramètres!$A$1:$I$89,3,0)*VLOOKUP('Données projet'!$B$12,Paramètres!$A$1:$I$89,5,0)</f>
        <v>-1.6138983482960614E-13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236.22643401787644</v>
      </c>
      <c r="CE201" s="62">
        <f t="shared" si="207"/>
        <v>188.80444043778022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2.8421709430404007E-13</v>
      </c>
      <c r="CU201" s="18">
        <f>CT201*VLOOKUP('Données projet'!$B$13,Paramètres!$A$1:$I$89,3,0)*VLOOKUP('Données projet'!$B$13,Paramètres!$A$1:$I$89,5,0)</f>
        <v>1.3301360013429075E-13</v>
      </c>
      <c r="CV201" s="14">
        <f t="shared" si="173"/>
        <v>1.9329766731057041E-12</v>
      </c>
      <c r="CW201" s="22">
        <f t="shared" si="174"/>
        <v>3.5982663925596575E-12</v>
      </c>
      <c r="CX201" s="62">
        <f t="shared" si="196"/>
        <v>293.3333333333369</v>
      </c>
      <c r="CY201" s="62">
        <f ca="1">AVERAGE(OFFSET($CX$3,0,0,'Données projet'!$E$13+1,1))-AVERAGE(OFFSET($H$3,0,0,'Données projet'!$E$13+1,1))</f>
        <v>246.73711856758143</v>
      </c>
      <c r="CZ201" s="62">
        <f t="shared" si="208"/>
        <v>145.54897745089966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-5.1159076974727213E-13</v>
      </c>
      <c r="DP201" s="18">
        <f>DO201*VLOOKUP('Données projet'!$B$14,Paramètres!$A$1:$I$89,3,0)*VLOOKUP('Données projet'!$B$14,Paramètres!$A$1:$I$89,5,0)</f>
        <v>-5.3471467253984886E-13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493.70175665335978</v>
      </c>
      <c r="DU201" s="62">
        <f t="shared" si="209"/>
        <v>325.12357781685949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-1.7053025658242404E-13</v>
      </c>
      <c r="EK201" s="18">
        <f>EJ201*VLOOKUP('Données projet'!$B$15,Paramètres!$A$1:$I$89,3,0)*VLOOKUP('Données projet'!$B$15,Paramètres!$A$1:$I$89,5,0)</f>
        <v>-1.4897523215040567E-13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202.86354781280403</v>
      </c>
      <c r="EP201" s="62">
        <f t="shared" si="210"/>
        <v>217.25323885665131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-1.7053025658242404E-13</v>
      </c>
      <c r="FF201" s="18">
        <f>FE201*VLOOKUP('Données projet'!$B$16,Paramètres!$A$1:$I$89,3,0)*VLOOKUP('Données projet'!$B$16,Paramètres!$A$1:$I$89,5,0)</f>
        <v>-1.6227659216383472E-13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353.61481736740694</v>
      </c>
      <c r="FK201" s="62">
        <f t="shared" si="211"/>
        <v>244.7141066773861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5.6843418860808015E-14</v>
      </c>
      <c r="GA201" s="18">
        <f>FZ201*VLOOKUP('Données projet'!$B$17,Paramètres!$A$1:$I$89,3,0)*VLOOKUP('Données projet'!$B$17,Paramètres!$A$1:$I$89,5,0)</f>
        <v>6.1186256061773749E-14</v>
      </c>
      <c r="GB201" s="14">
        <f t="shared" si="185"/>
        <v>9.7328366192051127E-13</v>
      </c>
      <c r="GC201" s="22">
        <f t="shared" si="186"/>
        <v>1.8017017738191463E-12</v>
      </c>
      <c r="GD201" s="62">
        <f t="shared" si="200"/>
        <v>293.33333333333513</v>
      </c>
      <c r="GE201" s="62">
        <f ca="1">AVERAGE(OFFSET($GD$3,0,0,'Données projet'!$E$17+1,1))-AVERAGE(OFFSET($H$3,0,0,'Données projet'!$E$17+1,1))</f>
        <v>280.20599015000306</v>
      </c>
      <c r="GF201" s="62">
        <f t="shared" si="212"/>
        <v>166.97658184507787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-5.6843418860808015E-14</v>
      </c>
      <c r="GV201" s="18">
        <f>GU201*VLOOKUP('Données projet'!$B$18,Paramètres!$A$1:$I$89,3,0)*VLOOKUP('Données projet'!$B$18,Paramètres!$A$1:$I$89,5,0)</f>
        <v>-3.813056537183002E-14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291.18686311753402</v>
      </c>
      <c r="HA201" s="62">
        <f t="shared" si="213"/>
        <v>215.44422413249839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9">
        <f t="shared" si="192"/>
        <v>256.66666666666669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260.02504691866199</v>
      </c>
      <c r="T202" s="62">
        <f t="shared" si="204"/>
        <v>270.11268336406368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0.35222134255859472</v>
      </c>
      <c r="AA202" s="23">
        <f>EXP(-LN(2)/25)*AA201+(1-EXP(-LN(2)/25))/(LN(2)/25)*Calculateur!V202*Calculateur!X202*VLOOKUP('Données projet'!$B$9,Paramètres!$A$1:$I$89,3,0)*0.475*44/12</f>
        <v>0.15164718441093467</v>
      </c>
      <c r="AB202" s="23">
        <f>EXP(-LN(2)/2)*AB201+(1-EXP(-LN(2)/2))/(LN(2)/2)*V202*Y202*VLOOKUP('Données projet'!$B$9,Paramètres!$A$1:$I$89,3,0)*0.475*44/12</f>
        <v>2.3176718665158097E-25</v>
      </c>
      <c r="AC202" s="24">
        <f t="shared" si="163"/>
        <v>0.50386852696952933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475.47920969424894</v>
      </c>
      <c r="AO202" s="62">
        <f t="shared" si="205"/>
        <v>271.73544012419364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-8.7434273154940449E-13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428.8489304403459</v>
      </c>
      <c r="BJ202" s="62">
        <f t="shared" si="206"/>
        <v>247.01165577562966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-1.9895196601282805E-13</v>
      </c>
      <c r="BZ202" s="14">
        <f>BY202*VLOOKUP('Données projet'!$B$12,Paramètres!$A$1:$I$89,3,0)*VLOOKUP('Données projet'!$B$12,Paramètres!$A$1:$I$89,5,0)</f>
        <v>-1.6138983482960614E-13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236.22643401787644</v>
      </c>
      <c r="CE202" s="62">
        <f t="shared" si="207"/>
        <v>188.80444043778022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2.8421709430404007E-13</v>
      </c>
      <c r="CU202" s="18">
        <f>CT202*VLOOKUP('Données projet'!$B$13,Paramètres!$A$1:$I$89,3,0)*VLOOKUP('Données projet'!$B$13,Paramètres!$A$1:$I$89,5,0)</f>
        <v>1.3301360013429075E-13</v>
      </c>
      <c r="CV202" s="14">
        <f t="shared" si="173"/>
        <v>1.9329766731057041E-12</v>
      </c>
      <c r="CW202" s="22">
        <f t="shared" si="174"/>
        <v>3.5982663925596575E-12</v>
      </c>
      <c r="CX202" s="62">
        <f t="shared" si="196"/>
        <v>293.3333333333369</v>
      </c>
      <c r="CY202" s="62">
        <f ca="1">AVERAGE(OFFSET($CX$3,0,0,'Données projet'!$E$13+1,1))-AVERAGE(OFFSET($H$3,0,0,'Données projet'!$E$13+1,1))</f>
        <v>246.73711856758143</v>
      </c>
      <c r="CZ202" s="62">
        <f t="shared" si="208"/>
        <v>145.54897745089966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-5.1159076974727213E-13</v>
      </c>
      <c r="DP202" s="18">
        <f>DO202*VLOOKUP('Données projet'!$B$14,Paramètres!$A$1:$I$89,3,0)*VLOOKUP('Données projet'!$B$14,Paramètres!$A$1:$I$89,5,0)</f>
        <v>-5.3471467253984886E-13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493.70175665335978</v>
      </c>
      <c r="DU202" s="62">
        <f t="shared" si="209"/>
        <v>325.12357781685949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-1.7053025658242404E-13</v>
      </c>
      <c r="EK202" s="18">
        <f>EJ202*VLOOKUP('Données projet'!$B$15,Paramètres!$A$1:$I$89,3,0)*VLOOKUP('Données projet'!$B$15,Paramètres!$A$1:$I$89,5,0)</f>
        <v>-1.4897523215040567E-13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202.86354781280403</v>
      </c>
      <c r="EP202" s="62">
        <f t="shared" si="210"/>
        <v>217.25323885665131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-1.7053025658242404E-13</v>
      </c>
      <c r="FF202" s="18">
        <f>FE202*VLOOKUP('Données projet'!$B$16,Paramètres!$A$1:$I$89,3,0)*VLOOKUP('Données projet'!$B$16,Paramètres!$A$1:$I$89,5,0)</f>
        <v>-1.6227659216383472E-13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353.61481736740694</v>
      </c>
      <c r="FK202" s="62">
        <f t="shared" si="211"/>
        <v>244.7141066773861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5.6843418860808015E-14</v>
      </c>
      <c r="GA202" s="18">
        <f>FZ202*VLOOKUP('Données projet'!$B$17,Paramètres!$A$1:$I$89,3,0)*VLOOKUP('Données projet'!$B$17,Paramètres!$A$1:$I$89,5,0)</f>
        <v>6.1186256061773749E-14</v>
      </c>
      <c r="GB202" s="14">
        <f t="shared" si="185"/>
        <v>9.7328366192051127E-13</v>
      </c>
      <c r="GC202" s="22">
        <f t="shared" si="186"/>
        <v>1.8017017738191463E-12</v>
      </c>
      <c r="GD202" s="62">
        <f t="shared" si="200"/>
        <v>293.33333333333513</v>
      </c>
      <c r="GE202" s="62">
        <f ca="1">AVERAGE(OFFSET($GD$3,0,0,'Données projet'!$E$17+1,1))-AVERAGE(OFFSET($H$3,0,0,'Données projet'!$E$17+1,1))</f>
        <v>280.20599015000306</v>
      </c>
      <c r="GF202" s="62">
        <f t="shared" si="212"/>
        <v>166.97658184507787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-5.6843418860808015E-14</v>
      </c>
      <c r="GV202" s="18">
        <f>GU202*VLOOKUP('Données projet'!$B$18,Paramètres!$A$1:$I$89,3,0)*VLOOKUP('Données projet'!$B$18,Paramètres!$A$1:$I$89,5,0)</f>
        <v>-3.813056537183002E-14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291.18686311753402</v>
      </c>
      <c r="HA202" s="62">
        <f t="shared" si="213"/>
        <v>215.44422413249839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9">
        <f t="shared" si="192"/>
        <v>256.66666666666669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260.02504691866199</v>
      </c>
      <c r="T203" s="62">
        <f t="shared" si="204"/>
        <v>270.11268336406368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0.34531449686482657</v>
      </c>
      <c r="AA203" s="23">
        <f>EXP(-LN(2)/25)*AA202+(1-EXP(-LN(2)/25))/(LN(2)/25)*Calculateur!V203*Calculateur!X203*VLOOKUP('Données projet'!$B$9,Paramètres!$A$1:$I$89,3,0)*0.475*44/12</f>
        <v>0.14750038417843883</v>
      </c>
      <c r="AB203" s="23">
        <f>EXP(-LN(2)/2)*AB202+(1-EXP(-LN(2)/2))/(LN(2)/2)*V203*Y203*VLOOKUP('Données projet'!$B$9,Paramètres!$A$1:$I$89,3,0)*0.475*44/12</f>
        <v>1.6388414933786118E-25</v>
      </c>
      <c r="AC203" s="24">
        <f t="shared" si="163"/>
        <v>0.49281488104326543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475.47920969424894</v>
      </c>
      <c r="AO203" s="62">
        <f t="shared" si="205"/>
        <v>271.73544012419364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-8.7434273154940449E-13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428.8489304403459</v>
      </c>
      <c r="BJ203" s="62">
        <f t="shared" si="206"/>
        <v>247.01165577562966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-1.9895196601282805E-13</v>
      </c>
      <c r="BZ203" s="14">
        <f>BY203*VLOOKUP('Données projet'!$B$12,Paramètres!$A$1:$I$89,3,0)*VLOOKUP('Données projet'!$B$12,Paramètres!$A$1:$I$89,5,0)</f>
        <v>-1.6138983482960614E-13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236.22643401787644</v>
      </c>
      <c r="CE203" s="62">
        <f t="shared" si="207"/>
        <v>188.80444043778022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2.8421709430404007E-13</v>
      </c>
      <c r="CU203" s="18">
        <f>CT203*VLOOKUP('Données projet'!$B$13,Paramètres!$A$1:$I$89,3,0)*VLOOKUP('Données projet'!$B$13,Paramètres!$A$1:$I$89,5,0)</f>
        <v>1.3301360013429075E-13</v>
      </c>
      <c r="CV203" s="14">
        <f t="shared" si="173"/>
        <v>1.9329766731057041E-12</v>
      </c>
      <c r="CW203" s="22">
        <f t="shared" si="174"/>
        <v>3.5982663925596575E-12</v>
      </c>
      <c r="CX203" s="62">
        <f t="shared" si="196"/>
        <v>293.3333333333369</v>
      </c>
      <c r="CY203" s="62">
        <f ca="1">AVERAGE(OFFSET($CX$3,0,0,'Données projet'!$E$13+1,1))-AVERAGE(OFFSET($H$3,0,0,'Données projet'!$E$13+1,1))</f>
        <v>246.73711856758143</v>
      </c>
      <c r="CZ203" s="62">
        <f t="shared" si="208"/>
        <v>145.54897745089966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-5.1159076974727213E-13</v>
      </c>
      <c r="DP203" s="18">
        <f>DO203*VLOOKUP('Données projet'!$B$14,Paramètres!$A$1:$I$89,3,0)*VLOOKUP('Données projet'!$B$14,Paramètres!$A$1:$I$89,5,0)</f>
        <v>-5.3471467253984886E-13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493.70175665335978</v>
      </c>
      <c r="DU203" s="62">
        <f t="shared" si="209"/>
        <v>325.12357781685949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-1.7053025658242404E-13</v>
      </c>
      <c r="EK203" s="18">
        <f>EJ203*VLOOKUP('Données projet'!$B$15,Paramètres!$A$1:$I$89,3,0)*VLOOKUP('Données projet'!$B$15,Paramètres!$A$1:$I$89,5,0)</f>
        <v>-1.4897523215040567E-13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202.86354781280403</v>
      </c>
      <c r="EP203" s="62">
        <f t="shared" si="210"/>
        <v>217.25323885665131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-1.7053025658242404E-13</v>
      </c>
      <c r="FF203" s="18">
        <f>FE203*VLOOKUP('Données projet'!$B$16,Paramètres!$A$1:$I$89,3,0)*VLOOKUP('Données projet'!$B$16,Paramètres!$A$1:$I$89,5,0)</f>
        <v>-1.6227659216383472E-13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353.61481736740694</v>
      </c>
      <c r="FK203" s="62">
        <f t="shared" si="211"/>
        <v>244.7141066773861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5.6843418860808015E-14</v>
      </c>
      <c r="GA203" s="18">
        <f>FZ203*VLOOKUP('Données projet'!$B$17,Paramètres!$A$1:$I$89,3,0)*VLOOKUP('Données projet'!$B$17,Paramètres!$A$1:$I$89,5,0)</f>
        <v>6.1186256061773749E-14</v>
      </c>
      <c r="GB203" s="14">
        <f t="shared" si="185"/>
        <v>9.7328366192051127E-13</v>
      </c>
      <c r="GC203" s="22">
        <f t="shared" si="186"/>
        <v>1.8017017738191463E-12</v>
      </c>
      <c r="GD203" s="62">
        <f t="shared" si="200"/>
        <v>293.33333333333513</v>
      </c>
      <c r="GE203" s="62">
        <f ca="1">AVERAGE(OFFSET($GD$3,0,0,'Données projet'!$E$17+1,1))-AVERAGE(OFFSET($H$3,0,0,'Données projet'!$E$17+1,1))</f>
        <v>280.20599015000306</v>
      </c>
      <c r="GF203" s="62">
        <f t="shared" si="212"/>
        <v>166.97658184507787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-5.6843418860808015E-14</v>
      </c>
      <c r="GV203" s="18">
        <f>GU203*VLOOKUP('Données projet'!$B$18,Paramètres!$A$1:$I$89,3,0)*VLOOKUP('Données projet'!$B$18,Paramètres!$A$1:$I$89,5,0)</f>
        <v>-3.813056537183002E-14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291.18686311753402</v>
      </c>
      <c r="HA203" s="62">
        <f t="shared" si="213"/>
        <v>215.44422413249839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" thickBot="1" x14ac:dyDescent="0.3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" thickBot="1" x14ac:dyDescent="0.3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1.3292852468636394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1.2054868146447177</v>
      </c>
      <c r="BA205" s="87">
        <f>EXP(LN('Données projet'!B88)/'Données projet'!A88)</f>
        <v>1.2054868146447177</v>
      </c>
      <c r="BV205" s="87">
        <f>EXP(LN('Données projet'!B114)/'Données projet'!A114)</f>
        <v>1.2599210498948732</v>
      </c>
      <c r="CQ205" s="87">
        <f>EXP(LN('Données projet'!B140)/'Données projet'!A140)</f>
        <v>1.1671681906248585</v>
      </c>
      <c r="DL205" s="87">
        <f>EXP(LN('Données projet'!B166)/'Données projet'!A166)</f>
        <v>1.2548684989282006</v>
      </c>
      <c r="EG205" s="87">
        <f>EXP(LN('Données projet'!B192)/'Données projet'!A192)</f>
        <v>1.1554831727638066</v>
      </c>
      <c r="FB205" s="87">
        <f>EXP(LN('Données projet'!B218)/'Données projet'!A218)</f>
        <v>1.2649598798623627</v>
      </c>
      <c r="FW205" s="87">
        <f>EXP(LN('Données projet'!B244)/'Données projet'!A244)</f>
        <v>1.1644235083052243</v>
      </c>
      <c r="GR205" s="87">
        <f>EXP(LN('Données projet'!B270)/'Données projet'!A270)</f>
        <v>1.2822890014514785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202"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Pin maritime</v>
      </c>
      <c r="B6" s="153">
        <f>'Données projet'!D9</f>
        <v>1.9199310000000001</v>
      </c>
      <c r="C6" s="154">
        <f ca="1">IF(OR('Données projet'!B9="",'Données projet'!C9="",'Données projet'!C9=0%),0,Calculateur!S3)</f>
        <v>260.02504691866199</v>
      </c>
      <c r="D6" s="154">
        <f>IF(OR('Données projet'!B9="",'Données projet'!C9="",'Données projet'!C9=0%),0,Calculateur!T3)</f>
        <v>270.11268336406368</v>
      </c>
      <c r="E6" s="154">
        <f ca="1">MIN(C6,D6)</f>
        <v>260.02504691866199</v>
      </c>
      <c r="F6" s="154">
        <f ca="1">E6*B6</f>
        <v>499.23014835559366</v>
      </c>
      <c r="G6" s="154">
        <f ca="1">F6*(100%-'Données projet'!$C$24)*(100%-'Données projet'!$C$25)*(100%-'Données projet'!$C$26)*(100%-'Données projet'!$C$27)</f>
        <v>404.3764201680309</v>
      </c>
      <c r="H6" s="155">
        <f>IF(OR('Données projet'!B9="",'Données projet'!C9="",'Données projet'!C9=0%),0,AVERAGE(Calculateur!$AC$3:$AC$33)*B6)</f>
        <v>18.753360413314677</v>
      </c>
      <c r="I6" s="156">
        <f>H6*(100%-'Données projet'!$C$24)*(100%-'Données projet'!$C$25)*(100%-'Données projet'!$C$26)*(100%-'Données projet'!$C$27)</f>
        <v>15.190221934784889</v>
      </c>
      <c r="J6" s="157">
        <f>IF(OR('Données projet'!B9="",'Données projet'!C9="",'Données projet'!C9=0%),0,SUM(Calculateur!$V$3:$V$33)*VLOOKUP('Données projet'!$B$9,Paramètres!$A$1:$I$89,9,0)*B6)</f>
        <v>162.94306710000001</v>
      </c>
      <c r="K6" s="158">
        <f>J6*(100%-'Données projet'!$C$24)*(100%-'Données projet'!$C$25)*(100%-'Données projet'!$C$26)*(100%-'Données projet'!$C$27)</f>
        <v>131.983884351</v>
      </c>
      <c r="L6" s="159">
        <f ca="1">G6+I6+K6</f>
        <v>551.55052645381579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pubescent</v>
      </c>
      <c r="B7" s="161">
        <f>'Données projet'!D10</f>
        <v>0.97266140000000012</v>
      </c>
      <c r="C7" s="154">
        <f ca="1">IF(OR('Données projet'!B10="",'Données projet'!C10="",'Données projet'!C10=0%),0,Calculateur!AN3)</f>
        <v>475.47920969424894</v>
      </c>
      <c r="D7" s="154">
        <f>IF(OR('Données projet'!B10="",'Données projet'!C10="",'Données projet'!C10=0%),0,Calculateur!AO3)</f>
        <v>271.73544012419364</v>
      </c>
      <c r="E7" s="154">
        <f t="shared" ref="E7:E15" ca="1" si="0">MIN(C7,D7)</f>
        <v>271.73544012419364</v>
      </c>
      <c r="F7" s="154">
        <f t="shared" ref="F7:F15" ca="1" si="1">E7*B7</f>
        <v>264.30657362081439</v>
      </c>
      <c r="G7" s="154">
        <f ca="1">F7*(100%-'Données projet'!$C$24)*(100%-'Données projet'!$C$25)*(100%-'Données projet'!$C$26)*(100%-'Données projet'!$C$27)</f>
        <v>214.08832463285967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7.0517951500000011</v>
      </c>
      <c r="K7" s="158">
        <f>J7*(100%-'Données projet'!$C$24)*(100%-'Données projet'!$C$25)*(100%-'Données projet'!$C$26)*(100%-'Données projet'!$C$27)</f>
        <v>5.711954071500001</v>
      </c>
      <c r="L7" s="159">
        <f t="shared" ref="L7:L15" ca="1" si="2">G7+I7+K7</f>
        <v>219.80027870435967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Chêne sessile</v>
      </c>
      <c r="B8" s="161">
        <f>'Données projet'!D11</f>
        <v>0.62443100000000007</v>
      </c>
      <c r="C8" s="154">
        <f ca="1">IF(OR('Données projet'!B11="",'Données projet'!C11="",'Données projet'!C11=0%),0,Calculateur!BI3)</f>
        <v>428.8489304403459</v>
      </c>
      <c r="D8" s="154">
        <f>IF(OR('Données projet'!B11="",'Données projet'!C11="",'Données projet'!C11=0%),0,Calculateur!BJ3)</f>
        <v>247.01165577562966</v>
      </c>
      <c r="E8" s="154">
        <f t="shared" ca="1" si="0"/>
        <v>247.01165577562966</v>
      </c>
      <c r="F8" s="154">
        <f t="shared" ca="1" si="1"/>
        <v>154.24173522763223</v>
      </c>
      <c r="G8" s="154">
        <f ca="1">F8*(100%-'Données projet'!$C$24)*(100%-'Données projet'!$C$25)*(100%-'Données projet'!$C$26)*(100%-'Données projet'!$C$27)</f>
        <v>124.93580553438211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4.5271247500000005</v>
      </c>
      <c r="K8" s="158">
        <f>J8*(100%-'Données projet'!$C$24)*(100%-'Données projet'!$C$25)*(100%-'Données projet'!$C$26)*(100%-'Données projet'!$C$27)</f>
        <v>3.6669710475000001</v>
      </c>
      <c r="L8" s="159">
        <f t="shared" ca="1" si="2"/>
        <v>128.60277658188213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Bouleau verruqueux</v>
      </c>
      <c r="B9" s="161">
        <f>'Données projet'!D12</f>
        <v>0.47985320000000004</v>
      </c>
      <c r="C9" s="154">
        <f ca="1">IF(OR('Données projet'!B12="",'Données projet'!C12="",'Données projet'!C12=0%),0,Calculateur!CD3)</f>
        <v>236.22643401787644</v>
      </c>
      <c r="D9" s="154">
        <f>IF(OR('Données projet'!B12="",'Données projet'!C12="",'Données projet'!C12=0%),0,Calculateur!CE3)</f>
        <v>188.80444043778022</v>
      </c>
      <c r="E9" s="154">
        <f t="shared" ca="1" si="0"/>
        <v>188.80444043778022</v>
      </c>
      <c r="F9" s="154">
        <f t="shared" ca="1" si="1"/>
        <v>90.598414918278237</v>
      </c>
      <c r="G9" s="154">
        <f ca="1">F9*(100%-'Données projet'!$C$24)*(100%-'Données projet'!$C$25)*(100%-'Données projet'!$C$26)*(100%-'Données projet'!$C$27)</f>
        <v>73.384716083805372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1.5595229000000002</v>
      </c>
      <c r="K9" s="158">
        <f>J9*(100%-'Données projet'!$C$24)*(100%-'Données projet'!$C$25)*(100%-'Données projet'!$C$26)*(100%-'Données projet'!$C$27)</f>
        <v>1.2632135490000003</v>
      </c>
      <c r="L9" s="159">
        <f t="shared" ca="1" si="2"/>
        <v>74.647929632805372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Cèdre de l'Atlas</v>
      </c>
      <c r="B10" s="161">
        <f>'Données projet'!D13</f>
        <v>0.27982800000000002</v>
      </c>
      <c r="C10" s="154">
        <f ca="1">IF(OR('Données projet'!B13="",'Données projet'!C13="",'Données projet'!C13=0%),0,Calculateur!CY3)</f>
        <v>246.73711856758143</v>
      </c>
      <c r="D10" s="154">
        <f>IF(OR('Données projet'!B13="",'Données projet'!C13="",'Données projet'!C13=0%),0,Calculateur!CZ3)</f>
        <v>145.54897745089966</v>
      </c>
      <c r="E10" s="154">
        <f t="shared" ca="1" si="0"/>
        <v>145.54897745089966</v>
      </c>
      <c r="F10" s="154">
        <f t="shared" ca="1" si="1"/>
        <v>40.728679262130349</v>
      </c>
      <c r="G10" s="154">
        <f ca="1">F10*(100%-'Données projet'!$C$24)*(100%-'Données projet'!$C$25)*(100%-'Données projet'!$C$26)*(100%-'Données projet'!$C$27)</f>
        <v>32.990230202325584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ca="1" si="2"/>
        <v>32.990230202325584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Chêne chevelu</v>
      </c>
      <c r="B11" s="161">
        <f>'Données projet'!D14</f>
        <v>0.13991400000000001</v>
      </c>
      <c r="C11" s="154">
        <f ca="1">IF(OR('Données projet'!B14="",'Données projet'!C14="",'Données projet'!C14=0%),0,Calculateur!DT3)</f>
        <v>493.70175665335978</v>
      </c>
      <c r="D11" s="154">
        <f>IF(OR('Données projet'!B14="",'Données projet'!C14="",'Données projet'!C14=0%),0,Calculateur!DU3)</f>
        <v>325.12357781685949</v>
      </c>
      <c r="E11" s="154">
        <f t="shared" ca="1" si="0"/>
        <v>325.12357781685949</v>
      </c>
      <c r="F11" s="154">
        <f t="shared" ca="1" si="1"/>
        <v>45.48934026666808</v>
      </c>
      <c r="G11" s="154">
        <f ca="1">F11*(100%-'Données projet'!$C$24)*(100%-'Données projet'!$C$25)*(100%-'Données projet'!$C$26)*(100%-'Données projet'!$C$27)</f>
        <v>36.846365616001144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0.98657307692307694</v>
      </c>
      <c r="K11" s="158">
        <f>J11*(100%-'Données projet'!$C$24)*(100%-'Données projet'!$C$25)*(100%-'Données projet'!$C$26)*(100%-'Données projet'!$C$27)</f>
        <v>0.79912419230769238</v>
      </c>
      <c r="L11" s="159">
        <f t="shared" ca="1" si="2"/>
        <v>37.645489808308838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Erable champêtre</v>
      </c>
      <c r="B12" s="161">
        <f>'Données projet'!D15</f>
        <v>0.13991400000000001</v>
      </c>
      <c r="C12" s="154">
        <f ca="1">IF(OR('Données projet'!B15="",'Données projet'!C15="",'Données projet'!C15=0%),0,Calculateur!EO3)</f>
        <v>202.86354781280403</v>
      </c>
      <c r="D12" s="154">
        <f>IF(OR('Données projet'!B15="",'Données projet'!C15="",'Données projet'!C15=0%),0,Calculateur!EP3)</f>
        <v>217.25323885665131</v>
      </c>
      <c r="E12" s="154">
        <f t="shared" ca="1" si="0"/>
        <v>202.86354781280403</v>
      </c>
      <c r="F12" s="154">
        <f t="shared" ca="1" si="1"/>
        <v>28.383450428680664</v>
      </c>
      <c r="G12" s="154">
        <f ca="1">F12*(100%-'Données projet'!$C$24)*(100%-'Données projet'!$C$25)*(100%-'Données projet'!$C$26)*(100%-'Données projet'!$C$27)</f>
        <v>22.990594847231339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1.0843335000000001</v>
      </c>
      <c r="K12" s="158">
        <f>J12*(100%-'Données projet'!$C$24)*(100%-'Données projet'!$C$25)*(100%-'Données projet'!$C$26)*(100%-'Données projet'!$C$27)</f>
        <v>0.8783101350000001</v>
      </c>
      <c r="L12" s="159">
        <f t="shared" ca="1" si="2"/>
        <v>23.868904982231339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>Charme</v>
      </c>
      <c r="B13" s="161">
        <f>'Données projet'!D16</f>
        <v>0.20831640000000001</v>
      </c>
      <c r="C13" s="154">
        <f ca="1">IF(OR('Données projet'!B16="",'Données projet'!C16="",'Données projet'!C16=0%),0,Calculateur!FJ3)</f>
        <v>353.61481736740694</v>
      </c>
      <c r="D13" s="154">
        <f>IF(OR('Données projet'!B16="",'Données projet'!C16="",'Données projet'!C16=0%),0,Calculateur!FK3)</f>
        <v>244.7141066773861</v>
      </c>
      <c r="E13" s="154">
        <f t="shared" ca="1" si="0"/>
        <v>244.7141066773861</v>
      </c>
      <c r="F13" s="154">
        <f t="shared" ca="1" si="1"/>
        <v>50.977961732249035</v>
      </c>
      <c r="G13" s="154">
        <f ca="1">F13*(100%-'Données projet'!$C$24)*(100%-'Données projet'!$C$25)*(100%-'Données projet'!$C$26)*(100%-'Données projet'!$C$27)</f>
        <v>41.292149003121722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1.4021296153846154</v>
      </c>
      <c r="K13" s="158">
        <f>J13*(100%-'Données projet'!$C$24)*(100%-'Données projet'!$C$25)*(100%-'Données projet'!$C$26)*(100%-'Données projet'!$C$27)</f>
        <v>1.1357249884615386</v>
      </c>
      <c r="L13" s="159">
        <f t="shared" ca="1" si="2"/>
        <v>42.427873991583262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>Cormier</v>
      </c>
      <c r="B14" s="161">
        <f>'Données projet'!D17</f>
        <v>0.20831640000000001</v>
      </c>
      <c r="C14" s="154">
        <f ca="1">IF(OR('Données projet'!B17="",'Données projet'!C17="",'Données projet'!C17=0%),0,Calculateur!GE3)</f>
        <v>280.20599015000306</v>
      </c>
      <c r="D14" s="154">
        <f>IF(OR('Données projet'!B17="",'Données projet'!C17="",'Données projet'!C17=0%),0,Calculateur!GF3)</f>
        <v>166.97658184507787</v>
      </c>
      <c r="E14" s="154">
        <f t="shared" ca="1" si="0"/>
        <v>166.97658184507787</v>
      </c>
      <c r="F14" s="154">
        <f t="shared" ca="1" si="1"/>
        <v>34.783960414271981</v>
      </c>
      <c r="G14" s="154">
        <f ca="1">F14*(100%-'Données projet'!$C$24)*(100%-'Données projet'!$C$25)*(100%-'Données projet'!$C$26)*(100%-'Données projet'!$C$27)</f>
        <v>28.175007935560306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ca="1" si="2"/>
        <v>28.175007935560306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>Tilleul</v>
      </c>
      <c r="B15" s="164">
        <f>'Données projet'!D18</f>
        <v>0.10415820000000001</v>
      </c>
      <c r="C15" s="165">
        <f ca="1">IF(OR('Données projet'!B18="",'Données projet'!C18="",'Données projet'!C18=0%),0,Calculateur!GZ3)</f>
        <v>291.18686311753402</v>
      </c>
      <c r="D15" s="165">
        <f>IF(OR('Données projet'!B18="",'Données projet'!C18="",'Données projet'!C18=0%),0,Calculateur!HA3)</f>
        <v>215.44422413249839</v>
      </c>
      <c r="E15" s="165">
        <f t="shared" ca="1" si="0"/>
        <v>215.44422413249839</v>
      </c>
      <c r="F15" s="166">
        <f t="shared" ca="1" si="1"/>
        <v>22.440282586037597</v>
      </c>
      <c r="G15" s="166">
        <f ca="1">F15*(100%-'Données projet'!$C$24)*(100%-'Données projet'!$C$25)*(100%-'Données projet'!$C$26)*(100%-'Données projet'!$C$27)</f>
        <v>18.176628894690456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0.9514450961538462</v>
      </c>
      <c r="K15" s="170">
        <f>J15*(100%-'Données projet'!$C$24)*(100%-'Données projet'!$C$25)*(100%-'Données projet'!$C$26)*(100%-'Données projet'!$C$27)</f>
        <v>0.77067052788461554</v>
      </c>
      <c r="L15" s="171">
        <f t="shared" ca="1" si="2"/>
        <v>18.947299422575071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1231.1805468123562</v>
      </c>
      <c r="G16" s="173">
        <f t="shared" ca="1" si="3"/>
        <v>997.25624291800864</v>
      </c>
      <c r="H16" s="174">
        <f t="shared" si="3"/>
        <v>18.753360413314677</v>
      </c>
      <c r="I16" s="174">
        <f t="shared" si="3"/>
        <v>15.190221934784889</v>
      </c>
      <c r="J16" s="175">
        <f t="shared" si="3"/>
        <v>180.50599118846154</v>
      </c>
      <c r="K16" s="175">
        <f t="shared" si="3"/>
        <v>146.20985286265383</v>
      </c>
      <c r="L16" s="176">
        <f t="shared" ca="1" si="3"/>
        <v>1158.6563177154474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Pin maritime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Chêne sessile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Bouleau verruqueux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Cèdre de l'Atlas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Chêne chevelu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Erable champêtre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>Charme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>Cormier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>Tilleul</v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I8" zoomScale="70" zoomScaleNormal="70" workbookViewId="0">
      <selection activeCell="M21" sqref="M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8" t="s">
        <v>315</v>
      </c>
      <c r="I4" s="338"/>
      <c r="K4" s="335" t="s">
        <v>253</v>
      </c>
      <c r="L4" s="336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7" t="s">
        <v>310</v>
      </c>
      <c r="S7" s="328"/>
      <c r="T7" s="328"/>
      <c r="U7" s="328"/>
      <c r="V7" s="329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Pin maritime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3354.078672632585</v>
      </c>
      <c r="U10" s="188">
        <f>'Données projet'!D9</f>
        <v>1.9199310000000001</v>
      </c>
      <c r="V10" s="187">
        <f>U10*T10</f>
        <v>6439.5996200261516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pubescent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635.35296343597179</v>
      </c>
      <c r="U11" s="188">
        <f>'Données projet'!D10</f>
        <v>0.97266140000000012</v>
      </c>
      <c r="V11" s="187">
        <f t="shared" ref="V11" si="0">U11*T11</f>
        <v>617.98330290978117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Chêne sessile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635.35296343597179</v>
      </c>
      <c r="U12" s="188">
        <f>'Données projet'!D11</f>
        <v>0.62443100000000007</v>
      </c>
      <c r="V12" s="187">
        <f t="shared" ref="V12:V19" si="1">U12*T12</f>
        <v>396.73408631128734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Bouleau verruqueux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536.89617923618835</v>
      </c>
      <c r="U13" s="188">
        <f>'Données projet'!D12</f>
        <v>0.47985320000000004</v>
      </c>
      <c r="V13" s="187">
        <f t="shared" si="1"/>
        <v>257.63134967425856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Pin maritime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Cèdre de l'Atlas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930.55816768469083</v>
      </c>
      <c r="U14" s="188">
        <f>'Données projet'!D13</f>
        <v>0.27982800000000002</v>
      </c>
      <c r="V14" s="187">
        <f t="shared" si="1"/>
        <v>260.3962309468717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39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Chêne chevelu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469.76023029662122</v>
      </c>
      <c r="U15" s="188">
        <f>'Données projet'!D14</f>
        <v>0.13991400000000001</v>
      </c>
      <c r="V15" s="187">
        <f t="shared" si="1"/>
        <v>65.726032861721464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9"/>
      <c r="H16" s="201"/>
      <c r="I16" s="202"/>
      <c r="J16" s="214"/>
      <c r="K16" s="223"/>
      <c r="L16" s="335" t="s">
        <v>254</v>
      </c>
      <c r="M16" s="336"/>
      <c r="N16" s="2"/>
      <c r="O16" s="25"/>
      <c r="P16" s="25"/>
      <c r="Q16" s="263"/>
      <c r="R16" s="25"/>
      <c r="S16" s="183" t="str">
        <f>B200</f>
        <v>Erable champêtre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1077.2885437151099</v>
      </c>
      <c r="U16" s="188">
        <f>'Données projet'!D15</f>
        <v>0.13991400000000001</v>
      </c>
      <c r="V16" s="187">
        <f t="shared" si="1"/>
        <v>150.7277493053559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9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Charme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652.16437083659059</v>
      </c>
      <c r="U17" s="188">
        <f>'Données projet'!D16</f>
        <v>0.20831640000000001</v>
      </c>
      <c r="V17" s="187">
        <f t="shared" si="1"/>
        <v>135.85653394094354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9"/>
      <c r="J18" s="214"/>
      <c r="K18" s="223"/>
      <c r="L18" s="293" t="s">
        <v>255</v>
      </c>
      <c r="M18" s="295"/>
      <c r="N18" s="203"/>
      <c r="O18" s="25"/>
      <c r="P18" s="25"/>
      <c r="Q18" s="263"/>
      <c r="R18" s="25"/>
      <c r="S18" s="183" t="str">
        <f>B262</f>
        <v>Cormier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447.26527884427418</v>
      </c>
      <c r="U18" s="188">
        <f>'Données projet'!D17</f>
        <v>0.20831640000000001</v>
      </c>
      <c r="V18" s="187">
        <f t="shared" si="1"/>
        <v>93.172692733835362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9"/>
      <c r="H19" s="230" t="s">
        <v>178</v>
      </c>
      <c r="I19" s="230" t="s">
        <v>287</v>
      </c>
      <c r="J19" s="258"/>
      <c r="K19" s="181"/>
      <c r="L19" s="335" t="s">
        <v>288</v>
      </c>
      <c r="M19" s="336"/>
      <c r="N19" s="189">
        <f>N17*N18</f>
        <v>0</v>
      </c>
      <c r="O19" s="25"/>
      <c r="P19" s="5"/>
      <c r="Q19" s="264"/>
      <c r="R19" s="5"/>
      <c r="S19" s="183" t="str">
        <f>B293</f>
        <v>Tilleul</v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882.11779828613612</v>
      </c>
      <c r="U19" s="188">
        <f>'Données projet'!D18</f>
        <v>0.10415820000000001</v>
      </c>
      <c r="V19" s="187">
        <f t="shared" si="1"/>
        <v>91.879802057447023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9"/>
      <c r="H20" s="201">
        <v>0</v>
      </c>
      <c r="I20" s="202">
        <v>9000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17</v>
      </c>
      <c r="B23" s="191">
        <f>'Données projet'!D36</f>
        <v>42.084615384615375</v>
      </c>
      <c r="C23" s="202">
        <v>10</v>
      </c>
      <c r="D23" s="192">
        <f>B23*C23</f>
        <v>420.84615384615375</v>
      </c>
      <c r="E23" s="204"/>
      <c r="F23" s="259"/>
      <c r="H23" s="201"/>
      <c r="I23" s="202"/>
      <c r="K23" s="223"/>
      <c r="L23" s="337" t="s">
        <v>260</v>
      </c>
      <c r="M23" s="337"/>
      <c r="N23" s="337"/>
      <c r="O23" s="25"/>
      <c r="P23" s="25"/>
      <c r="Q23" s="263"/>
      <c r="R23" s="25"/>
      <c r="S23" s="183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-38128.292599232343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23</v>
      </c>
      <c r="B24" s="191">
        <f>'Données projet'!D37</f>
        <v>54.099999999999987</v>
      </c>
      <c r="C24" s="202">
        <v>15</v>
      </c>
      <c r="D24" s="192">
        <f t="shared" ref="D24:D42" si="2">B24*C24</f>
        <v>811.49999999999977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29</v>
      </c>
      <c r="B25" s="191">
        <f>'Données projet'!D38</f>
        <v>47.661538461538463</v>
      </c>
      <c r="C25" s="202">
        <v>20</v>
      </c>
      <c r="D25" s="192">
        <f t="shared" si="2"/>
        <v>953.23076923076928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34">
        <f ca="1">T23-T24</f>
        <v>-38128.292599232343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36</v>
      </c>
      <c r="B26" s="191">
        <f>'Données projet'!D39</f>
        <v>64.553846153846166</v>
      </c>
      <c r="C26" s="204">
        <v>30</v>
      </c>
      <c r="D26" s="192">
        <f t="shared" si="2"/>
        <v>1936.615384615385</v>
      </c>
      <c r="E26" s="204"/>
      <c r="F26" s="262"/>
      <c r="G26" s="257"/>
      <c r="H26" s="201"/>
      <c r="I26" s="202"/>
      <c r="K26" s="223"/>
      <c r="L26" s="321" t="s">
        <v>258</v>
      </c>
      <c r="M26" s="322"/>
      <c r="N26" s="322"/>
      <c r="O26" s="322"/>
      <c r="P26" s="323"/>
      <c r="Q26" s="263"/>
      <c r="R26" s="25"/>
      <c r="S26" s="196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44</v>
      </c>
      <c r="B27" s="191">
        <f>'Données projet'!D40</f>
        <v>64.476923076923114</v>
      </c>
      <c r="C27" s="204">
        <v>40</v>
      </c>
      <c r="D27" s="192">
        <f t="shared" si="2"/>
        <v>2579.0769230769247</v>
      </c>
      <c r="E27" s="204"/>
      <c r="F27" s="262"/>
      <c r="G27" s="257"/>
      <c r="H27" s="201"/>
      <c r="I27" s="202"/>
      <c r="K27" s="223"/>
      <c r="L27" s="324"/>
      <c r="M27" s="325"/>
      <c r="N27" s="325"/>
      <c r="O27" s="325"/>
      <c r="P27" s="326"/>
      <c r="Q27" s="263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52</v>
      </c>
      <c r="B28" s="191">
        <f>'Données projet'!D41</f>
        <v>61.784615384615378</v>
      </c>
      <c r="C28" s="204">
        <v>50</v>
      </c>
      <c r="D28" s="192">
        <f t="shared" si="2"/>
        <v>3089.2307692307691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60</v>
      </c>
      <c r="B29" s="191">
        <f>'Données projet'!D42</f>
        <v>353.5</v>
      </c>
      <c r="C29" s="204">
        <v>60</v>
      </c>
      <c r="D29" s="192">
        <f t="shared" si="2"/>
        <v>21210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0</v>
      </c>
      <c r="B30" s="191">
        <f>'Données projet'!D43</f>
        <v>0</v>
      </c>
      <c r="C30" s="204">
        <v>0</v>
      </c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0</v>
      </c>
      <c r="B31" s="191">
        <f>'Données projet'!D44</f>
        <v>0</v>
      </c>
      <c r="C31" s="204">
        <v>0</v>
      </c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0</v>
      </c>
      <c r="B32" s="191">
        <f>'Données projet'!D45</f>
        <v>0</v>
      </c>
      <c r="C32" s="204">
        <v>0</v>
      </c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0</v>
      </c>
      <c r="B33" s="191">
        <f>'Données projet'!D46</f>
        <v>0</v>
      </c>
      <c r="C33" s="204">
        <v>0</v>
      </c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0</v>
      </c>
      <c r="B34" s="191">
        <f>'Données projet'!D47</f>
        <v>0</v>
      </c>
      <c r="C34" s="204">
        <v>0</v>
      </c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0</v>
      </c>
      <c r="B35" s="191">
        <f>'Données projet'!D48</f>
        <v>0</v>
      </c>
      <c r="C35" s="204">
        <v>0</v>
      </c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0</v>
      </c>
      <c r="B36" s="191">
        <f>'Données projet'!D49</f>
        <v>0</v>
      </c>
      <c r="C36" s="204">
        <v>0</v>
      </c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0</v>
      </c>
      <c r="B37" s="191">
        <f>'Données projet'!D50</f>
        <v>0</v>
      </c>
      <c r="C37" s="204">
        <v>0</v>
      </c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0</v>
      </c>
      <c r="B38" s="191">
        <f>'Données projet'!D51</f>
        <v>0</v>
      </c>
      <c r="C38" s="202">
        <v>0</v>
      </c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0</v>
      </c>
      <c r="B39" s="191">
        <f>'Données projet'!D52</f>
        <v>0</v>
      </c>
      <c r="C39" s="202">
        <v>0</v>
      </c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0</v>
      </c>
      <c r="B40" s="191">
        <f>'Données projet'!D53</f>
        <v>0</v>
      </c>
      <c r="C40" s="202">
        <v>0</v>
      </c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0</v>
      </c>
      <c r="B41" s="191">
        <f>'Données projet'!D54</f>
        <v>0</v>
      </c>
      <c r="C41" s="202">
        <v>0</v>
      </c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2">
        <v>0</v>
      </c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4">
        <v>0</v>
      </c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4">
        <v>0</v>
      </c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29</v>
      </c>
      <c r="C56" s="204">
        <v>10</v>
      </c>
      <c r="D56" s="189">
        <f t="shared" si="4"/>
        <v>290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0</v>
      </c>
      <c r="C57" s="204">
        <v>0</v>
      </c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42</v>
      </c>
      <c r="C58" s="204">
        <v>10</v>
      </c>
      <c r="D58" s="189">
        <f t="shared" si="4"/>
        <v>420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0</v>
      </c>
      <c r="C59" s="204">
        <v>0</v>
      </c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42</v>
      </c>
      <c r="C60" s="204">
        <v>10</v>
      </c>
      <c r="D60" s="189">
        <f t="shared" si="4"/>
        <v>420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0</v>
      </c>
      <c r="C61" s="204">
        <v>0</v>
      </c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42</v>
      </c>
      <c r="C62" s="204">
        <v>20</v>
      </c>
      <c r="D62" s="189">
        <f t="shared" si="4"/>
        <v>840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0</v>
      </c>
      <c r="C63" s="204">
        <v>0</v>
      </c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42</v>
      </c>
      <c r="C64" s="204">
        <v>30</v>
      </c>
      <c r="D64" s="189">
        <f t="shared" si="4"/>
        <v>1260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0</v>
      </c>
      <c r="C65" s="204">
        <v>0</v>
      </c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42</v>
      </c>
      <c r="C66" s="204">
        <v>40</v>
      </c>
      <c r="D66" s="189">
        <f t="shared" si="4"/>
        <v>1680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90</v>
      </c>
      <c r="B67" s="191">
        <f>'Données projet'!D75</f>
        <v>42</v>
      </c>
      <c r="C67" s="204">
        <v>70</v>
      </c>
      <c r="D67" s="189">
        <f t="shared" si="4"/>
        <v>2940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100</v>
      </c>
      <c r="B68" s="191">
        <f>'Données projet'!D76</f>
        <v>42</v>
      </c>
      <c r="C68" s="204">
        <v>100</v>
      </c>
      <c r="D68" s="189">
        <f t="shared" si="4"/>
        <v>4200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110</v>
      </c>
      <c r="B69" s="191">
        <f>'Données projet'!D77</f>
        <v>39</v>
      </c>
      <c r="C69" s="204">
        <v>120</v>
      </c>
      <c r="D69" s="189">
        <f t="shared" si="4"/>
        <v>4680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120</v>
      </c>
      <c r="B70" s="191">
        <f>'Données projet'!D78</f>
        <v>35</v>
      </c>
      <c r="C70" s="204">
        <v>120</v>
      </c>
      <c r="D70" s="189">
        <f t="shared" si="4"/>
        <v>4200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130</v>
      </c>
      <c r="B71" s="191">
        <f>'Données projet'!D79</f>
        <v>31</v>
      </c>
      <c r="C71" s="204">
        <v>150</v>
      </c>
      <c r="D71" s="189">
        <f t="shared" si="4"/>
        <v>4650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140</v>
      </c>
      <c r="B72" s="191">
        <f>'Données projet'!D80</f>
        <v>27</v>
      </c>
      <c r="C72" s="204">
        <v>200</v>
      </c>
      <c r="D72" s="189">
        <f t="shared" si="4"/>
        <v>5400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150</v>
      </c>
      <c r="B73" s="191">
        <f>'Données projet'!D81</f>
        <v>293</v>
      </c>
      <c r="C73" s="204">
        <v>200</v>
      </c>
      <c r="D73" s="189">
        <f t="shared" si="4"/>
        <v>58600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Chêne sessile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20</v>
      </c>
      <c r="B85" s="191">
        <f>'Données projet'!D88</f>
        <v>0</v>
      </c>
      <c r="C85" s="204">
        <v>0</v>
      </c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25</v>
      </c>
      <c r="B86" s="191">
        <f>'Données projet'!D89</f>
        <v>0</v>
      </c>
      <c r="C86" s="204">
        <v>0</v>
      </c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30</v>
      </c>
      <c r="B87" s="191">
        <f>'Données projet'!D90</f>
        <v>29</v>
      </c>
      <c r="C87" s="204">
        <v>10</v>
      </c>
      <c r="D87" s="189">
        <f t="shared" si="6"/>
        <v>290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35</v>
      </c>
      <c r="B88" s="191">
        <f>'Données projet'!D91</f>
        <v>0</v>
      </c>
      <c r="C88" s="204">
        <v>0</v>
      </c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40</v>
      </c>
      <c r="B89" s="191">
        <f>'Données projet'!D92</f>
        <v>42</v>
      </c>
      <c r="C89" s="204">
        <v>10</v>
      </c>
      <c r="D89" s="189">
        <f t="shared" si="6"/>
        <v>420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45</v>
      </c>
      <c r="B90" s="191">
        <f>'Données projet'!D93</f>
        <v>0</v>
      </c>
      <c r="C90" s="204">
        <v>0</v>
      </c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50</v>
      </c>
      <c r="B91" s="191">
        <f>'Données projet'!D94</f>
        <v>42</v>
      </c>
      <c r="C91" s="204">
        <v>10</v>
      </c>
      <c r="D91" s="189">
        <f t="shared" si="6"/>
        <v>420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55</v>
      </c>
      <c r="B92" s="191">
        <f>'Données projet'!D95</f>
        <v>0</v>
      </c>
      <c r="C92" s="204">
        <v>0</v>
      </c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60</v>
      </c>
      <c r="B93" s="191">
        <f>'Données projet'!D96</f>
        <v>42</v>
      </c>
      <c r="C93" s="204">
        <v>20</v>
      </c>
      <c r="D93" s="189">
        <f t="shared" si="6"/>
        <v>840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65</v>
      </c>
      <c r="B94" s="191">
        <f>'Données projet'!D97</f>
        <v>0</v>
      </c>
      <c r="C94" s="204">
        <v>0</v>
      </c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str">
        <f>IF(O93+1&lt;=MIN('Données projet'!$E$9:$E$18),O93+1,"STOP")</f>
        <v>STOP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70</v>
      </c>
      <c r="B95" s="191">
        <f>'Données projet'!D98</f>
        <v>42</v>
      </c>
      <c r="C95" s="204">
        <v>30</v>
      </c>
      <c r="D95" s="189">
        <f t="shared" si="6"/>
        <v>1260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75</v>
      </c>
      <c r="B96" s="191">
        <f>'Données projet'!D99</f>
        <v>0</v>
      </c>
      <c r="C96" s="204">
        <v>0</v>
      </c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80</v>
      </c>
      <c r="B97" s="191">
        <f>'Données projet'!D100</f>
        <v>42</v>
      </c>
      <c r="C97" s="204">
        <v>40</v>
      </c>
      <c r="D97" s="189">
        <f t="shared" si="6"/>
        <v>1680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90</v>
      </c>
      <c r="B98" s="191">
        <f>'Données projet'!D101</f>
        <v>42</v>
      </c>
      <c r="C98" s="204">
        <v>70</v>
      </c>
      <c r="D98" s="189">
        <f t="shared" si="6"/>
        <v>2940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100</v>
      </c>
      <c r="B99" s="191">
        <f>'Données projet'!D102</f>
        <v>42</v>
      </c>
      <c r="C99" s="204">
        <v>100</v>
      </c>
      <c r="D99" s="189">
        <f t="shared" si="6"/>
        <v>4200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110</v>
      </c>
      <c r="B100" s="191">
        <f>'Données projet'!D103</f>
        <v>39</v>
      </c>
      <c r="C100" s="204">
        <v>120</v>
      </c>
      <c r="D100" s="189">
        <f t="shared" si="6"/>
        <v>4680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120</v>
      </c>
      <c r="B101" s="191">
        <f>'Données projet'!D104</f>
        <v>35</v>
      </c>
      <c r="C101" s="204">
        <v>120</v>
      </c>
      <c r="D101" s="189">
        <f t="shared" si="6"/>
        <v>4200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130</v>
      </c>
      <c r="B102" s="191">
        <f>'Données projet'!D105</f>
        <v>31</v>
      </c>
      <c r="C102" s="204">
        <v>150</v>
      </c>
      <c r="D102" s="189">
        <f t="shared" si="6"/>
        <v>4650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140</v>
      </c>
      <c r="B103" s="191">
        <f>'Données projet'!D106</f>
        <v>27</v>
      </c>
      <c r="C103" s="204">
        <v>200</v>
      </c>
      <c r="D103" s="189">
        <f t="shared" si="6"/>
        <v>5400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150</v>
      </c>
      <c r="B104" s="191">
        <f>'Données projet'!D107</f>
        <v>293</v>
      </c>
      <c r="C104" s="204">
        <v>200</v>
      </c>
      <c r="D104" s="189">
        <f t="shared" si="6"/>
        <v>58600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Bouleau verruqueux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15</v>
      </c>
      <c r="B116" s="191">
        <f>'Données projet'!D114</f>
        <v>0</v>
      </c>
      <c r="C116" s="202">
        <v>0</v>
      </c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20</v>
      </c>
      <c r="B117" s="191">
        <f>'Données projet'!D115</f>
        <v>0</v>
      </c>
      <c r="C117" s="202">
        <v>0</v>
      </c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25</v>
      </c>
      <c r="B118" s="191">
        <f>'Données projet'!D116</f>
        <v>13</v>
      </c>
      <c r="C118" s="202">
        <v>10</v>
      </c>
      <c r="D118" s="189">
        <f t="shared" si="8"/>
        <v>130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30</v>
      </c>
      <c r="B119" s="191">
        <f>'Données projet'!D117</f>
        <v>0</v>
      </c>
      <c r="C119" s="202">
        <v>0</v>
      </c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35</v>
      </c>
      <c r="B120" s="191">
        <f>'Données projet'!D118</f>
        <v>19</v>
      </c>
      <c r="C120" s="202">
        <v>15</v>
      </c>
      <c r="D120" s="189">
        <f t="shared" si="8"/>
        <v>285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40</v>
      </c>
      <c r="B121" s="191">
        <f>'Données projet'!D119</f>
        <v>0</v>
      </c>
      <c r="C121" s="202">
        <v>0</v>
      </c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45</v>
      </c>
      <c r="B122" s="191">
        <f>'Données projet'!D120</f>
        <v>21</v>
      </c>
      <c r="C122" s="202">
        <v>20</v>
      </c>
      <c r="D122" s="189">
        <f t="shared" si="8"/>
        <v>420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50</v>
      </c>
      <c r="B123" s="191">
        <f>'Données projet'!D121</f>
        <v>0</v>
      </c>
      <c r="C123" s="202">
        <v>0</v>
      </c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55</v>
      </c>
      <c r="B124" s="191">
        <f>'Données projet'!D122</f>
        <v>22</v>
      </c>
      <c r="C124" s="202">
        <v>25</v>
      </c>
      <c r="D124" s="189">
        <f t="shared" si="8"/>
        <v>550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60</v>
      </c>
      <c r="B125" s="191">
        <f>'Données projet'!D123</f>
        <v>0</v>
      </c>
      <c r="C125" s="202">
        <v>0</v>
      </c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65</v>
      </c>
      <c r="B126" s="191">
        <f>'Données projet'!D124</f>
        <v>22</v>
      </c>
      <c r="C126" s="202">
        <v>30</v>
      </c>
      <c r="D126" s="189">
        <f t="shared" si="8"/>
        <v>660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70</v>
      </c>
      <c r="B127" s="191">
        <f>'Données projet'!D125</f>
        <v>0</v>
      </c>
      <c r="C127" s="202">
        <v>0</v>
      </c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75</v>
      </c>
      <c r="B128" s="191">
        <f>'Données projet'!D126</f>
        <v>22</v>
      </c>
      <c r="C128" s="202">
        <v>40</v>
      </c>
      <c r="D128" s="189">
        <f t="shared" si="8"/>
        <v>880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80</v>
      </c>
      <c r="B129" s="191">
        <f>'Données projet'!D127</f>
        <v>0</v>
      </c>
      <c r="C129" s="202">
        <v>0</v>
      </c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85</v>
      </c>
      <c r="B130" s="191">
        <f>'Données projet'!D128</f>
        <v>21</v>
      </c>
      <c r="C130" s="202">
        <v>50</v>
      </c>
      <c r="D130" s="189">
        <f t="shared" si="8"/>
        <v>1050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90</v>
      </c>
      <c r="B131" s="191">
        <f>'Données projet'!D129</f>
        <v>202</v>
      </c>
      <c r="C131" s="202">
        <v>60</v>
      </c>
      <c r="D131" s="189">
        <f t="shared" si="8"/>
        <v>12120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>
        <v>0</v>
      </c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>
        <v>0</v>
      </c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>
        <v>0</v>
      </c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>
        <v>0</v>
      </c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Cèdre de l'Atlas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30</v>
      </c>
      <c r="B147" s="185">
        <f>'Données projet'!D140</f>
        <v>0</v>
      </c>
      <c r="C147" s="202">
        <v>10</v>
      </c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51</v>
      </c>
      <c r="B148" s="185">
        <f>'Données projet'!D141</f>
        <v>100</v>
      </c>
      <c r="C148" s="202">
        <v>20</v>
      </c>
      <c r="D148" s="192">
        <f t="shared" ref="D148:D166" si="10">B148*C148</f>
        <v>2000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63</v>
      </c>
      <c r="B149" s="185">
        <f>'Données projet'!D142</f>
        <v>108.08461538461538</v>
      </c>
      <c r="C149" s="202">
        <v>30</v>
      </c>
      <c r="D149" s="192">
        <f t="shared" si="10"/>
        <v>3242.5384615384614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75</v>
      </c>
      <c r="B150" s="185">
        <f>'Données projet'!D143</f>
        <v>85.361538461538458</v>
      </c>
      <c r="C150" s="202">
        <v>40</v>
      </c>
      <c r="D150" s="192">
        <f t="shared" si="10"/>
        <v>3414.4615384615381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87</v>
      </c>
      <c r="B151" s="185">
        <f>'Données projet'!D144</f>
        <v>82.938461538461524</v>
      </c>
      <c r="C151" s="202">
        <v>50</v>
      </c>
      <c r="D151" s="192">
        <f t="shared" si="10"/>
        <v>4146.9230769230762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99</v>
      </c>
      <c r="B152" s="185">
        <f>'Données projet'!D145</f>
        <v>198.32307692307691</v>
      </c>
      <c r="C152" s="202">
        <v>60</v>
      </c>
      <c r="D152" s="192">
        <f t="shared" si="10"/>
        <v>11899.384615384615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109</v>
      </c>
      <c r="B153" s="185">
        <f>'Données projet'!D146</f>
        <v>256.09230769230771</v>
      </c>
      <c r="C153" s="202">
        <v>70</v>
      </c>
      <c r="D153" s="192">
        <f t="shared" si="10"/>
        <v>17926.461538461539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5">
        <f>'Données projet'!D147</f>
        <v>0</v>
      </c>
      <c r="C154" s="202">
        <v>0</v>
      </c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5">
        <f>'Données projet'!D148</f>
        <v>0</v>
      </c>
      <c r="C155" s="202">
        <v>0</v>
      </c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5">
        <f>'Données projet'!D149</f>
        <v>0</v>
      </c>
      <c r="C156" s="202">
        <v>0</v>
      </c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5">
        <f>'Données projet'!D150</f>
        <v>0</v>
      </c>
      <c r="C157" s="202">
        <v>0</v>
      </c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5">
        <f>'Données projet'!D151</f>
        <v>0</v>
      </c>
      <c r="C158" s="202">
        <v>0</v>
      </c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5">
        <f>'Données projet'!D152</f>
        <v>0</v>
      </c>
      <c r="C159" s="202">
        <v>0</v>
      </c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5">
        <f>'Données projet'!D153</f>
        <v>0</v>
      </c>
      <c r="C160" s="202">
        <v>0</v>
      </c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5">
        <f>'Données projet'!D154</f>
        <v>0</v>
      </c>
      <c r="C161" s="202">
        <v>0</v>
      </c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5">
        <f>'Données projet'!D155</f>
        <v>0</v>
      </c>
      <c r="C162" s="202">
        <v>0</v>
      </c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5">
        <f>'Données projet'!D156</f>
        <v>0</v>
      </c>
      <c r="C163" s="202">
        <v>0</v>
      </c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5">
        <f>'Données projet'!D157</f>
        <v>0</v>
      </c>
      <c r="C164" s="202">
        <v>0</v>
      </c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5">
        <f>'Données projet'!D158</f>
        <v>0</v>
      </c>
      <c r="C165" s="202">
        <v>0</v>
      </c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5">
        <f>'Données projet'!D159</f>
        <v>0</v>
      </c>
      <c r="C166" s="202">
        <v>0</v>
      </c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Chêne chevelu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15</v>
      </c>
      <c r="B178" s="191">
        <f>'Données projet'!D166</f>
        <v>0</v>
      </c>
      <c r="C178" s="202">
        <v>0</v>
      </c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20</v>
      </c>
      <c r="B179" s="191">
        <f>'Données projet'!D167</f>
        <v>0</v>
      </c>
      <c r="C179" s="202">
        <v>0</v>
      </c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25</v>
      </c>
      <c r="B180" s="191">
        <f>'Données projet'!D168</f>
        <v>0</v>
      </c>
      <c r="C180" s="202">
        <v>0</v>
      </c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30</v>
      </c>
      <c r="B181" s="191">
        <f>'Données projet'!D169</f>
        <v>28.205128205128204</v>
      </c>
      <c r="C181" s="204">
        <v>10</v>
      </c>
      <c r="D181" s="189">
        <f t="shared" si="11"/>
        <v>282.05128205128204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35</v>
      </c>
      <c r="B182" s="191">
        <f>'Données projet'!D170</f>
        <v>0</v>
      </c>
      <c r="C182" s="204">
        <v>0</v>
      </c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40</v>
      </c>
      <c r="B183" s="191">
        <f>'Données projet'!D171</f>
        <v>22.435897435897434</v>
      </c>
      <c r="C183" s="204">
        <v>15</v>
      </c>
      <c r="D183" s="189">
        <f t="shared" si="11"/>
        <v>336.53846153846149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45</v>
      </c>
      <c r="B184" s="191">
        <f>'Données projet'!D172</f>
        <v>0</v>
      </c>
      <c r="C184" s="204">
        <v>0</v>
      </c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50</v>
      </c>
      <c r="B185" s="191">
        <f>'Données projet'!D173</f>
        <v>24.358974358974358</v>
      </c>
      <c r="C185" s="204">
        <v>20</v>
      </c>
      <c r="D185" s="189">
        <f t="shared" si="11"/>
        <v>487.17948717948718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55</v>
      </c>
      <c r="B186" s="191">
        <f>'Données projet'!D174</f>
        <v>0</v>
      </c>
      <c r="C186" s="204">
        <v>0</v>
      </c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60</v>
      </c>
      <c r="B187" s="191">
        <f>'Données projet'!D175</f>
        <v>24.358974358974358</v>
      </c>
      <c r="C187" s="204">
        <v>30</v>
      </c>
      <c r="D187" s="189">
        <f t="shared" si="11"/>
        <v>730.76923076923072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65</v>
      </c>
      <c r="B188" s="191">
        <f>'Données projet'!D176</f>
        <v>0</v>
      </c>
      <c r="C188" s="204">
        <v>0</v>
      </c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70</v>
      </c>
      <c r="B189" s="191">
        <f>'Données projet'!D177</f>
        <v>23.076923076923077</v>
      </c>
      <c r="C189" s="204">
        <v>40</v>
      </c>
      <c r="D189" s="189">
        <f t="shared" si="11"/>
        <v>923.07692307692309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75</v>
      </c>
      <c r="B190" s="191">
        <f>'Données projet'!D178</f>
        <v>0</v>
      </c>
      <c r="C190" s="204">
        <v>0</v>
      </c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80</v>
      </c>
      <c r="B191" s="191">
        <f>'Données projet'!D179</f>
        <v>22.435897435897434</v>
      </c>
      <c r="C191" s="204">
        <v>50</v>
      </c>
      <c r="D191" s="189">
        <f t="shared" si="11"/>
        <v>1121.7948717948718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85</v>
      </c>
      <c r="B192" s="191">
        <f>'Données projet'!D180</f>
        <v>0</v>
      </c>
      <c r="C192" s="204">
        <v>0</v>
      </c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90</v>
      </c>
      <c r="B193" s="191">
        <f>'Données projet'!D181</f>
        <v>21.153846153846153</v>
      </c>
      <c r="C193" s="202">
        <v>55</v>
      </c>
      <c r="D193" s="189">
        <f t="shared" si="11"/>
        <v>1163.4615384615383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100</v>
      </c>
      <c r="B194" s="191">
        <f>'Données projet'!D182</f>
        <v>20.512820512820511</v>
      </c>
      <c r="C194" s="202">
        <v>60</v>
      </c>
      <c r="D194" s="189">
        <f t="shared" si="11"/>
        <v>1230.7692307692307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110</v>
      </c>
      <c r="B195" s="191">
        <f>'Données projet'!D183</f>
        <v>19.23076923076923</v>
      </c>
      <c r="C195" s="202">
        <v>70</v>
      </c>
      <c r="D195" s="189">
        <f t="shared" si="11"/>
        <v>1346.1538461538462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120</v>
      </c>
      <c r="B196" s="191">
        <f>'Données projet'!D184</f>
        <v>17.948717948717949</v>
      </c>
      <c r="C196" s="202">
        <v>80</v>
      </c>
      <c r="D196" s="189">
        <f t="shared" si="11"/>
        <v>1435.897435897436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130</v>
      </c>
      <c r="B197" s="191">
        <f>'Données projet'!D185</f>
        <v>339.10256410256409</v>
      </c>
      <c r="C197" s="202">
        <v>90</v>
      </c>
      <c r="D197" s="189">
        <f t="shared" si="11"/>
        <v>30519.23076923077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Erable champêtre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20</v>
      </c>
      <c r="B209" s="191">
        <f>'Données projet'!D192</f>
        <v>0</v>
      </c>
      <c r="C209" s="204">
        <v>0</v>
      </c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25</v>
      </c>
      <c r="B210" s="191">
        <f>'Données projet'!D193</f>
        <v>0</v>
      </c>
      <c r="C210" s="204">
        <v>0</v>
      </c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30</v>
      </c>
      <c r="B211" s="191">
        <f>'Données projet'!D194</f>
        <v>31</v>
      </c>
      <c r="C211" s="204">
        <v>30</v>
      </c>
      <c r="D211" s="189">
        <f t="shared" si="12"/>
        <v>930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35</v>
      </c>
      <c r="B212" s="191">
        <f>'Données projet'!D195</f>
        <v>0</v>
      </c>
      <c r="C212" s="204">
        <v>0</v>
      </c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40</v>
      </c>
      <c r="B213" s="191">
        <f>'Données projet'!D196</f>
        <v>28</v>
      </c>
      <c r="C213" s="204">
        <v>40</v>
      </c>
      <c r="D213" s="189">
        <f t="shared" si="12"/>
        <v>1120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45</v>
      </c>
      <c r="B214" s="191">
        <f>'Données projet'!D197</f>
        <v>0</v>
      </c>
      <c r="C214" s="204">
        <v>0</v>
      </c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50</v>
      </c>
      <c r="B215" s="191">
        <f>'Données projet'!D198</f>
        <v>25</v>
      </c>
      <c r="C215" s="204">
        <v>50</v>
      </c>
      <c r="D215" s="189">
        <f t="shared" si="12"/>
        <v>1250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55</v>
      </c>
      <c r="B216" s="191">
        <f>'Données projet'!D199</f>
        <v>0</v>
      </c>
      <c r="C216" s="204">
        <v>0</v>
      </c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60</v>
      </c>
      <c r="B217" s="191">
        <f>'Données projet'!D200</f>
        <v>16</v>
      </c>
      <c r="C217" s="204">
        <v>60</v>
      </c>
      <c r="D217" s="189">
        <f t="shared" si="12"/>
        <v>960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65</v>
      </c>
      <c r="B218" s="191">
        <f>'Données projet'!D201</f>
        <v>0</v>
      </c>
      <c r="C218" s="204">
        <v>0</v>
      </c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70</v>
      </c>
      <c r="B219" s="191">
        <f>'Données projet'!D202</f>
        <v>13</v>
      </c>
      <c r="C219" s="204">
        <v>70</v>
      </c>
      <c r="D219" s="189">
        <f t="shared" si="12"/>
        <v>910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75</v>
      </c>
      <c r="B220" s="191">
        <f>'Données projet'!D203</f>
        <v>0</v>
      </c>
      <c r="C220" s="204">
        <v>0</v>
      </c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80</v>
      </c>
      <c r="B221" s="191">
        <f>'Données projet'!D204</f>
        <v>164</v>
      </c>
      <c r="C221" s="204">
        <v>80</v>
      </c>
      <c r="D221" s="189">
        <f t="shared" si="12"/>
        <v>13120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4">
        <v>0</v>
      </c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4">
        <v>0</v>
      </c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>
        <v>0</v>
      </c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>
        <v>0</v>
      </c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>
        <v>0</v>
      </c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>
        <v>0</v>
      </c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>
        <v>0</v>
      </c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>Charme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15</v>
      </c>
      <c r="B240" s="191">
        <f>'Données projet'!D218</f>
        <v>0</v>
      </c>
      <c r="C240" s="204">
        <v>0</v>
      </c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20</v>
      </c>
      <c r="B241" s="191">
        <f>'Données projet'!D219</f>
        <v>0</v>
      </c>
      <c r="C241" s="204">
        <v>0</v>
      </c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25</v>
      </c>
      <c r="B242" s="191">
        <f>'Données projet'!D220</f>
        <v>26.923076923076923</v>
      </c>
      <c r="C242" s="204">
        <v>15</v>
      </c>
      <c r="D242" s="189">
        <f t="shared" si="13"/>
        <v>403.84615384615387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30</v>
      </c>
      <c r="B243" s="191">
        <f>'Données projet'!D221</f>
        <v>0</v>
      </c>
      <c r="C243" s="204">
        <v>0</v>
      </c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35</v>
      </c>
      <c r="B244" s="191">
        <f>'Données projet'!D222</f>
        <v>26.282051282051281</v>
      </c>
      <c r="C244" s="204">
        <v>20</v>
      </c>
      <c r="D244" s="189">
        <f t="shared" si="13"/>
        <v>525.64102564102564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40</v>
      </c>
      <c r="B245" s="191">
        <f>'Données projet'!D223</f>
        <v>0</v>
      </c>
      <c r="C245" s="204">
        <v>0</v>
      </c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45</v>
      </c>
      <c r="B246" s="191">
        <f>'Données projet'!D224</f>
        <v>28.205128205128204</v>
      </c>
      <c r="C246" s="204">
        <v>25</v>
      </c>
      <c r="D246" s="189">
        <f t="shared" si="13"/>
        <v>705.12820512820508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50</v>
      </c>
      <c r="B247" s="191">
        <f>'Données projet'!D225</f>
        <v>0</v>
      </c>
      <c r="C247" s="204">
        <v>0</v>
      </c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55</v>
      </c>
      <c r="B248" s="191">
        <f>'Données projet'!D226</f>
        <v>28.205128205128204</v>
      </c>
      <c r="C248" s="204">
        <v>30</v>
      </c>
      <c r="D248" s="189">
        <f t="shared" si="13"/>
        <v>846.15384615384619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60</v>
      </c>
      <c r="B249" s="191">
        <f>'Données projet'!D227</f>
        <v>0</v>
      </c>
      <c r="C249" s="204">
        <v>0</v>
      </c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65</v>
      </c>
      <c r="B250" s="191">
        <f>'Données projet'!D228</f>
        <v>28.205128205128204</v>
      </c>
      <c r="C250" s="204">
        <v>35</v>
      </c>
      <c r="D250" s="189">
        <f t="shared" si="13"/>
        <v>987.17948717948718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70</v>
      </c>
      <c r="B251" s="191">
        <f>'Données projet'!D229</f>
        <v>0</v>
      </c>
      <c r="C251" s="204">
        <v>0</v>
      </c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75</v>
      </c>
      <c r="B252" s="191">
        <f>'Données projet'!D230</f>
        <v>26.923076923076923</v>
      </c>
      <c r="C252" s="204">
        <v>40</v>
      </c>
      <c r="D252" s="189">
        <f t="shared" si="13"/>
        <v>1076.9230769230769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80</v>
      </c>
      <c r="B253" s="191">
        <f>'Données projet'!D231</f>
        <v>0</v>
      </c>
      <c r="C253" s="204">
        <v>0</v>
      </c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85</v>
      </c>
      <c r="B254" s="191">
        <f>'Données projet'!D232</f>
        <v>25.641025641025639</v>
      </c>
      <c r="C254" s="204">
        <v>45</v>
      </c>
      <c r="D254" s="189">
        <f t="shared" si="13"/>
        <v>1153.8461538461538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90</v>
      </c>
      <c r="B255" s="191">
        <f>'Données projet'!D233</f>
        <v>0</v>
      </c>
      <c r="C255" s="204">
        <v>0</v>
      </c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95</v>
      </c>
      <c r="B256" s="191">
        <f>'Données projet'!D234</f>
        <v>23.717948717948715</v>
      </c>
      <c r="C256" s="204">
        <v>50</v>
      </c>
      <c r="D256" s="189">
        <f t="shared" si="13"/>
        <v>1185.8974358974358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100</v>
      </c>
      <c r="B257" s="191">
        <f>'Données projet'!D235</f>
        <v>0</v>
      </c>
      <c r="C257" s="204">
        <v>0</v>
      </c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110</v>
      </c>
      <c r="B258" s="191">
        <f>'Données projet'!D236</f>
        <v>33.333333333333336</v>
      </c>
      <c r="C258" s="204">
        <v>55</v>
      </c>
      <c r="D258" s="189">
        <f t="shared" si="13"/>
        <v>1833.3333333333335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120</v>
      </c>
      <c r="B259" s="191">
        <f>'Données projet'!D237</f>
        <v>251.28205128205127</v>
      </c>
      <c r="C259" s="204">
        <v>60</v>
      </c>
      <c r="D259" s="189">
        <f t="shared" si="13"/>
        <v>15076.923076923076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>Cormier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20</v>
      </c>
      <c r="B271" s="191">
        <f>'Données projet'!D244</f>
        <v>0</v>
      </c>
      <c r="C271" s="204">
        <v>0</v>
      </c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25</v>
      </c>
      <c r="B272" s="191">
        <f>'Données projet'!D245</f>
        <v>0</v>
      </c>
      <c r="C272" s="204">
        <v>0</v>
      </c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30</v>
      </c>
      <c r="B273" s="191">
        <f>'Données projet'!D246</f>
        <v>0</v>
      </c>
      <c r="C273" s="204">
        <v>0</v>
      </c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35</v>
      </c>
      <c r="B274" s="191">
        <f>'Données projet'!D247</f>
        <v>17</v>
      </c>
      <c r="C274" s="204">
        <v>10</v>
      </c>
      <c r="D274" s="189">
        <f t="shared" si="14"/>
        <v>170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40</v>
      </c>
      <c r="B275" s="191">
        <f>'Données projet'!D248</f>
        <v>0</v>
      </c>
      <c r="C275" s="204">
        <v>0</v>
      </c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45</v>
      </c>
      <c r="B276" s="191">
        <f>'Données projet'!D249</f>
        <v>18</v>
      </c>
      <c r="C276" s="204">
        <v>20</v>
      </c>
      <c r="D276" s="189">
        <f t="shared" si="14"/>
        <v>360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50</v>
      </c>
      <c r="B277" s="191">
        <f>'Données projet'!D250</f>
        <v>0</v>
      </c>
      <c r="C277" s="204">
        <v>0</v>
      </c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55</v>
      </c>
      <c r="B278" s="191">
        <f>'Données projet'!D251</f>
        <v>19</v>
      </c>
      <c r="C278" s="204">
        <v>30</v>
      </c>
      <c r="D278" s="189">
        <f t="shared" si="14"/>
        <v>570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60</v>
      </c>
      <c r="B279" s="191">
        <f>'Données projet'!D252</f>
        <v>0</v>
      </c>
      <c r="C279" s="204">
        <v>0</v>
      </c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65</v>
      </c>
      <c r="B280" s="191">
        <f>'Données projet'!D253</f>
        <v>20</v>
      </c>
      <c r="C280" s="204">
        <v>40</v>
      </c>
      <c r="D280" s="189">
        <f t="shared" si="14"/>
        <v>800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70</v>
      </c>
      <c r="B281" s="191">
        <f>'Données projet'!D254</f>
        <v>0</v>
      </c>
      <c r="C281" s="204">
        <v>0</v>
      </c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75</v>
      </c>
      <c r="B282" s="191">
        <f>'Données projet'!D255</f>
        <v>20</v>
      </c>
      <c r="C282" s="204">
        <v>50</v>
      </c>
      <c r="D282" s="189">
        <f t="shared" si="14"/>
        <v>1000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80</v>
      </c>
      <c r="B283" s="191">
        <f>'Données projet'!D256</f>
        <v>0</v>
      </c>
      <c r="C283" s="204">
        <v>0</v>
      </c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85</v>
      </c>
      <c r="B284" s="191">
        <f>'Données projet'!D257</f>
        <v>18</v>
      </c>
      <c r="C284" s="204">
        <v>60</v>
      </c>
      <c r="D284" s="189">
        <f t="shared" si="14"/>
        <v>1080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90</v>
      </c>
      <c r="B285" s="191">
        <f>'Données projet'!D258</f>
        <v>0</v>
      </c>
      <c r="C285" s="204">
        <v>0</v>
      </c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95</v>
      </c>
      <c r="B286" s="191">
        <f>'Données projet'!D259</f>
        <v>18</v>
      </c>
      <c r="C286" s="204">
        <v>80</v>
      </c>
      <c r="D286" s="189">
        <f t="shared" si="14"/>
        <v>1440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100</v>
      </c>
      <c r="B287" s="191">
        <f>'Données projet'!D260</f>
        <v>0</v>
      </c>
      <c r="C287" s="204">
        <v>0</v>
      </c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105</v>
      </c>
      <c r="B288" s="191">
        <f>'Données projet'!D261</f>
        <v>18</v>
      </c>
      <c r="C288" s="204">
        <v>110</v>
      </c>
      <c r="D288" s="189">
        <f t="shared" si="14"/>
        <v>1980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110</v>
      </c>
      <c r="B289" s="191">
        <f>'Données projet'!D262</f>
        <v>0</v>
      </c>
      <c r="C289" s="204">
        <v>0</v>
      </c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120</v>
      </c>
      <c r="B290" s="191">
        <f>'Données projet'!D263</f>
        <v>211</v>
      </c>
      <c r="C290" s="204">
        <v>150</v>
      </c>
      <c r="D290" s="189">
        <f t="shared" si="14"/>
        <v>31650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>Tilleul</v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15</v>
      </c>
      <c r="B302" s="191">
        <f>'Données projet'!D270</f>
        <v>0</v>
      </c>
      <c r="C302" s="202">
        <v>0</v>
      </c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20</v>
      </c>
      <c r="B303" s="191">
        <f>'Données projet'!D271</f>
        <v>0</v>
      </c>
      <c r="C303" s="202">
        <v>0</v>
      </c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25</v>
      </c>
      <c r="B304" s="191">
        <f>'Données projet'!D272</f>
        <v>36.53846153846154</v>
      </c>
      <c r="C304" s="202">
        <v>10</v>
      </c>
      <c r="D304" s="192">
        <f t="shared" si="15"/>
        <v>365.38461538461542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30</v>
      </c>
      <c r="B305" s="191">
        <f>'Données projet'!D273</f>
        <v>0</v>
      </c>
      <c r="C305" s="202">
        <v>0</v>
      </c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35</v>
      </c>
      <c r="B306" s="191">
        <f>'Données projet'!D274</f>
        <v>31.410256410256409</v>
      </c>
      <c r="C306" s="202">
        <v>20</v>
      </c>
      <c r="D306" s="192">
        <f t="shared" si="15"/>
        <v>628.20512820512818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40</v>
      </c>
      <c r="B307" s="191">
        <f>'Données projet'!D275</f>
        <v>0</v>
      </c>
      <c r="C307" s="202">
        <v>0</v>
      </c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45</v>
      </c>
      <c r="B308" s="191">
        <f>'Données projet'!D276</f>
        <v>31.410256410256409</v>
      </c>
      <c r="C308" s="202">
        <v>30</v>
      </c>
      <c r="D308" s="192">
        <f t="shared" si="15"/>
        <v>942.30769230769226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50</v>
      </c>
      <c r="B309" s="191">
        <f>'Données projet'!D277</f>
        <v>0</v>
      </c>
      <c r="C309" s="202">
        <v>0</v>
      </c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55</v>
      </c>
      <c r="B310" s="191">
        <f>'Données projet'!D278</f>
        <v>30.128205128205128</v>
      </c>
      <c r="C310" s="202">
        <v>40</v>
      </c>
      <c r="D310" s="192">
        <f t="shared" si="15"/>
        <v>1205.1282051282051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60</v>
      </c>
      <c r="B311" s="191">
        <f>'Données projet'!D279</f>
        <v>0</v>
      </c>
      <c r="C311" s="202">
        <v>0</v>
      </c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65</v>
      </c>
      <c r="B312" s="191">
        <f>'Données projet'!D280</f>
        <v>27.564102564102562</v>
      </c>
      <c r="C312" s="202">
        <v>50</v>
      </c>
      <c r="D312" s="192">
        <f t="shared" si="15"/>
        <v>1378.2051282051282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70</v>
      </c>
      <c r="B313" s="191">
        <f>'Données projet'!D281</f>
        <v>0</v>
      </c>
      <c r="C313" s="202">
        <v>0</v>
      </c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75</v>
      </c>
      <c r="B314" s="191">
        <f>'Données projet'!D282</f>
        <v>24.358974358974358</v>
      </c>
      <c r="C314" s="202">
        <v>60</v>
      </c>
      <c r="D314" s="192">
        <f t="shared" si="15"/>
        <v>1461.5384615384614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80</v>
      </c>
      <c r="B315" s="191">
        <f>'Données projet'!D283</f>
        <v>0</v>
      </c>
      <c r="C315" s="202">
        <v>0</v>
      </c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85</v>
      </c>
      <c r="B316" s="191">
        <f>'Données projet'!D284</f>
        <v>23.717948717948715</v>
      </c>
      <c r="C316" s="202">
        <v>65</v>
      </c>
      <c r="D316" s="192">
        <f t="shared" si="15"/>
        <v>1541.6666666666665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90</v>
      </c>
      <c r="B317" s="191">
        <f>'Données projet'!D285</f>
        <v>0</v>
      </c>
      <c r="C317" s="202">
        <v>0</v>
      </c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95</v>
      </c>
      <c r="B318" s="191">
        <f>'Données projet'!D286</f>
        <v>22.435897435897434</v>
      </c>
      <c r="C318" s="202">
        <v>70</v>
      </c>
      <c r="D318" s="192">
        <f t="shared" si="15"/>
        <v>1570.5128205128203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100</v>
      </c>
      <c r="B319" s="191">
        <f>'Données projet'!D287</f>
        <v>0</v>
      </c>
      <c r="C319" s="202">
        <v>0</v>
      </c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105</v>
      </c>
      <c r="B320" s="191">
        <f>'Données projet'!D288</f>
        <v>20.512820512820511</v>
      </c>
      <c r="C320" s="202">
        <v>75</v>
      </c>
      <c r="D320" s="192">
        <f t="shared" si="15"/>
        <v>1538.4615384615383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110</v>
      </c>
      <c r="B321" s="191">
        <f>'Données projet'!D289</f>
        <v>285.89743589743591</v>
      </c>
      <c r="C321" s="207">
        <v>80</v>
      </c>
      <c r="D321" s="192">
        <f t="shared" si="15"/>
        <v>22871.794871794875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2025-01-07T17:26:30Z</dcterms:modified>
</cp:coreProperties>
</file>