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LA POTERIE-MATHIEU (27) - GF DE LA SIVERIE BEL2\Dossier déposé 06112024\"/>
    </mc:Choice>
  </mc:AlternateContent>
  <xr:revisionPtr revIDLastSave="0" documentId="13_ncr:1_{9EED1463-68DE-467B-8B10-35893A7903D1}" xr6:coauthVersionLast="36" xr6:coauthVersionMax="36" xr10:uidLastSave="{00000000-0000-0000-0000-000000000000}"/>
  <bookViews>
    <workbookView xWindow="0" yWindow="0" windowWidth="14370" windowHeight="1207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6" l="1"/>
  <c r="I24" i="6"/>
  <c r="I23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V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EX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Y154" i="2"/>
  <c r="EA155" i="2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DH156" i="2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D157" i="2" s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DG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EX161" i="2"/>
  <c r="ED160" i="2"/>
  <c r="EA161" i="2"/>
  <c r="EB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Y161" i="2"/>
  <c r="DI161" i="2"/>
  <c r="EC162" i="2"/>
  <c r="EW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B163" i="2"/>
  <c r="EA163" i="2"/>
  <c r="EV163" i="2"/>
  <c r="HI163" i="2"/>
  <c r="FS163" i="2"/>
  <c r="EC163" i="2"/>
  <c r="ED163" i="2" s="1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X164" i="2"/>
  <c r="DI163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EC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Y166" i="2"/>
  <c r="EA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Y168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V172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W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EB175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FQ177" i="2"/>
  <c r="EW177" i="2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FQ178" i="2"/>
  <c r="ED177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HH179" i="2"/>
  <c r="EV179" i="2"/>
  <c r="DF179" i="2"/>
  <c r="EA179" i="2"/>
  <c r="HG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D180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A185" i="2"/>
  <c r="EV185" i="2"/>
  <c r="EW185" i="2"/>
  <c r="EB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W186" i="2"/>
  <c r="EB186" i="2"/>
  <c r="HH186" i="2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EY188" i="2"/>
  <c r="AA189" i="2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A193" i="2"/>
  <c r="DI192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A194" i="2"/>
  <c r="ED193" i="2"/>
  <c r="EB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W197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W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DI200" i="2"/>
  <c r="EB201" i="2"/>
  <c r="ED200" i="2"/>
  <c r="EA201" i="2"/>
  <c r="HH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X202" i="2"/>
  <c r="EY201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47" i="2" a="1"/>
  <c r="BC47" i="2" s="1"/>
  <c r="BC82" i="2" a="1"/>
  <c r="BC82" i="2" s="1"/>
  <c r="BC114" i="2" a="1"/>
  <c r="BC114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29" i="2" a="1"/>
  <c r="EI29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BC130" i="2" a="1"/>
  <c r="BC130" i="2" s="1"/>
  <c r="BC55" i="2" a="1"/>
  <c r="BC55" i="2" s="1"/>
  <c r="BC192" i="2" a="1"/>
  <c r="BC192" i="2" s="1"/>
  <c r="BC32" i="2" a="1"/>
  <c r="BC32" i="2" s="1"/>
  <c r="BC31" i="2" a="1"/>
  <c r="BC31" i="2" s="1"/>
  <c r="BC143" i="2" a="1"/>
  <c r="BC14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D137" i="2" l="1" a="1"/>
  <c r="FD137" i="2" s="1"/>
  <c r="FD159" i="2" a="1"/>
  <c r="FD159" i="2" s="1"/>
  <c r="FD167" i="2" a="1"/>
  <c r="FD167" i="2" s="1"/>
  <c r="FD14" i="2" a="1"/>
  <c r="FD14" i="2" s="1"/>
  <c r="FD64" i="2" a="1"/>
  <c r="FD64" i="2" s="1"/>
  <c r="FD189" i="2" a="1"/>
  <c r="FD189" i="2" s="1"/>
  <c r="FD48" i="2" a="1"/>
  <c r="FD48" i="2" s="1"/>
  <c r="FD44" i="2" a="1"/>
  <c r="FD44" i="2" s="1"/>
  <c r="FD187" i="2" a="1"/>
  <c r="FD187" i="2" s="1"/>
  <c r="FD188" i="2" a="1"/>
  <c r="FD188" i="2" s="1"/>
  <c r="FD60" i="2" a="1"/>
  <c r="FD60" i="2" s="1"/>
  <c r="FD19" i="2" a="1"/>
  <c r="FD19" i="2" s="1"/>
  <c r="FD194" i="2" a="1"/>
  <c r="FD194" i="2" s="1"/>
  <c r="FD160" i="2" a="1"/>
  <c r="FD160" i="2" s="1"/>
  <c r="FS203" i="2"/>
  <c r="FD59" i="2" a="1"/>
  <c r="FD59" i="2" s="1"/>
  <c r="FD107" i="2" a="1"/>
  <c r="FD107" i="2" s="1"/>
  <c r="FD144" i="2" a="1"/>
  <c r="FD144" i="2" s="1"/>
  <c r="FD21" i="2" a="1"/>
  <c r="FD21" i="2" s="1"/>
  <c r="FD131" i="2" a="1"/>
  <c r="FD131" i="2" s="1"/>
  <c r="FD43" i="2" a="1"/>
  <c r="FD43" i="2" s="1"/>
  <c r="EI145" i="2" a="1"/>
  <c r="EI145" i="2" s="1"/>
  <c r="EI178" i="2" a="1"/>
  <c r="EI178" i="2" s="1"/>
  <c r="EI162" i="2" a="1"/>
  <c r="EI162" i="2" s="1"/>
  <c r="EI150" i="2" a="1"/>
  <c r="EI150" i="2" s="1"/>
  <c r="EI106" i="2" a="1"/>
  <c r="EI106" i="2" s="1"/>
  <c r="EI153" i="2" a="1"/>
  <c r="EI153" i="2" s="1"/>
  <c r="EI166" i="2" a="1"/>
  <c r="EI166" i="2" s="1"/>
  <c r="BC68" i="2" a="1"/>
  <c r="BC68" i="2" s="1"/>
  <c r="CS56" i="2" a="1"/>
  <c r="CS56" i="2" s="1"/>
  <c r="CS116" i="2" a="1"/>
  <c r="CS116" i="2" s="1"/>
  <c r="CS120" i="2" a="1"/>
  <c r="CS120" i="2" s="1"/>
  <c r="CS52" i="2" a="1"/>
  <c r="CS52" i="2" s="1"/>
  <c r="CS185" i="2" a="1"/>
  <c r="CS185" i="2" s="1"/>
  <c r="CS66" i="2" a="1"/>
  <c r="CS66" i="2" s="1"/>
  <c r="CS38" i="2" a="1"/>
  <c r="CS38" i="2" s="1"/>
  <c r="CS105" i="2" a="1"/>
  <c r="CS105" i="2" s="1"/>
  <c r="CS77" i="2" a="1"/>
  <c r="CS77" i="2" s="1"/>
  <c r="CS161" i="2" a="1"/>
  <c r="CS161" i="2" s="1"/>
  <c r="CS24" i="2" a="1"/>
  <c r="CS24" i="2" s="1"/>
  <c r="CS134" i="2" a="1"/>
  <c r="CS134" i="2" s="1"/>
  <c r="CS137" i="2" a="1"/>
  <c r="CS137" i="2" s="1"/>
  <c r="CS129" i="2" a="1"/>
  <c r="CS129" i="2" s="1"/>
  <c r="BX107" i="2" a="1"/>
  <c r="BX107" i="2" s="1"/>
  <c r="BC84" i="2" a="1"/>
  <c r="BC84" i="2" s="1"/>
  <c r="BC65" i="2" a="1"/>
  <c r="BC65" i="2" s="1"/>
  <c r="BC164" i="2" a="1"/>
  <c r="BC164" i="2" s="1"/>
  <c r="BC126" i="2" a="1"/>
  <c r="BC126" i="2" s="1"/>
  <c r="BC58" i="2" a="1"/>
  <c r="BC58" i="2" s="1"/>
  <c r="BC83" i="2" a="1"/>
  <c r="BC83" i="2" s="1"/>
  <c r="BC34" i="2" a="1"/>
  <c r="BC34" i="2" s="1"/>
  <c r="BC7" i="2" a="1"/>
  <c r="BC7" i="2" s="1"/>
  <c r="BD7" i="2" s="1"/>
  <c r="BC151" i="2" a="1"/>
  <c r="BC151" i="2" s="1"/>
  <c r="BC185" i="2" a="1"/>
  <c r="BC185" i="2" s="1"/>
  <c r="AH199" i="2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D203" i="2"/>
  <c r="DI203" i="2"/>
  <c r="CN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71" i="2" l="1"/>
  <c r="BI96" i="2"/>
  <c r="BI139" i="2"/>
  <c r="BI110" i="2"/>
  <c r="BI47" i="2"/>
  <c r="BI104" i="2"/>
  <c r="BI174" i="2"/>
  <c r="BI27" i="2"/>
  <c r="BI147" i="2"/>
  <c r="BI115" i="2"/>
  <c r="BI76" i="2"/>
  <c r="BI149" i="2"/>
  <c r="BI58" i="2"/>
  <c r="BI145" i="2"/>
  <c r="BI134" i="2"/>
  <c r="BI163" i="2"/>
  <c r="BI77" i="2"/>
  <c r="BI89" i="2"/>
  <c r="BI201" i="2"/>
  <c r="BI17" i="2"/>
  <c r="BI30" i="2"/>
  <c r="BI123" i="2"/>
  <c r="BI3" i="2"/>
  <c r="C8" i="4" s="1"/>
  <c r="E8" i="4" s="1"/>
  <c r="F8" i="4" s="1"/>
  <c r="G8" i="4" s="1"/>
  <c r="L8" i="4" s="1"/>
  <c r="BI43" i="2"/>
  <c r="BI116" i="2"/>
  <c r="BI20" i="2"/>
  <c r="BI67" i="2"/>
  <c r="BI132" i="2"/>
  <c r="BI33" i="2"/>
  <c r="BI103" i="2"/>
  <c r="BI192" i="2"/>
  <c r="BI117" i="2"/>
  <c r="BI140" i="2"/>
  <c r="BI190" i="2"/>
  <c r="BI61" i="2"/>
  <c r="BI48" i="2"/>
  <c r="BI162" i="2"/>
  <c r="BI74" i="2"/>
  <c r="BI21" i="2"/>
  <c r="BI26" i="2"/>
  <c r="BI195" i="2"/>
  <c r="BI84" i="2"/>
  <c r="BI106" i="2"/>
  <c r="BI118" i="2"/>
  <c r="BI23" i="2"/>
  <c r="BI95" i="2"/>
  <c r="BI99" i="2"/>
  <c r="BI87" i="2"/>
  <c r="BI168" i="2"/>
  <c r="BI161" i="2"/>
  <c r="BI154" i="2"/>
  <c r="BI129" i="2"/>
  <c r="BI86" i="2"/>
  <c r="BI54" i="2"/>
  <c r="BI53" i="2"/>
  <c r="BI102" i="2"/>
  <c r="BI94" i="2"/>
  <c r="BI81" i="2"/>
  <c r="BI203" i="2"/>
  <c r="BI196" i="2"/>
  <c r="BI188" i="2"/>
  <c r="BI52" i="2"/>
  <c r="BI187" i="2"/>
  <c r="BI98" i="2"/>
  <c r="BI127" i="2"/>
  <c r="BI11" i="2"/>
  <c r="BI4" i="2"/>
  <c r="BI148" i="2"/>
  <c r="BI121" i="2"/>
  <c r="BI183" i="2"/>
  <c r="BI91" i="2"/>
  <c r="BI64" i="2"/>
  <c r="BI13" i="2"/>
  <c r="BI8" i="2"/>
  <c r="BI83" i="2"/>
  <c r="BI90" i="2"/>
  <c r="BI178" i="2"/>
  <c r="BI10" i="2"/>
  <c r="BI14" i="2"/>
  <c r="BI138" i="2"/>
  <c r="BI66" i="2"/>
  <c r="BI55" i="2"/>
  <c r="BI92" i="2"/>
  <c r="BI156" i="2"/>
  <c r="BI194" i="2"/>
  <c r="BI200" i="2"/>
  <c r="BI49" i="2"/>
  <c r="BI202" i="2"/>
  <c r="BI166" i="2"/>
  <c r="BI46" i="2"/>
  <c r="BI5" i="2"/>
  <c r="BI128" i="2"/>
  <c r="BI45" i="2"/>
  <c r="BI85" i="2"/>
  <c r="BI50" i="2"/>
  <c r="BI114" i="2"/>
  <c r="BI111" i="2"/>
  <c r="BI105" i="2"/>
  <c r="BI124" i="2"/>
  <c r="BI150" i="2"/>
  <c r="BI131" i="2"/>
  <c r="BI28" i="2"/>
  <c r="BI82" i="2"/>
  <c r="BI158" i="2"/>
  <c r="BI175" i="2"/>
  <c r="BI113" i="2"/>
  <c r="BI109" i="2"/>
  <c r="BI38" i="2"/>
  <c r="BI107" i="2"/>
  <c r="BI42" i="2"/>
  <c r="BI179" i="2"/>
  <c r="BI101" i="2"/>
  <c r="BI72" i="2"/>
  <c r="BI34" i="2"/>
  <c r="BI44" i="2"/>
  <c r="BI142" i="2"/>
  <c r="BI80" i="2"/>
  <c r="BI151" i="2"/>
  <c r="BI133" i="2"/>
  <c r="BI40" i="2"/>
  <c r="BI119" i="2"/>
  <c r="BI160" i="2"/>
  <c r="BI164" i="2"/>
  <c r="BI152" i="2"/>
  <c r="BI172" i="2"/>
  <c r="BI170" i="2"/>
  <c r="BI157" i="2"/>
  <c r="BI184" i="2"/>
  <c r="BI165" i="2"/>
  <c r="BI41" i="2"/>
  <c r="BI130" i="2"/>
  <c r="BI51" i="2"/>
  <c r="BI143" i="2"/>
  <c r="BI88" i="2"/>
  <c r="BI136" i="2"/>
  <c r="BI125" i="2"/>
  <c r="BI144" i="2"/>
  <c r="BI173" i="2"/>
  <c r="BI146" i="2"/>
  <c r="BI9" i="2"/>
  <c r="BI122" i="2"/>
  <c r="BI159" i="2"/>
  <c r="BI73" i="2"/>
  <c r="BI29" i="2"/>
  <c r="BI56" i="2"/>
  <c r="BI63" i="2"/>
  <c r="BI182" i="2"/>
  <c r="BI69" i="2"/>
  <c r="BI24" i="2"/>
  <c r="BI57" i="2"/>
  <c r="BI100" i="2"/>
  <c r="BI135" i="2"/>
  <c r="BI22" i="2"/>
  <c r="BI78" i="2"/>
  <c r="BI12" i="2"/>
  <c r="BI189" i="2"/>
  <c r="BI169" i="2"/>
  <c r="BI36" i="2"/>
  <c r="BI186" i="2"/>
  <c r="BI16" i="2"/>
  <c r="BI153" i="2"/>
  <c r="BI37" i="2"/>
  <c r="BI185" i="2"/>
  <c r="BI79" i="2"/>
  <c r="BI62" i="2"/>
  <c r="BI65" i="2"/>
  <c r="BI31" i="2"/>
  <c r="BI198" i="2"/>
  <c r="BI120" i="2"/>
  <c r="BI112" i="2"/>
  <c r="BI176" i="2"/>
  <c r="BI180" i="2"/>
  <c r="BI93" i="2"/>
  <c r="BI6" i="2"/>
  <c r="BI60" i="2"/>
  <c r="BI191" i="2"/>
  <c r="BI19" i="2"/>
  <c r="BI32" i="2"/>
  <c r="BI177" i="2"/>
  <c r="BI108" i="2"/>
  <c r="BI141" i="2"/>
  <c r="BI35" i="2"/>
  <c r="BI193" i="2"/>
  <c r="BI7" i="2"/>
  <c r="BI59" i="2"/>
  <c r="BI75" i="2"/>
  <c r="BI155" i="2"/>
  <c r="BI18" i="2"/>
  <c r="BI97" i="2"/>
  <c r="BI171" i="2"/>
  <c r="BI126" i="2"/>
  <c r="BI167" i="2"/>
  <c r="BI15" i="2"/>
  <c r="BI70" i="2"/>
  <c r="BI68" i="2"/>
  <c r="BI25" i="2"/>
  <c r="BI137" i="2"/>
  <c r="BI197" i="2"/>
  <c r="BI181" i="2"/>
  <c r="BI39" i="2"/>
  <c r="BI199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<sst xmlns="http://schemas.openxmlformats.org/spreadsheetml/2006/main" count="1175" uniqueCount="324">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</sst>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84.113672803399268</c:v>
                </c:pt>
                <c:pt idx="17">
                  <c:v>107.92051495671598</c:v>
                </c:pt>
                <c:pt idx="18">
                  <c:v>131.59741333417946</c:v>
                </c:pt>
                <c:pt idx="19">
                  <c:v>155.17115527031999</c:v>
                </c:pt>
                <c:pt idx="20">
                  <c:v>178.65965761508951</c:v>
                </c:pt>
                <c:pt idx="21">
                  <c:v>143.74255992313238</c:v>
                </c:pt>
                <c:pt idx="22">
                  <c:v>169.34263834209935</c:v>
                </c:pt>
                <c:pt idx="23">
                  <c:v>194.85139259598841</c:v>
                </c:pt>
                <c:pt idx="24">
                  <c:v>220.2824723640712</c:v>
                </c:pt>
                <c:pt idx="25">
                  <c:v>245.64610894283177</c:v>
                </c:pt>
                <c:pt idx="26">
                  <c:v>209.98122047833627</c:v>
                </c:pt>
                <c:pt idx="27">
                  <c:v>234.34307827690756</c:v>
                </c:pt>
                <c:pt idx="28">
                  <c:v>258.64712580976101</c:v>
                </c:pt>
                <c:pt idx="29">
                  <c:v>282.89955759178855</c:v>
                </c:pt>
                <c:pt idx="30">
                  <c:v>307.10541864100406</c:v>
                </c:pt>
                <c:pt idx="31">
                  <c:v>269.58386372149999</c:v>
                </c:pt>
                <c:pt idx="32">
                  <c:v>291.76884281866893</c:v>
                </c:pt>
                <c:pt idx="33">
                  <c:v>313.9161563114389</c:v>
                </c:pt>
                <c:pt idx="34">
                  <c:v>336.02883386480761</c:v>
                </c:pt>
                <c:pt idx="35">
                  <c:v>358.10947390735402</c:v>
                </c:pt>
                <c:pt idx="36">
                  <c:v>318.00102122537891</c:v>
                </c:pt>
                <c:pt idx="37">
                  <c:v>337.38854301296448</c:v>
                </c:pt>
                <c:pt idx="38">
                  <c:v>356.7515468667284</c:v>
                </c:pt>
                <c:pt idx="39">
                  <c:v>376.09155014049139</c:v>
                </c:pt>
                <c:pt idx="40">
                  <c:v>395.40990144559356</c:v>
                </c:pt>
                <c:pt idx="41">
                  <c:v>352.67708456218475</c:v>
                </c:pt>
                <c:pt idx="42">
                  <c:v>369.30811574035579</c:v>
                </c:pt>
                <c:pt idx="43">
                  <c:v>385.92281180916166</c:v>
                </c:pt>
                <c:pt idx="44">
                  <c:v>402.5219748287804</c:v>
                </c:pt>
                <c:pt idx="45">
                  <c:v>419.10633532774767</c:v>
                </c:pt>
                <c:pt idx="46">
                  <c:v>392.69981359198135</c:v>
                </c:pt>
                <c:pt idx="47">
                  <c:v>406.92332134334953</c:v>
                </c:pt>
                <c:pt idx="48">
                  <c:v>421.13608919058862</c:v>
                </c:pt>
                <c:pt idx="49">
                  <c:v>435.33853059869926</c:v>
                </c:pt>
                <c:pt idx="50">
                  <c:v>449.53102985794368</c:v>
                </c:pt>
                <c:pt idx="51">
                  <c:v>429.92926929891951</c:v>
                </c:pt>
                <c:pt idx="52">
                  <c:v>442.43600003546334</c:v>
                </c:pt>
                <c:pt idx="53">
                  <c:v>454.93515661064185</c:v>
                </c:pt>
                <c:pt idx="54">
                  <c:v>467.42697643811471</c:v>
                </c:pt>
                <c:pt idx="55">
                  <c:v>479.91168320756537</c:v>
                </c:pt>
                <c:pt idx="56">
                  <c:v>463.71394501783237</c:v>
                </c:pt>
                <c:pt idx="57">
                  <c:v>474.51375017343656</c:v>
                </c:pt>
                <c:pt idx="58">
                  <c:v>485.30832573764309</c:v>
                </c:pt>
                <c:pt idx="59">
                  <c:v>496.09780443549545</c:v>
                </c:pt>
                <c:pt idx="60">
                  <c:v>506.88231274768867</c:v>
                </c:pt>
                <c:pt idx="61">
                  <c:v>492.05233905304038</c:v>
                </c:pt>
                <c:pt idx="62">
                  <c:v>500.81663116885534</c:v>
                </c:pt>
                <c:pt idx="63">
                  <c:v>509.57767746501696</c:v>
                </c:pt>
                <c:pt idx="64">
                  <c:v>518.33554162748908</c:v>
                </c:pt>
                <c:pt idx="65">
                  <c:v>527.09028501417163</c:v>
                </c:pt>
                <c:pt idx="66">
                  <c:v>512.60960277392599</c:v>
                </c:pt>
                <c:pt idx="67">
                  <c:v>520.0193866370247</c:v>
                </c:pt>
                <c:pt idx="68">
                  <c:v>527.42694440011905</c:v>
                </c:pt>
                <c:pt idx="69">
                  <c:v>534.83231174765172</c:v>
                </c:pt>
                <c:pt idx="70">
                  <c:v>542.23552329497818</c:v>
                </c:pt>
                <c:pt idx="71">
                  <c:v>527.42694440011894</c:v>
                </c:pt>
                <c:pt idx="72">
                  <c:v>534.49575116718847</c:v>
                </c:pt>
                <c:pt idx="73">
                  <c:v>541.56259225555311</c:v>
                </c:pt>
                <c:pt idx="74">
                  <c:v>548.62749694119634</c:v>
                </c:pt>
                <c:pt idx="75">
                  <c:v>555.69049368437459</c:v>
                </c:pt>
                <c:pt idx="76">
                  <c:v>541.56259225555311</c:v>
                </c:pt>
                <c:pt idx="77">
                  <c:v>547.61834231122236</c:v>
                </c:pt>
                <c:pt idx="78">
                  <c:v>553.67268767470523</c:v>
                </c:pt>
                <c:pt idx="79">
                  <c:v>559.72564587886836</c:v>
                </c:pt>
                <c:pt idx="80">
                  <c:v>565.7772340462966</c:v>
                </c:pt>
                <c:pt idx="81">
                  <c:v>547.28194876789507</c:v>
                </c:pt>
                <c:pt idx="82">
                  <c:v>547.28194876789507</c:v>
                </c:pt>
                <c:pt idx="83">
                  <c:v>547.28194876789507</c:v>
                </c:pt>
                <c:pt idx="84">
                  <c:v>547.28194876789507</c:v>
                </c:pt>
                <c:pt idx="85">
                  <c:v>547.28194876789507</c:v>
                </c:pt>
                <c:pt idx="86">
                  <c:v>547.28194876789507</c:v>
                </c:pt>
                <c:pt idx="87">
                  <c:v>547.28194876789507</c:v>
                </c:pt>
                <c:pt idx="88">
                  <c:v>547.28194876789507</c:v>
                </c:pt>
                <c:pt idx="89">
                  <c:v>547.28194876789507</c:v>
                </c:pt>
                <c:pt idx="90">
                  <c:v>547.28194876789507</c:v>
                </c:pt>
                <c:pt idx="91">
                  <c:v>547.28194876789507</c:v>
                </c:pt>
                <c:pt idx="92">
                  <c:v>547.28194876789507</c:v>
                </c:pt>
                <c:pt idx="93">
                  <c:v>547.28194876789507</c:v>
                </c:pt>
                <c:pt idx="94">
                  <c:v>547.28194876789507</c:v>
                </c:pt>
                <c:pt idx="95">
                  <c:v>547.28194876789507</c:v>
                </c:pt>
                <c:pt idx="96">
                  <c:v>547.28194876789507</c:v>
                </c:pt>
                <c:pt idx="97">
                  <c:v>547.28194876789507</c:v>
                </c:pt>
                <c:pt idx="98">
                  <c:v>547.28194876789507</c:v>
                </c:pt>
                <c:pt idx="99">
                  <c:v>547.28194876789507</c:v>
                </c:pt>
                <c:pt idx="100">
                  <c:v>547.28194876789507</c:v>
                </c:pt>
                <c:pt idx="101">
                  <c:v>547.28194876789507</c:v>
                </c:pt>
                <c:pt idx="102">
                  <c:v>547.28194876789507</c:v>
                </c:pt>
                <c:pt idx="103">
                  <c:v>547.28194876789507</c:v>
                </c:pt>
                <c:pt idx="104">
                  <c:v>547.28194876789507</c:v>
                </c:pt>
                <c:pt idx="105">
                  <c:v>547.28194876789507</c:v>
                </c:pt>
                <c:pt idx="106">
                  <c:v>547.28194876789507</c:v>
                </c:pt>
                <c:pt idx="107">
                  <c:v>547.28194876789507</c:v>
                </c:pt>
                <c:pt idx="108">
                  <c:v>547.28194876789507</c:v>
                </c:pt>
                <c:pt idx="109">
                  <c:v>547.28194876789507</c:v>
                </c:pt>
                <c:pt idx="110">
                  <c:v>547.28194876789507</c:v>
                </c:pt>
                <c:pt idx="111">
                  <c:v>547.28194876789507</c:v>
                </c:pt>
                <c:pt idx="112">
                  <c:v>547.28194876789507</c:v>
                </c:pt>
                <c:pt idx="113">
                  <c:v>547.28194876789507</c:v>
                </c:pt>
                <c:pt idx="114">
                  <c:v>547.28194876789507</c:v>
                </c:pt>
                <c:pt idx="115">
                  <c:v>547.28194876789507</c:v>
                </c:pt>
                <c:pt idx="116">
                  <c:v>547.28194876789507</c:v>
                </c:pt>
                <c:pt idx="117">
                  <c:v>547.28194876789507</c:v>
                </c:pt>
                <c:pt idx="118">
                  <c:v>547.28194876789507</c:v>
                </c:pt>
                <c:pt idx="119">
                  <c:v>547.28194876789507</c:v>
                </c:pt>
                <c:pt idx="120">
                  <c:v>547.28194876789507</c:v>
                </c:pt>
                <c:pt idx="121">
                  <c:v>547.28194876789507</c:v>
                </c:pt>
                <c:pt idx="122">
                  <c:v>547.28194876789507</c:v>
                </c:pt>
                <c:pt idx="123">
                  <c:v>547.28194876789507</c:v>
                </c:pt>
                <c:pt idx="124">
                  <c:v>547.28194876789507</c:v>
                </c:pt>
                <c:pt idx="125">
                  <c:v>547.28194876789507</c:v>
                </c:pt>
                <c:pt idx="126">
                  <c:v>547.28194876789507</c:v>
                </c:pt>
                <c:pt idx="127">
                  <c:v>547.28194876789507</c:v>
                </c:pt>
                <c:pt idx="128">
                  <c:v>547.28194876789507</c:v>
                </c:pt>
                <c:pt idx="129">
                  <c:v>547.28194876789507</c:v>
                </c:pt>
                <c:pt idx="130">
                  <c:v>547.28194876789507</c:v>
                </c:pt>
                <c:pt idx="131">
                  <c:v>547.28194876789507</c:v>
                </c:pt>
                <c:pt idx="132">
                  <c:v>547.28194876789507</c:v>
                </c:pt>
                <c:pt idx="133">
                  <c:v>547.28194876789507</c:v>
                </c:pt>
                <c:pt idx="134">
                  <c:v>547.28194876789507</c:v>
                </c:pt>
                <c:pt idx="135">
                  <c:v>547.28194876789507</c:v>
                </c:pt>
                <c:pt idx="136">
                  <c:v>547.28194876789507</c:v>
                </c:pt>
                <c:pt idx="137">
                  <c:v>547.28194876789507</c:v>
                </c:pt>
                <c:pt idx="138">
                  <c:v>547.28194876789507</c:v>
                </c:pt>
                <c:pt idx="139">
                  <c:v>547.28194876789507</c:v>
                </c:pt>
                <c:pt idx="140">
                  <c:v>547.28194876789507</c:v>
                </c:pt>
                <c:pt idx="141">
                  <c:v>547.28194876789507</c:v>
                </c:pt>
                <c:pt idx="142">
                  <c:v>547.28194876789507</c:v>
                </c:pt>
                <c:pt idx="143">
                  <c:v>547.28194876789507</c:v>
                </c:pt>
                <c:pt idx="144">
                  <c:v>547.28194876789507</c:v>
                </c:pt>
                <c:pt idx="145">
                  <c:v>547.28194876789507</c:v>
                </c:pt>
                <c:pt idx="146">
                  <c:v>547.28194876789507</c:v>
                </c:pt>
                <c:pt idx="147">
                  <c:v>547.28194876789507</c:v>
                </c:pt>
                <c:pt idx="148">
                  <c:v>547.28194876789507</c:v>
                </c:pt>
                <c:pt idx="149">
                  <c:v>547.28194876789507</c:v>
                </c:pt>
                <c:pt idx="150">
                  <c:v>547.28194876789507</c:v>
                </c:pt>
                <c:pt idx="151">
                  <c:v>547.28194876789507</c:v>
                </c:pt>
                <c:pt idx="152">
                  <c:v>547.28194876789507</c:v>
                </c:pt>
                <c:pt idx="153">
                  <c:v>547.28194876789507</c:v>
                </c:pt>
                <c:pt idx="154">
                  <c:v>547.28194876789507</c:v>
                </c:pt>
                <c:pt idx="155">
                  <c:v>547.28194876789507</c:v>
                </c:pt>
                <c:pt idx="156">
                  <c:v>547.28194876789507</c:v>
                </c:pt>
                <c:pt idx="157">
                  <c:v>547.28194876789507</c:v>
                </c:pt>
                <c:pt idx="158">
                  <c:v>547.28194876789507</c:v>
                </c:pt>
                <c:pt idx="159">
                  <c:v>547.28194876789507</c:v>
                </c:pt>
                <c:pt idx="160">
                  <c:v>547.28194876789507</c:v>
                </c:pt>
                <c:pt idx="161">
                  <c:v>547.28194876789507</c:v>
                </c:pt>
                <c:pt idx="162">
                  <c:v>547.28194876789507</c:v>
                </c:pt>
                <c:pt idx="163">
                  <c:v>547.28194876789507</c:v>
                </c:pt>
                <c:pt idx="164">
                  <c:v>547.28194876789507</c:v>
                </c:pt>
                <c:pt idx="165">
                  <c:v>547.28194876789507</c:v>
                </c:pt>
                <c:pt idx="166">
                  <c:v>547.28194876789507</c:v>
                </c:pt>
                <c:pt idx="167">
                  <c:v>547.28194876789507</c:v>
                </c:pt>
                <c:pt idx="168">
                  <c:v>547.28194876789507</c:v>
                </c:pt>
                <c:pt idx="169">
                  <c:v>547.28194876789507</c:v>
                </c:pt>
                <c:pt idx="170">
                  <c:v>547.28194876789507</c:v>
                </c:pt>
                <c:pt idx="171">
                  <c:v>547.28194876789507</c:v>
                </c:pt>
                <c:pt idx="172">
                  <c:v>547.28194876789507</c:v>
                </c:pt>
                <c:pt idx="173">
                  <c:v>547.28194876789507</c:v>
                </c:pt>
                <c:pt idx="174">
                  <c:v>547.28194876789507</c:v>
                </c:pt>
                <c:pt idx="175">
                  <c:v>547.28194876789507</c:v>
                </c:pt>
                <c:pt idx="176">
                  <c:v>547.28194876789507</c:v>
                </c:pt>
                <c:pt idx="177">
                  <c:v>547.28194876789507</c:v>
                </c:pt>
                <c:pt idx="178">
                  <c:v>547.28194876789507</c:v>
                </c:pt>
                <c:pt idx="179">
                  <c:v>547.28194876789507</c:v>
                </c:pt>
                <c:pt idx="180">
                  <c:v>547.28194876789507</c:v>
                </c:pt>
                <c:pt idx="181">
                  <c:v>547.28194876789507</c:v>
                </c:pt>
                <c:pt idx="182">
                  <c:v>547.28194876789507</c:v>
                </c:pt>
                <c:pt idx="183">
                  <c:v>547.28194876789507</c:v>
                </c:pt>
                <c:pt idx="184">
                  <c:v>547.28194876789507</c:v>
                </c:pt>
                <c:pt idx="185">
                  <c:v>547.28194876789507</c:v>
                </c:pt>
                <c:pt idx="186">
                  <c:v>547.28194876789507</c:v>
                </c:pt>
                <c:pt idx="187">
                  <c:v>547.28194876789507</c:v>
                </c:pt>
                <c:pt idx="188">
                  <c:v>547.28194876789507</c:v>
                </c:pt>
                <c:pt idx="189">
                  <c:v>547.28194876789507</c:v>
                </c:pt>
                <c:pt idx="190">
                  <c:v>547.28194876789507</c:v>
                </c:pt>
                <c:pt idx="191">
                  <c:v>547.28194876789507</c:v>
                </c:pt>
                <c:pt idx="192">
                  <c:v>547.28194876789507</c:v>
                </c:pt>
                <c:pt idx="193">
                  <c:v>547.28194876789507</c:v>
                </c:pt>
                <c:pt idx="194">
                  <c:v>547.28194876789507</c:v>
                </c:pt>
                <c:pt idx="195">
                  <c:v>547.28194876789507</c:v>
                </c:pt>
                <c:pt idx="196">
                  <c:v>547.28194876789507</c:v>
                </c:pt>
                <c:pt idx="197">
                  <c:v>547.28194876789507</c:v>
                </c:pt>
                <c:pt idx="198">
                  <c:v>547.28194876789507</c:v>
                </c:pt>
                <c:pt idx="199">
                  <c:v>547.28194876789507</c:v>
                </c:pt>
                <c:pt idx="200">
                  <c:v>547.28194876789507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2.0687461285585278</c:v>
                </c:pt>
                <c:pt idx="2">
                  <c:v>2.5273807004431039</c:v>
                </c:pt>
                <c:pt idx="3">
                  <c:v>3.088083905536346</c:v>
                </c:pt>
                <c:pt idx="4">
                  <c:v>3.7736531887146705</c:v>
                </c:pt>
                <c:pt idx="5">
                  <c:v>4.611995113094256</c:v>
                </c:pt>
                <c:pt idx="6">
                  <c:v>5.6372739543299604</c:v>
                </c:pt>
                <c:pt idx="7">
                  <c:v>6.8913192610201923</c:v>
                </c:pt>
                <c:pt idx="8">
                  <c:v>8.4253509236664215</c:v>
                </c:pt>
                <c:pt idx="9">
                  <c:v>10.302093560930972</c:v>
                </c:pt>
                <c:pt idx="10">
                  <c:v>12.598368311116799</c:v>
                </c:pt>
                <c:pt idx="11">
                  <c:v>18.958915754058154</c:v>
                </c:pt>
                <c:pt idx="12">
                  <c:v>26.748932982010359</c:v>
                </c:pt>
                <c:pt idx="13">
                  <c:v>34.474473376274702</c:v>
                </c:pt>
                <c:pt idx="14">
                  <c:v>42.152221036722416</c:v>
                </c:pt>
                <c:pt idx="15">
                  <c:v>49.792178795908704</c:v>
                </c:pt>
                <c:pt idx="16">
                  <c:v>58.569136899771898</c:v>
                </c:pt>
                <c:pt idx="17">
                  <c:v>71.671728804778667</c:v>
                </c:pt>
                <c:pt idx="18">
                  <c:v>84.712794136987995</c:v>
                </c:pt>
                <c:pt idx="19">
                  <c:v>97.703177946167628</c:v>
                </c:pt>
                <c:pt idx="20">
                  <c:v>110.65058636488233</c:v>
                </c:pt>
                <c:pt idx="21">
                  <c:v>106.91427257507337</c:v>
                </c:pt>
                <c:pt idx="22">
                  <c:v>116.1058106876856</c:v>
                </c:pt>
                <c:pt idx="23">
                  <c:v>125.27956120942127</c:v>
                </c:pt>
                <c:pt idx="24">
                  <c:v>134.43701222868222</c:v>
                </c:pt>
                <c:pt idx="25">
                  <c:v>143.57943211520902</c:v>
                </c:pt>
                <c:pt idx="26">
                  <c:v>128.42920528646454</c:v>
                </c:pt>
                <c:pt idx="27">
                  <c:v>139.01002906464356</c:v>
                </c:pt>
                <c:pt idx="28">
                  <c:v>149.57150865696971</c:v>
                </c:pt>
                <c:pt idx="29">
                  <c:v>160.1152040093327</c:v>
                </c:pt>
                <c:pt idx="30">
                  <c:v>170.64245249764218</c:v>
                </c:pt>
                <c:pt idx="31">
                  <c:v>152.13777377111367</c:v>
                </c:pt>
                <c:pt idx="32">
                  <c:v>162.10806960101658</c:v>
                </c:pt>
                <c:pt idx="33">
                  <c:v>172.06385728933955</c:v>
                </c:pt>
                <c:pt idx="34">
                  <c:v>182.00609551607829</c:v>
                </c:pt>
                <c:pt idx="35">
                  <c:v>191.93562952471493</c:v>
                </c:pt>
                <c:pt idx="36">
                  <c:v>171.7795985212783</c:v>
                </c:pt>
                <c:pt idx="37">
                  <c:v>181.43831740899432</c:v>
                </c:pt>
                <c:pt idx="38">
                  <c:v>191.08500506258932</c:v>
                </c:pt>
                <c:pt idx="39">
                  <c:v>200.7203551214528</c:v>
                </c:pt>
                <c:pt idx="40">
                  <c:v>210.34498910896312</c:v>
                </c:pt>
                <c:pt idx="41">
                  <c:v>188.24895048125146</c:v>
                </c:pt>
                <c:pt idx="42">
                  <c:v>197.32089757499622</c:v>
                </c:pt>
                <c:pt idx="43">
                  <c:v>206.38316513431232</c:v>
                </c:pt>
                <c:pt idx="44">
                  <c:v>215.43623857870298</c:v>
                </c:pt>
                <c:pt idx="45">
                  <c:v>224.48055915021396</c:v>
                </c:pt>
                <c:pt idx="46">
                  <c:v>201.85320984852066</c:v>
                </c:pt>
                <c:pt idx="47">
                  <c:v>210.34498910896318</c:v>
                </c:pt>
                <c:pt idx="48">
                  <c:v>218.82886210158509</c:v>
                </c:pt>
                <c:pt idx="49">
                  <c:v>227.30517892841024</c:v>
                </c:pt>
                <c:pt idx="50">
                  <c:v>235.77426141652742</c:v>
                </c:pt>
                <c:pt idx="51">
                  <c:v>214.3050917284946</c:v>
                </c:pt>
                <c:pt idx="52">
                  <c:v>222.50284096633993</c:v>
                </c:pt>
                <c:pt idx="53">
                  <c:v>230.69366289491563</c:v>
                </c:pt>
                <c:pt idx="54">
                  <c:v>238.87783844523832</c:v>
                </c:pt>
                <c:pt idx="55">
                  <c:v>247.05562770340705</c:v>
                </c:pt>
                <c:pt idx="56">
                  <c:v>226.17542809206512</c:v>
                </c:pt>
                <c:pt idx="57">
                  <c:v>233.51652959110729</c:v>
                </c:pt>
                <c:pt idx="58">
                  <c:v>240.85236284789337</c:v>
                </c:pt>
                <c:pt idx="59">
                  <c:v>248.18311116489954</c:v>
                </c:pt>
                <c:pt idx="60">
                  <c:v>255.50894611772148</c:v>
                </c:pt>
                <c:pt idx="61">
                  <c:v>235.77426141652742</c:v>
                </c:pt>
                <c:pt idx="62">
                  <c:v>242.82651873322871</c:v>
                </c:pt>
                <c:pt idx="63">
                  <c:v>249.87411853503883</c:v>
                </c:pt>
                <c:pt idx="64">
                  <c:v>256.91721089069495</c:v>
                </c:pt>
                <c:pt idx="65">
                  <c:v>263.95593695845798</c:v>
                </c:pt>
                <c:pt idx="66">
                  <c:v>245.08225003541111</c:v>
                </c:pt>
                <c:pt idx="67">
                  <c:v>251.56486631652959</c:v>
                </c:pt>
                <c:pt idx="68">
                  <c:v>258.04369692629399</c:v>
                </c:pt>
                <c:pt idx="69">
                  <c:v>264.51885045722287</c:v>
                </c:pt>
                <c:pt idx="70">
                  <c:v>270.99042974399362</c:v>
                </c:pt>
                <c:pt idx="71">
                  <c:v>252.97362594481334</c:v>
                </c:pt>
                <c:pt idx="72">
                  <c:v>258.88848844639887</c:v>
                </c:pt>
                <c:pt idx="73">
                  <c:v>264.80029706883352</c:v>
                </c:pt>
                <c:pt idx="74">
                  <c:v>270.70912971378709</c:v>
                </c:pt>
                <c:pt idx="75">
                  <c:v>276.61506059958828</c:v>
                </c:pt>
                <c:pt idx="76">
                  <c:v>259.73321764902875</c:v>
                </c:pt>
                <c:pt idx="77">
                  <c:v>265.36317005758792</c:v>
                </c:pt>
                <c:pt idx="78">
                  <c:v>270.99042974399345</c:v>
                </c:pt>
                <c:pt idx="79">
                  <c:v>276.61506059958828</c:v>
                </c:pt>
                <c:pt idx="80">
                  <c:v>282.23712370144091</c:v>
                </c:pt>
                <c:pt idx="81">
                  <c:v>266.48883532606999</c:v>
                </c:pt>
                <c:pt idx="82">
                  <c:v>271.83429043682327</c:v>
                </c:pt>
                <c:pt idx="83">
                  <c:v>277.17738147431243</c:v>
                </c:pt>
                <c:pt idx="84">
                  <c:v>282.51816051208363</c:v>
                </c:pt>
                <c:pt idx="85">
                  <c:v>287.85667749117118</c:v>
                </c:pt>
                <c:pt idx="86">
                  <c:v>273.24059406456826</c:v>
                </c:pt>
                <c:pt idx="87">
                  <c:v>278.30194643574617</c:v>
                </c:pt>
                <c:pt idx="88">
                  <c:v>283.36123337871362</c:v>
                </c:pt>
                <c:pt idx="89">
                  <c:v>288.41849703340995</c:v>
                </c:pt>
                <c:pt idx="90">
                  <c:v>293.47377793906509</c:v>
                </c:pt>
                <c:pt idx="91">
                  <c:v>1.1580684803728015E-12</c:v>
                </c:pt>
                <c:pt idx="92">
                  <c:v>1.1580684803728015E-12</c:v>
                </c:pt>
                <c:pt idx="93">
                  <c:v>1.1580684803728015E-12</c:v>
                </c:pt>
                <c:pt idx="94">
                  <c:v>1.1580684803728015E-12</c:v>
                </c:pt>
                <c:pt idx="95">
                  <c:v>1.1580684803728015E-12</c:v>
                </c:pt>
                <c:pt idx="96">
                  <c:v>1.1580684803728015E-12</c:v>
                </c:pt>
                <c:pt idx="97">
                  <c:v>1.1580684803728015E-12</c:v>
                </c:pt>
                <c:pt idx="98">
                  <c:v>1.1580684803728015E-12</c:v>
                </c:pt>
                <c:pt idx="99">
                  <c:v>1.1580684803728015E-12</c:v>
                </c:pt>
                <c:pt idx="100">
                  <c:v>1.1580684803728015E-12</c:v>
                </c:pt>
                <c:pt idx="101">
                  <c:v>1.1580684803728015E-12</c:v>
                </c:pt>
                <c:pt idx="102">
                  <c:v>1.1580684803728015E-12</c:v>
                </c:pt>
                <c:pt idx="103">
                  <c:v>1.1580684803728015E-12</c:v>
                </c:pt>
                <c:pt idx="104">
                  <c:v>1.1580684803728015E-12</c:v>
                </c:pt>
                <c:pt idx="105">
                  <c:v>1.1580684803728015E-12</c:v>
                </c:pt>
                <c:pt idx="106">
                  <c:v>1.1580684803728015E-12</c:v>
                </c:pt>
                <c:pt idx="107">
                  <c:v>1.1580684803728015E-12</c:v>
                </c:pt>
                <c:pt idx="108">
                  <c:v>1.1580684803728015E-12</c:v>
                </c:pt>
                <c:pt idx="109">
                  <c:v>1.1580684803728015E-12</c:v>
                </c:pt>
                <c:pt idx="110">
                  <c:v>1.1580684803728015E-12</c:v>
                </c:pt>
                <c:pt idx="111">
                  <c:v>1.1580684803728015E-12</c:v>
                </c:pt>
                <c:pt idx="112">
                  <c:v>1.1580684803728015E-12</c:v>
                </c:pt>
                <c:pt idx="113">
                  <c:v>1.1580684803728015E-12</c:v>
                </c:pt>
                <c:pt idx="114">
                  <c:v>1.1580684803728015E-12</c:v>
                </c:pt>
                <c:pt idx="115">
                  <c:v>1.1580684803728015E-12</c:v>
                </c:pt>
                <c:pt idx="116">
                  <c:v>1.1580684803728015E-12</c:v>
                </c:pt>
                <c:pt idx="117">
                  <c:v>1.1580684803728015E-12</c:v>
                </c:pt>
                <c:pt idx="118">
                  <c:v>1.1580684803728015E-12</c:v>
                </c:pt>
                <c:pt idx="119">
                  <c:v>1.1580684803728015E-12</c:v>
                </c:pt>
                <c:pt idx="120">
                  <c:v>1.1580684803728015E-12</c:v>
                </c:pt>
                <c:pt idx="121">
                  <c:v>1.1580684803728015E-12</c:v>
                </c:pt>
                <c:pt idx="122">
                  <c:v>1.1580684803728015E-12</c:v>
                </c:pt>
                <c:pt idx="123">
                  <c:v>1.1580684803728015E-12</c:v>
                </c:pt>
                <c:pt idx="124">
                  <c:v>1.1580684803728015E-12</c:v>
                </c:pt>
                <c:pt idx="125">
                  <c:v>1.1580684803728015E-12</c:v>
                </c:pt>
                <c:pt idx="126">
                  <c:v>1.1580684803728015E-12</c:v>
                </c:pt>
                <c:pt idx="127">
                  <c:v>1.1580684803728015E-12</c:v>
                </c:pt>
                <c:pt idx="128">
                  <c:v>1.1580684803728015E-12</c:v>
                </c:pt>
                <c:pt idx="129">
                  <c:v>1.1580684803728015E-12</c:v>
                </c:pt>
                <c:pt idx="130">
                  <c:v>1.1580684803728015E-12</c:v>
                </c:pt>
                <c:pt idx="131">
                  <c:v>1.1580684803728015E-12</c:v>
                </c:pt>
                <c:pt idx="132">
                  <c:v>1.1580684803728015E-12</c:v>
                </c:pt>
                <c:pt idx="133">
                  <c:v>1.1580684803728015E-12</c:v>
                </c:pt>
                <c:pt idx="134">
                  <c:v>1.1580684803728015E-12</c:v>
                </c:pt>
                <c:pt idx="135">
                  <c:v>1.1580684803728015E-12</c:v>
                </c:pt>
                <c:pt idx="136">
                  <c:v>1.1580684803728015E-12</c:v>
                </c:pt>
                <c:pt idx="137">
                  <c:v>1.1580684803728015E-12</c:v>
                </c:pt>
                <c:pt idx="138">
                  <c:v>1.1580684803728015E-12</c:v>
                </c:pt>
                <c:pt idx="139">
                  <c:v>1.1580684803728015E-12</c:v>
                </c:pt>
                <c:pt idx="140">
                  <c:v>1.1580684803728015E-12</c:v>
                </c:pt>
                <c:pt idx="141">
                  <c:v>1.1580684803728015E-12</c:v>
                </c:pt>
                <c:pt idx="142">
                  <c:v>1.1580684803728015E-12</c:v>
                </c:pt>
                <c:pt idx="143">
                  <c:v>1.1580684803728015E-12</c:v>
                </c:pt>
                <c:pt idx="144">
                  <c:v>1.1580684803728015E-12</c:v>
                </c:pt>
                <c:pt idx="145">
                  <c:v>1.1580684803728015E-12</c:v>
                </c:pt>
                <c:pt idx="146">
                  <c:v>1.1580684803728015E-12</c:v>
                </c:pt>
                <c:pt idx="147">
                  <c:v>1.1580684803728015E-12</c:v>
                </c:pt>
                <c:pt idx="148">
                  <c:v>1.1580684803728015E-12</c:v>
                </c:pt>
                <c:pt idx="149">
                  <c:v>1.1580684803728015E-12</c:v>
                </c:pt>
                <c:pt idx="150">
                  <c:v>1.1580684803728015E-12</c:v>
                </c:pt>
                <c:pt idx="151">
                  <c:v>1.1580684803728015E-12</c:v>
                </c:pt>
                <c:pt idx="152">
                  <c:v>1.1580684803728015E-12</c:v>
                </c:pt>
                <c:pt idx="153">
                  <c:v>1.1580684803728015E-12</c:v>
                </c:pt>
                <c:pt idx="154">
                  <c:v>1.1580684803728015E-12</c:v>
                </c:pt>
                <c:pt idx="155">
                  <c:v>1.1580684803728015E-12</c:v>
                </c:pt>
                <c:pt idx="156">
                  <c:v>1.1580684803728015E-12</c:v>
                </c:pt>
                <c:pt idx="157">
                  <c:v>1.1580684803728015E-12</c:v>
                </c:pt>
                <c:pt idx="158">
                  <c:v>1.1580684803728015E-12</c:v>
                </c:pt>
                <c:pt idx="159">
                  <c:v>1.1580684803728015E-12</c:v>
                </c:pt>
                <c:pt idx="160">
                  <c:v>1.1580684803728015E-12</c:v>
                </c:pt>
                <c:pt idx="161">
                  <c:v>1.1580684803728015E-12</c:v>
                </c:pt>
                <c:pt idx="162">
                  <c:v>1.1580684803728015E-12</c:v>
                </c:pt>
                <c:pt idx="163">
                  <c:v>1.1580684803728015E-12</c:v>
                </c:pt>
                <c:pt idx="164">
                  <c:v>1.1580684803728015E-12</c:v>
                </c:pt>
                <c:pt idx="165">
                  <c:v>1.1580684803728015E-12</c:v>
                </c:pt>
                <c:pt idx="166">
                  <c:v>1.1580684803728015E-12</c:v>
                </c:pt>
                <c:pt idx="167">
                  <c:v>1.1580684803728015E-12</c:v>
                </c:pt>
                <c:pt idx="168">
                  <c:v>1.1580684803728015E-12</c:v>
                </c:pt>
                <c:pt idx="169">
                  <c:v>1.1580684803728015E-12</c:v>
                </c:pt>
                <c:pt idx="170">
                  <c:v>1.1580684803728015E-12</c:v>
                </c:pt>
                <c:pt idx="171">
                  <c:v>1.1580684803728015E-12</c:v>
                </c:pt>
                <c:pt idx="172">
                  <c:v>1.1580684803728015E-12</c:v>
                </c:pt>
                <c:pt idx="173">
                  <c:v>1.1580684803728015E-12</c:v>
                </c:pt>
                <c:pt idx="174">
                  <c:v>1.1580684803728015E-12</c:v>
                </c:pt>
                <c:pt idx="175">
                  <c:v>1.1580684803728015E-12</c:v>
                </c:pt>
                <c:pt idx="176">
                  <c:v>1.1580684803728015E-12</c:v>
                </c:pt>
                <c:pt idx="177">
                  <c:v>1.1580684803728015E-12</c:v>
                </c:pt>
                <c:pt idx="178">
                  <c:v>1.1580684803728015E-12</c:v>
                </c:pt>
                <c:pt idx="179">
                  <c:v>1.1580684803728015E-12</c:v>
                </c:pt>
                <c:pt idx="180">
                  <c:v>1.1580684803728015E-12</c:v>
                </c:pt>
                <c:pt idx="181">
                  <c:v>1.1580684803728015E-12</c:v>
                </c:pt>
                <c:pt idx="182">
                  <c:v>1.1580684803728015E-12</c:v>
                </c:pt>
                <c:pt idx="183">
                  <c:v>1.1580684803728015E-12</c:v>
                </c:pt>
                <c:pt idx="184">
                  <c:v>1.1580684803728015E-12</c:v>
                </c:pt>
                <c:pt idx="185">
                  <c:v>1.1580684803728015E-12</c:v>
                </c:pt>
                <c:pt idx="186">
                  <c:v>1.1580684803728015E-12</c:v>
                </c:pt>
                <c:pt idx="187">
                  <c:v>1.1580684803728015E-12</c:v>
                </c:pt>
                <c:pt idx="188">
                  <c:v>1.1580684803728015E-12</c:v>
                </c:pt>
                <c:pt idx="189">
                  <c:v>1.1580684803728015E-12</c:v>
                </c:pt>
                <c:pt idx="190">
                  <c:v>1.1580684803728015E-12</c:v>
                </c:pt>
                <c:pt idx="191">
                  <c:v>1.1580684803728015E-12</c:v>
                </c:pt>
                <c:pt idx="192">
                  <c:v>1.1580684803728015E-12</c:v>
                </c:pt>
                <c:pt idx="193">
                  <c:v>1.1580684803728015E-12</c:v>
                </c:pt>
                <c:pt idx="194">
                  <c:v>1.1580684803728015E-12</c:v>
                </c:pt>
                <c:pt idx="195">
                  <c:v>1.1580684803728015E-12</c:v>
                </c:pt>
                <c:pt idx="196">
                  <c:v>1.1580684803728015E-12</c:v>
                </c:pt>
                <c:pt idx="197">
                  <c:v>1.1580684803728015E-12</c:v>
                </c:pt>
                <c:pt idx="198">
                  <c:v>1.1580684803728015E-12</c:v>
                </c:pt>
                <c:pt idx="199">
                  <c:v>1.1580684803728015E-12</c:v>
                </c:pt>
                <c:pt idx="200">
                  <c:v>1.1580684803728015E-12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2.1295883841675698</c:v>
                </c:pt>
                <c:pt idx="2">
                  <c:v>2.6183010229241539</c:v>
                </c:pt>
                <c:pt idx="3">
                  <c:v>3.219599731773831</c:v>
                </c:pt>
                <c:pt idx="4">
                  <c:v>3.9595154786884472</c:v>
                </c:pt>
                <c:pt idx="5">
                  <c:v>4.8701182595926094</c:v>
                </c:pt>
                <c:pt idx="6">
                  <c:v>5.9909225271685296</c:v>
                </c:pt>
                <c:pt idx="7">
                  <c:v>7.3706206465688275</c:v>
                </c:pt>
                <c:pt idx="8">
                  <c:v>9.0692211432014602</c:v>
                </c:pt>
                <c:pt idx="9">
                  <c:v>11.160686515995073</c:v>
                </c:pt>
                <c:pt idx="10">
                  <c:v>13.736187631630221</c:v>
                </c:pt>
                <c:pt idx="11">
                  <c:v>16.908119188508362</c:v>
                </c:pt>
                <c:pt idx="12">
                  <c:v>20.815054676478152</c:v>
                </c:pt>
                <c:pt idx="13">
                  <c:v>25.627861183311392</c:v>
                </c:pt>
                <c:pt idx="14">
                  <c:v>31.557246195200772</c:v>
                </c:pt>
                <c:pt idx="15">
                  <c:v>38.863072534636395</c:v>
                </c:pt>
                <c:pt idx="16">
                  <c:v>47.865856653573566</c:v>
                </c:pt>
                <c:pt idx="17">
                  <c:v>58.960963211844557</c:v>
                </c:pt>
                <c:pt idx="18">
                  <c:v>72.636129620687001</c:v>
                </c:pt>
                <c:pt idx="19">
                  <c:v>89.493103460024415</c:v>
                </c:pt>
                <c:pt idx="20">
                  <c:v>110.27436011367904</c:v>
                </c:pt>
                <c:pt idx="21">
                  <c:v>112.03893205390368</c:v>
                </c:pt>
                <c:pt idx="22">
                  <c:v>122.61245229101463</c:v>
                </c:pt>
                <c:pt idx="23">
                  <c:v>133.16379985429114</c:v>
                </c:pt>
                <c:pt idx="24">
                  <c:v>143.69498143753458</c:v>
                </c:pt>
                <c:pt idx="25">
                  <c:v>154.20768498250132</c:v>
                </c:pt>
                <c:pt idx="26">
                  <c:v>126.71827041123917</c:v>
                </c:pt>
                <c:pt idx="27">
                  <c:v>140.18671834451746</c:v>
                </c:pt>
                <c:pt idx="28">
                  <c:v>153.62410522695768</c:v>
                </c:pt>
                <c:pt idx="29">
                  <c:v>167.03353298741314</c:v>
                </c:pt>
                <c:pt idx="30">
                  <c:v>180.41756394892988</c:v>
                </c:pt>
                <c:pt idx="31">
                  <c:v>155.37468709930818</c:v>
                </c:pt>
                <c:pt idx="32">
                  <c:v>171.1095161428722</c:v>
                </c:pt>
                <c:pt idx="33">
                  <c:v>186.81028563699499</c:v>
                </c:pt>
                <c:pt idx="34">
                  <c:v>202.48026245890085</c:v>
                </c:pt>
                <c:pt idx="35">
                  <c:v>218.12216592131381</c:v>
                </c:pt>
                <c:pt idx="36">
                  <c:v>193.77834866786895</c:v>
                </c:pt>
                <c:pt idx="37">
                  <c:v>210.01490336956445</c:v>
                </c:pt>
                <c:pt idx="38">
                  <c:v>226.2225036201547</c:v>
                </c:pt>
                <c:pt idx="39">
                  <c:v>242.40351617973047</c:v>
                </c:pt>
                <c:pt idx="40">
                  <c:v>258.55996582862014</c:v>
                </c:pt>
                <c:pt idx="41">
                  <c:v>234.60514077955398</c:v>
                </c:pt>
                <c:pt idx="42">
                  <c:v>251.06169458557397</c:v>
                </c:pt>
                <c:pt idx="43">
                  <c:v>267.49380301700216</c:v>
                </c:pt>
                <c:pt idx="44">
                  <c:v>283.90317910452893</c:v>
                </c:pt>
                <c:pt idx="45">
                  <c:v>300.2913216340458</c:v>
                </c:pt>
                <c:pt idx="46">
                  <c:v>275.8451748960195</c:v>
                </c:pt>
                <c:pt idx="47">
                  <c:v>291.66854559956113</c:v>
                </c:pt>
                <c:pt idx="48">
                  <c:v>307.47274922302051</c:v>
                </c:pt>
                <c:pt idx="49">
                  <c:v>323.25890960508139</c:v>
                </c:pt>
                <c:pt idx="50">
                  <c:v>339.02803185205124</c:v>
                </c:pt>
                <c:pt idx="51">
                  <c:v>313.50226463243462</c:v>
                </c:pt>
                <c:pt idx="52">
                  <c:v>328.13477724523267</c:v>
                </c:pt>
                <c:pt idx="53">
                  <c:v>342.75288975194491</c:v>
                </c:pt>
                <c:pt idx="54">
                  <c:v>357.35730278704</c:v>
                </c:pt>
                <c:pt idx="55">
                  <c:v>371.94865504264635</c:v>
                </c:pt>
                <c:pt idx="56">
                  <c:v>345.33111561712332</c:v>
                </c:pt>
                <c:pt idx="57">
                  <c:v>358.78839513118527</c:v>
                </c:pt>
                <c:pt idx="58">
                  <c:v>372.23463344711035</c:v>
                </c:pt>
                <c:pt idx="59">
                  <c:v>385.67028561105195</c:v>
                </c:pt>
                <c:pt idx="60">
                  <c:v>399.09577237538934</c:v>
                </c:pt>
                <c:pt idx="61">
                  <c:v>371.66267184297811</c:v>
                </c:pt>
                <c:pt idx="62">
                  <c:v>384.24145121256805</c:v>
                </c:pt>
                <c:pt idx="63">
                  <c:v>396.81128385496095</c:v>
                </c:pt>
                <c:pt idx="64">
                  <c:v>409.37249313446256</c:v>
                </c:pt>
                <c:pt idx="65">
                  <c:v>421.92538095054584</c:v>
                </c:pt>
                <c:pt idx="66">
                  <c:v>393.66964638244121</c:v>
                </c:pt>
                <c:pt idx="67">
                  <c:v>405.37666134724668</c:v>
                </c:pt>
                <c:pt idx="68">
                  <c:v>417.07636960302989</c:v>
                </c:pt>
                <c:pt idx="69">
                  <c:v>428.76900502959637</c:v>
                </c:pt>
                <c:pt idx="70">
                  <c:v>440.4547877086984</c:v>
                </c:pt>
                <c:pt idx="71">
                  <c:v>411.37009257413553</c:v>
                </c:pt>
                <c:pt idx="72">
                  <c:v>422.21057939270116</c:v>
                </c:pt>
                <c:pt idx="73">
                  <c:v>433.04507509293188</c:v>
                </c:pt>
                <c:pt idx="74">
                  <c:v>443.87375072613833</c:v>
                </c:pt>
                <c:pt idx="75">
                  <c:v>454.69676831549236</c:v>
                </c:pt>
                <c:pt idx="76">
                  <c:v>425.06233617824211</c:v>
                </c:pt>
                <c:pt idx="77">
                  <c:v>435.32527437722064</c:v>
                </c:pt>
                <c:pt idx="78">
                  <c:v>445.58302035961742</c:v>
                </c:pt>
                <c:pt idx="79">
                  <c:v>455.83571053274028</c:v>
                </c:pt>
                <c:pt idx="80">
                  <c:v>466.08347466593324</c:v>
                </c:pt>
                <c:pt idx="81">
                  <c:v>435.89528407935296</c:v>
                </c:pt>
                <c:pt idx="82">
                  <c:v>445.58302035961742</c:v>
                </c:pt>
                <c:pt idx="83">
                  <c:v>455.26624703610543</c:v>
                </c:pt>
                <c:pt idx="84">
                  <c:v>464.94507357382503</c:v>
                </c:pt>
                <c:pt idx="85">
                  <c:v>474.61960450741594</c:v>
                </c:pt>
                <c:pt idx="86">
                  <c:v>443.87375072613833</c:v>
                </c:pt>
                <c:pt idx="87">
                  <c:v>452.98824059157391</c:v>
                </c:pt>
                <c:pt idx="88">
                  <c:v>462.09881038696238</c:v>
                </c:pt>
                <c:pt idx="89">
                  <c:v>471.20554832072474</c:v>
                </c:pt>
                <c:pt idx="90">
                  <c:v>480.30853891265798</c:v>
                </c:pt>
                <c:pt idx="91">
                  <c:v>449.00113896695387</c:v>
                </c:pt>
                <c:pt idx="92">
                  <c:v>457.5440098958083</c:v>
                </c:pt>
                <c:pt idx="93">
                  <c:v>466.08347466593301</c:v>
                </c:pt>
                <c:pt idx="94">
                  <c:v>474.61960450741572</c:v>
                </c:pt>
                <c:pt idx="95">
                  <c:v>483.15246787827965</c:v>
                </c:pt>
                <c:pt idx="96">
                  <c:v>451.56436224672251</c:v>
                </c:pt>
                <c:pt idx="97">
                  <c:v>459.82153055595603</c:v>
                </c:pt>
                <c:pt idx="98">
                  <c:v>468.07553402529197</c:v>
                </c:pt>
                <c:pt idx="99">
                  <c:v>476.32643635557253</c:v>
                </c:pt>
                <c:pt idx="100">
                  <c:v>484.5742988599518</c:v>
                </c:pt>
                <c:pt idx="101">
                  <c:v>453.84252164192867</c:v>
                </c:pt>
                <c:pt idx="102">
                  <c:v>461.52951293255023</c:v>
                </c:pt>
                <c:pt idx="103">
                  <c:v>469.21377248409726</c:v>
                </c:pt>
                <c:pt idx="104">
                  <c:v>476.89535136408062</c:v>
                </c:pt>
                <c:pt idx="105">
                  <c:v>484.57429885995163</c:v>
                </c:pt>
                <c:pt idx="106">
                  <c:v>454.69676831549208</c:v>
                </c:pt>
                <c:pt idx="107">
                  <c:v>461.81416353195027</c:v>
                </c:pt>
                <c:pt idx="108">
                  <c:v>468.92921839125489</c:v>
                </c:pt>
                <c:pt idx="109">
                  <c:v>476.0419734310799</c:v>
                </c:pt>
                <c:pt idx="110">
                  <c:v>483.15246787827965</c:v>
                </c:pt>
                <c:pt idx="111">
                  <c:v>454.12727434910954</c:v>
                </c:pt>
                <c:pt idx="112">
                  <c:v>460.67553864161101</c:v>
                </c:pt>
                <c:pt idx="113">
                  <c:v>467.22181647445245</c:v>
                </c:pt>
                <c:pt idx="114">
                  <c:v>473.76613962300468</c:v>
                </c:pt>
                <c:pt idx="115">
                  <c:v>480.30853891265809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2.8142206316632006</c:v>
                </c:pt>
                <c:pt idx="2">
                  <c:v>3.546022447534257</c:v>
                </c:pt>
                <c:pt idx="3">
                  <c:v>4.4688603344852975</c:v>
                </c:pt>
                <c:pt idx="4">
                  <c:v>5.632786147567022</c:v>
                </c:pt>
                <c:pt idx="5">
                  <c:v>7.1010100430012626</c:v>
                </c:pt>
                <c:pt idx="6">
                  <c:v>8.9533705968532473</c:v>
                </c:pt>
                <c:pt idx="7">
                  <c:v>11.290722715130457</c:v>
                </c:pt>
                <c:pt idx="8">
                  <c:v>14.240486718899339</c:v>
                </c:pt>
                <c:pt idx="9">
                  <c:v>17.963666684746272</c:v>
                </c:pt>
                <c:pt idx="10">
                  <c:v>22.663728052918533</c:v>
                </c:pt>
                <c:pt idx="11">
                  <c:v>44.016422187733419</c:v>
                </c:pt>
                <c:pt idx="12">
                  <c:v>65.080449062797712</c:v>
                </c:pt>
                <c:pt idx="13">
                  <c:v>85.965783832884156</c:v>
                </c:pt>
                <c:pt idx="14">
                  <c:v>106.72258095191415</c:v>
                </c:pt>
                <c:pt idx="15">
                  <c:v>127.37953432582198</c:v>
                </c:pt>
                <c:pt idx="16">
                  <c:v>92.127784973737278</c:v>
                </c:pt>
                <c:pt idx="17">
                  <c:v>118.20964174983392</c:v>
                </c:pt>
                <c:pt idx="18">
                  <c:v>144.15036005266867</c:v>
                </c:pt>
                <c:pt idx="19">
                  <c:v>169.97903495411802</c:v>
                </c:pt>
                <c:pt idx="20">
                  <c:v>195.7151268464269</c:v>
                </c:pt>
                <c:pt idx="21">
                  <c:v>157.45713350059123</c:v>
                </c:pt>
                <c:pt idx="22">
                  <c:v>185.5064833232974</c:v>
                </c:pt>
                <c:pt idx="23">
                  <c:v>213.45664137520598</c:v>
                </c:pt>
                <c:pt idx="24">
                  <c:v>241.32243325977697</c:v>
                </c:pt>
                <c:pt idx="25">
                  <c:v>269.11497170292421</c:v>
                </c:pt>
                <c:pt idx="26">
                  <c:v>230.03488071825367</c:v>
                </c:pt>
                <c:pt idx="27">
                  <c:v>256.72945236768493</c:v>
                </c:pt>
                <c:pt idx="28">
                  <c:v>283.36123337871345</c:v>
                </c:pt>
                <c:pt idx="29">
                  <c:v>309.93695192564934</c:v>
                </c:pt>
                <c:pt idx="30">
                  <c:v>336.46208765640478</c:v>
                </c:pt>
                <c:pt idx="31">
                  <c:v>295.34560890488143</c:v>
                </c:pt>
                <c:pt idx="32">
                  <c:v>319.65599415471269</c:v>
                </c:pt>
                <c:pt idx="33">
                  <c:v>343.92546889640704</c:v>
                </c:pt>
                <c:pt idx="34">
                  <c:v>368.15732380156072</c:v>
                </c:pt>
                <c:pt idx="35">
                  <c:v>392.35438115419703</c:v>
                </c:pt>
                <c:pt idx="36">
                  <c:v>348.40178403373943</c:v>
                </c:pt>
                <c:pt idx="37">
                  <c:v>369.64735159591163</c:v>
                </c:pt>
                <c:pt idx="38">
                  <c:v>390.86628899650526</c:v>
                </c:pt>
                <c:pt idx="39">
                  <c:v>412.06024430985235</c:v>
                </c:pt>
                <c:pt idx="40">
                  <c:v>433.23068233058711</c:v>
                </c:pt>
                <c:pt idx="41">
                  <c:v>386.40127265666041</c:v>
                </c:pt>
                <c:pt idx="42">
                  <c:v>404.62651852552534</c:v>
                </c:pt>
                <c:pt idx="43">
                  <c:v>422.83402201018413</c:v>
                </c:pt>
                <c:pt idx="44">
                  <c:v>441.02465426855332</c:v>
                </c:pt>
                <c:pt idx="45">
                  <c:v>459.19920876443285</c:v>
                </c:pt>
                <c:pt idx="46">
                  <c:v>430.26076100517804</c:v>
                </c:pt>
                <c:pt idx="47">
                  <c:v>445.84801081476007</c:v>
                </c:pt>
                <c:pt idx="48">
                  <c:v>461.42359547407392</c:v>
                </c:pt>
                <c:pt idx="49">
                  <c:v>476.98796406826045</c:v>
                </c:pt>
                <c:pt idx="50">
                  <c:v>492.54153399430999</c:v>
                </c:pt>
                <c:pt idx="51">
                  <c:v>471.05997610454216</c:v>
                </c:pt>
                <c:pt idx="52">
                  <c:v>484.76607392519827</c:v>
                </c:pt>
                <c:pt idx="53">
                  <c:v>498.46394506809082</c:v>
                </c:pt>
                <c:pt idx="54">
                  <c:v>512.15384740014133</c:v>
                </c:pt>
                <c:pt idx="55">
                  <c:v>525.83602388197016</c:v>
                </c:pt>
                <c:pt idx="56">
                  <c:v>508.08469414781166</c:v>
                </c:pt>
                <c:pt idx="57">
                  <c:v>519.92034011757323</c:v>
                </c:pt>
                <c:pt idx="58">
                  <c:v>531.75030596498357</c:v>
                </c:pt>
                <c:pt idx="59">
                  <c:v>543.57473584939044</c:v>
                </c:pt>
                <c:pt idx="60">
                  <c:v>555.39376714784089</c:v>
                </c:pt>
                <c:pt idx="61">
                  <c:v>539.1412145256478</c:v>
                </c:pt>
                <c:pt idx="62">
                  <c:v>548.74621845390368</c:v>
                </c:pt>
                <c:pt idx="63">
                  <c:v>558.34769693411602</c:v>
                </c:pt>
                <c:pt idx="64">
                  <c:v>567.94571913881475</c:v>
                </c:pt>
                <c:pt idx="65">
                  <c:v>577.54035171190208</c:v>
                </c:pt>
                <c:pt idx="66">
                  <c:v>561.67047693164147</c:v>
                </c:pt>
                <c:pt idx="67">
                  <c:v>569.79110201977517</c:v>
                </c:pt>
                <c:pt idx="68">
                  <c:v>577.90930922868472</c:v>
                </c:pt>
                <c:pt idx="69">
                  <c:v>586.0251373170388</c:v>
                </c:pt>
                <c:pt idx="70">
                  <c:v>594.13862388231678</c:v>
                </c:pt>
                <c:pt idx="71">
                  <c:v>577.90930922868461</c:v>
                </c:pt>
                <c:pt idx="72">
                  <c:v>585.65628711786383</c:v>
                </c:pt>
                <c:pt idx="73">
                  <c:v>593.40112998449592</c:v>
                </c:pt>
                <c:pt idx="74">
                  <c:v>601.14386962669914</c:v>
                </c:pt>
                <c:pt idx="75">
                  <c:v>608.88453695659052</c:v>
                </c:pt>
                <c:pt idx="76">
                  <c:v>593.40112998449592</c:v>
                </c:pt>
                <c:pt idx="77">
                  <c:v>600.03789155140566</c:v>
                </c:pt>
                <c:pt idx="78">
                  <c:v>606.67312741145247</c:v>
                </c:pt>
                <c:pt idx="79">
                  <c:v>613.30685660796541</c:v>
                </c:pt>
                <c:pt idx="80">
                  <c:v>619.93909773864539</c:v>
                </c:pt>
                <c:pt idx="81">
                  <c:v>599.66922277966887</c:v>
                </c:pt>
                <c:pt idx="82">
                  <c:v>599.66922277966887</c:v>
                </c:pt>
                <c:pt idx="83">
                  <c:v>599.66922277966887</c:v>
                </c:pt>
                <c:pt idx="84">
                  <c:v>599.66922277966887</c:v>
                </c:pt>
                <c:pt idx="85">
                  <c:v>599.66922277966887</c:v>
                </c:pt>
                <c:pt idx="86">
                  <c:v>599.66922277966887</c:v>
                </c:pt>
                <c:pt idx="87">
                  <c:v>599.66922277966887</c:v>
                </c:pt>
                <c:pt idx="88">
                  <c:v>599.66922277966887</c:v>
                </c:pt>
                <c:pt idx="89">
                  <c:v>599.66922277966887</c:v>
                </c:pt>
                <c:pt idx="90">
                  <c:v>599.66922277966887</c:v>
                </c:pt>
                <c:pt idx="91">
                  <c:v>599.66922277966887</c:v>
                </c:pt>
                <c:pt idx="92">
                  <c:v>599.66922277966887</c:v>
                </c:pt>
                <c:pt idx="93">
                  <c:v>599.66922277966887</c:v>
                </c:pt>
                <c:pt idx="94">
                  <c:v>599.66922277966887</c:v>
                </c:pt>
                <c:pt idx="95">
                  <c:v>599.66922277966887</c:v>
                </c:pt>
                <c:pt idx="96">
                  <c:v>599.66922277966887</c:v>
                </c:pt>
                <c:pt idx="97">
                  <c:v>599.66922277966887</c:v>
                </c:pt>
                <c:pt idx="98">
                  <c:v>599.66922277966887</c:v>
                </c:pt>
                <c:pt idx="99">
                  <c:v>599.66922277966887</c:v>
                </c:pt>
                <c:pt idx="100">
                  <c:v>599.66922277966887</c:v>
                </c:pt>
                <c:pt idx="101">
                  <c:v>599.66922277966887</c:v>
                </c:pt>
                <c:pt idx="102">
                  <c:v>599.66922277966887</c:v>
                </c:pt>
                <c:pt idx="103">
                  <c:v>599.66922277966887</c:v>
                </c:pt>
                <c:pt idx="104">
                  <c:v>599.66922277966887</c:v>
                </c:pt>
                <c:pt idx="105">
                  <c:v>599.66922277966887</c:v>
                </c:pt>
                <c:pt idx="106">
                  <c:v>599.66922277966887</c:v>
                </c:pt>
                <c:pt idx="107">
                  <c:v>599.66922277966887</c:v>
                </c:pt>
                <c:pt idx="108">
                  <c:v>599.66922277966887</c:v>
                </c:pt>
                <c:pt idx="109">
                  <c:v>599.66922277966887</c:v>
                </c:pt>
                <c:pt idx="110">
                  <c:v>599.66922277966887</c:v>
                </c:pt>
                <c:pt idx="111">
                  <c:v>599.66922277966887</c:v>
                </c:pt>
                <c:pt idx="112">
                  <c:v>599.66922277966887</c:v>
                </c:pt>
                <c:pt idx="113">
                  <c:v>599.66922277966887</c:v>
                </c:pt>
                <c:pt idx="114">
                  <c:v>599.66922277966887</c:v>
                </c:pt>
                <c:pt idx="115">
                  <c:v>599.66922277966887</c:v>
                </c:pt>
                <c:pt idx="116">
                  <c:v>599.66922277966887</c:v>
                </c:pt>
                <c:pt idx="117">
                  <c:v>599.66922277966887</c:v>
                </c:pt>
                <c:pt idx="118">
                  <c:v>599.66922277966887</c:v>
                </c:pt>
                <c:pt idx="119">
                  <c:v>599.66922277966887</c:v>
                </c:pt>
                <c:pt idx="120">
                  <c:v>599.66922277966887</c:v>
                </c:pt>
                <c:pt idx="121">
                  <c:v>599.66922277966887</c:v>
                </c:pt>
                <c:pt idx="122">
                  <c:v>599.66922277966887</c:v>
                </c:pt>
                <c:pt idx="123">
                  <c:v>599.66922277966887</c:v>
                </c:pt>
                <c:pt idx="124">
                  <c:v>599.66922277966887</c:v>
                </c:pt>
                <c:pt idx="125">
                  <c:v>599.66922277966887</c:v>
                </c:pt>
                <c:pt idx="126">
                  <c:v>599.66922277966887</c:v>
                </c:pt>
                <c:pt idx="127">
                  <c:v>599.66922277966887</c:v>
                </c:pt>
                <c:pt idx="128">
                  <c:v>599.66922277966887</c:v>
                </c:pt>
                <c:pt idx="129">
                  <c:v>599.66922277966887</c:v>
                </c:pt>
                <c:pt idx="130">
                  <c:v>599.66922277966887</c:v>
                </c:pt>
                <c:pt idx="131">
                  <c:v>599.66922277966887</c:v>
                </c:pt>
                <c:pt idx="132">
                  <c:v>599.66922277966887</c:v>
                </c:pt>
                <c:pt idx="133">
                  <c:v>599.66922277966887</c:v>
                </c:pt>
                <c:pt idx="134">
                  <c:v>599.66922277966887</c:v>
                </c:pt>
                <c:pt idx="135">
                  <c:v>599.66922277966887</c:v>
                </c:pt>
                <c:pt idx="136">
                  <c:v>599.66922277966887</c:v>
                </c:pt>
                <c:pt idx="137">
                  <c:v>599.66922277966887</c:v>
                </c:pt>
                <c:pt idx="138">
                  <c:v>599.66922277966887</c:v>
                </c:pt>
                <c:pt idx="139">
                  <c:v>599.66922277966887</c:v>
                </c:pt>
                <c:pt idx="140">
                  <c:v>599.66922277966887</c:v>
                </c:pt>
                <c:pt idx="141">
                  <c:v>599.66922277966887</c:v>
                </c:pt>
                <c:pt idx="142">
                  <c:v>599.66922277966887</c:v>
                </c:pt>
                <c:pt idx="143">
                  <c:v>599.66922277966887</c:v>
                </c:pt>
                <c:pt idx="144">
                  <c:v>599.66922277966887</c:v>
                </c:pt>
                <c:pt idx="145">
                  <c:v>599.66922277966887</c:v>
                </c:pt>
                <c:pt idx="146">
                  <c:v>599.66922277966887</c:v>
                </c:pt>
                <c:pt idx="147">
                  <c:v>599.66922277966887</c:v>
                </c:pt>
                <c:pt idx="148">
                  <c:v>599.66922277966887</c:v>
                </c:pt>
                <c:pt idx="149">
                  <c:v>599.66922277966887</c:v>
                </c:pt>
                <c:pt idx="150">
                  <c:v>599.66922277966887</c:v>
                </c:pt>
                <c:pt idx="151">
                  <c:v>599.66922277966887</c:v>
                </c:pt>
                <c:pt idx="152">
                  <c:v>599.66922277966887</c:v>
                </c:pt>
                <c:pt idx="153">
                  <c:v>599.66922277966887</c:v>
                </c:pt>
                <c:pt idx="154">
                  <c:v>599.66922277966887</c:v>
                </c:pt>
                <c:pt idx="155">
                  <c:v>599.66922277966887</c:v>
                </c:pt>
                <c:pt idx="156">
                  <c:v>599.66922277966887</c:v>
                </c:pt>
                <c:pt idx="157">
                  <c:v>599.66922277966887</c:v>
                </c:pt>
                <c:pt idx="158">
                  <c:v>599.66922277966887</c:v>
                </c:pt>
                <c:pt idx="159">
                  <c:v>599.66922277966887</c:v>
                </c:pt>
                <c:pt idx="160">
                  <c:v>599.66922277966887</c:v>
                </c:pt>
                <c:pt idx="161">
                  <c:v>599.66922277966887</c:v>
                </c:pt>
                <c:pt idx="162">
                  <c:v>599.66922277966887</c:v>
                </c:pt>
                <c:pt idx="163">
                  <c:v>599.66922277966887</c:v>
                </c:pt>
                <c:pt idx="164">
                  <c:v>599.66922277966887</c:v>
                </c:pt>
                <c:pt idx="165">
                  <c:v>599.66922277966887</c:v>
                </c:pt>
                <c:pt idx="166">
                  <c:v>599.66922277966887</c:v>
                </c:pt>
                <c:pt idx="167">
                  <c:v>599.66922277966887</c:v>
                </c:pt>
                <c:pt idx="168">
                  <c:v>599.66922277966887</c:v>
                </c:pt>
                <c:pt idx="169">
                  <c:v>599.66922277966887</c:v>
                </c:pt>
                <c:pt idx="170">
                  <c:v>599.66922277966887</c:v>
                </c:pt>
                <c:pt idx="171">
                  <c:v>599.66922277966887</c:v>
                </c:pt>
                <c:pt idx="172">
                  <c:v>599.66922277966887</c:v>
                </c:pt>
                <c:pt idx="173">
                  <c:v>599.66922277966887</c:v>
                </c:pt>
                <c:pt idx="174">
                  <c:v>599.66922277966887</c:v>
                </c:pt>
                <c:pt idx="175">
                  <c:v>599.66922277966887</c:v>
                </c:pt>
                <c:pt idx="176">
                  <c:v>599.66922277966887</c:v>
                </c:pt>
                <c:pt idx="177">
                  <c:v>599.66922277966887</c:v>
                </c:pt>
                <c:pt idx="178">
                  <c:v>599.66922277966887</c:v>
                </c:pt>
                <c:pt idx="179">
                  <c:v>599.66922277966887</c:v>
                </c:pt>
                <c:pt idx="180">
                  <c:v>599.66922277966887</c:v>
                </c:pt>
                <c:pt idx="181">
                  <c:v>599.66922277966887</c:v>
                </c:pt>
                <c:pt idx="182">
                  <c:v>599.66922277966887</c:v>
                </c:pt>
                <c:pt idx="183">
                  <c:v>599.66922277966887</c:v>
                </c:pt>
                <c:pt idx="184">
                  <c:v>599.66922277966887</c:v>
                </c:pt>
                <c:pt idx="185">
                  <c:v>599.66922277966887</c:v>
                </c:pt>
                <c:pt idx="186">
                  <c:v>599.66922277966887</c:v>
                </c:pt>
                <c:pt idx="187">
                  <c:v>599.66922277966887</c:v>
                </c:pt>
                <c:pt idx="188">
                  <c:v>599.66922277966887</c:v>
                </c:pt>
                <c:pt idx="189">
                  <c:v>599.66922277966887</c:v>
                </c:pt>
                <c:pt idx="190">
                  <c:v>599.66922277966887</c:v>
                </c:pt>
                <c:pt idx="191">
                  <c:v>599.66922277966887</c:v>
                </c:pt>
                <c:pt idx="192">
                  <c:v>599.66922277966887</c:v>
                </c:pt>
                <c:pt idx="193">
                  <c:v>599.66922277966887</c:v>
                </c:pt>
                <c:pt idx="194">
                  <c:v>599.66922277966887</c:v>
                </c:pt>
                <c:pt idx="195">
                  <c:v>599.66922277966887</c:v>
                </c:pt>
                <c:pt idx="196">
                  <c:v>599.66922277966887</c:v>
                </c:pt>
                <c:pt idx="197">
                  <c:v>599.66922277966887</c:v>
                </c:pt>
                <c:pt idx="198">
                  <c:v>599.66922277966887</c:v>
                </c:pt>
                <c:pt idx="199">
                  <c:v>599.66922277966887</c:v>
                </c:pt>
                <c:pt idx="200">
                  <c:v>599.66922277966887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2.1237189913231678</c:v>
                </c:pt>
                <c:pt idx="2">
                  <c:v>3.0253700022666052</c:v>
                </c:pt>
                <c:pt idx="3">
                  <c:v>4.3115167795625569</c:v>
                </c:pt>
                <c:pt idx="4">
                  <c:v>6.1467989772345639</c:v>
                </c:pt>
                <c:pt idx="5">
                  <c:v>8.7666246330682682</c:v>
                </c:pt>
                <c:pt idx="6">
                  <c:v>12.507696568207841</c:v>
                </c:pt>
                <c:pt idx="7">
                  <c:v>17.851749103119062</c:v>
                </c:pt>
                <c:pt idx="8">
                  <c:v>25.488228656184429</c:v>
                </c:pt>
                <c:pt idx="9">
                  <c:v>36.404146890798167</c:v>
                </c:pt>
                <c:pt idx="10">
                  <c:v>52.012918570327365</c:v>
                </c:pt>
                <c:pt idx="11">
                  <c:v>74.339143952432011</c:v>
                </c:pt>
                <c:pt idx="12">
                  <c:v>106.28369157166001</c:v>
                </c:pt>
                <c:pt idx="13">
                  <c:v>152.00406559072414</c:v>
                </c:pt>
                <c:pt idx="14">
                  <c:v>217.46031790467353</c:v>
                </c:pt>
                <c:pt idx="15">
                  <c:v>311.19872503209297</c:v>
                </c:pt>
                <c:pt idx="16">
                  <c:v>445.4770232325854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2.6202873647055487</c:v>
                </c:pt>
                <c:pt idx="2">
                  <c:v>3.3014890700969475</c:v>
                </c:pt>
                <c:pt idx="3">
                  <c:v>4.1604758697806128</c:v>
                </c:pt>
                <c:pt idx="4">
                  <c:v>5.2438175769854629</c:v>
                </c:pt>
                <c:pt idx="5">
                  <c:v>6.6103243965889789</c:v>
                </c:pt>
                <c:pt idx="6">
                  <c:v>8.3342743628219527</c:v>
                </c:pt>
                <c:pt idx="7">
                  <c:v>10.509494235432264</c:v>
                </c:pt>
                <c:pt idx="8">
                  <c:v>13.25452014211402</c:v>
                </c:pt>
                <c:pt idx="9">
                  <c:v>16.71912439869411</c:v>
                </c:pt>
                <c:pt idx="10">
                  <c:v>21.092571102519226</c:v>
                </c:pt>
                <c:pt idx="11">
                  <c:v>40.959654766376069</c:v>
                </c:pt>
                <c:pt idx="12">
                  <c:v>60.556368030357454</c:v>
                </c:pt>
                <c:pt idx="13">
                  <c:v>79.985715393823597</c:v>
                </c:pt>
                <c:pt idx="14">
                  <c:v>99.294672325256599</c:v>
                </c:pt>
                <c:pt idx="15">
                  <c:v>118.51011399861339</c:v>
                </c:pt>
                <c:pt idx="16">
                  <c:v>85.717976445344206</c:v>
                </c:pt>
                <c:pt idx="17">
                  <c:v>109.9801976137059</c:v>
                </c:pt>
                <c:pt idx="18">
                  <c:v>134.11022621722108</c:v>
                </c:pt>
                <c:pt idx="19">
                  <c:v>158.13531316832263</c:v>
                </c:pt>
                <c:pt idx="20">
                  <c:v>182.07368538348692</c:v>
                </c:pt>
                <c:pt idx="21">
                  <c:v>146.4878835393109</c:v>
                </c:pt>
                <c:pt idx="22">
                  <c:v>172.5782022160528</c:v>
                </c:pt>
                <c:pt idx="23">
                  <c:v>198.57561628436054</c:v>
                </c:pt>
                <c:pt idx="24">
                  <c:v>224.49401164296523</c:v>
                </c:pt>
                <c:pt idx="25">
                  <c:v>250.34379664975131</c:v>
                </c:pt>
                <c:pt idx="26">
                  <c:v>213.99534899736284</c:v>
                </c:pt>
                <c:pt idx="27">
                  <c:v>238.82410470699162</c:v>
                </c:pt>
                <c:pt idx="28">
                  <c:v>263.5940496944483</c:v>
                </c:pt>
                <c:pt idx="29">
                  <c:v>288.31148567604191</c:v>
                </c:pt>
                <c:pt idx="30">
                  <c:v>312.98154497816944</c:v>
                </c:pt>
                <c:pt idx="31">
                  <c:v>274.74047191396761</c:v>
                </c:pt>
                <c:pt idx="32">
                  <c:v>297.35084841658909</c:v>
                </c:pt>
                <c:pt idx="33">
                  <c:v>319.92290747907691</c:v>
                </c:pt>
                <c:pt idx="34">
                  <c:v>342.45973119739165</c:v>
                </c:pt>
                <c:pt idx="35">
                  <c:v>364.96396296815789</c:v>
                </c:pt>
                <c:pt idx="36">
                  <c:v>324.08611998804457</c:v>
                </c:pt>
                <c:pt idx="37">
                  <c:v>343.84552311327383</c:v>
                </c:pt>
                <c:pt idx="38">
                  <c:v>363.5799840007133</c:v>
                </c:pt>
                <c:pt idx="39">
                  <c:v>383.29104626329894</c:v>
                </c:pt>
                <c:pt idx="40">
                  <c:v>402.98008185125178</c:v>
                </c:pt>
                <c:pt idx="41">
                  <c:v>359.42735412725943</c:v>
                </c:pt>
                <c:pt idx="42">
                  <c:v>376.37745953930602</c:v>
                </c:pt>
                <c:pt idx="43">
                  <c:v>393.31094714884631</c:v>
                </c:pt>
                <c:pt idx="44">
                  <c:v>410.228632896401</c:v>
                </c:pt>
                <c:pt idx="45">
                  <c:v>427.13125995293149</c:v>
                </c:pt>
                <c:pt idx="46">
                  <c:v>400.21798993353849</c:v>
                </c:pt>
                <c:pt idx="47">
                  <c:v>414.71444195012668</c:v>
                </c:pt>
                <c:pt idx="48">
                  <c:v>429.19996819929179</c:v>
                </c:pt>
                <c:pt idx="49">
                  <c:v>443.67498930140272</c:v>
                </c:pt>
                <c:pt idx="50">
                  <c:v>458.1398961971957</c:v>
                </c:pt>
                <c:pt idx="51">
                  <c:v>438.16190875664512</c:v>
                </c:pt>
                <c:pt idx="52">
                  <c:v>450.90868366625449</c:v>
                </c:pt>
                <c:pt idx="53">
                  <c:v>463.6477533371106</c:v>
                </c:pt>
                <c:pt idx="54">
                  <c:v>476.3793592915211</c:v>
                </c:pt>
                <c:pt idx="55">
                  <c:v>489.1037290903123</c:v>
                </c:pt>
                <c:pt idx="56">
                  <c:v>472.59505313253635</c:v>
                </c:pt>
                <c:pt idx="57">
                  <c:v>483.60217285660264</c:v>
                </c:pt>
                <c:pt idx="58">
                  <c:v>494.60397248668642</c:v>
                </c:pt>
                <c:pt idx="59">
                  <c:v>505.60058704475279</c:v>
                </c:pt>
                <c:pt idx="60">
                  <c:v>516.59214520035391</c:v>
                </c:pt>
                <c:pt idx="61">
                  <c:v>501.47745591010653</c:v>
                </c:pt>
                <c:pt idx="62">
                  <c:v>510.41000854334516</c:v>
                </c:pt>
                <c:pt idx="63">
                  <c:v>519.33925918522505</c:v>
                </c:pt>
                <c:pt idx="64">
                  <c:v>528.26527262385036</c:v>
                </c:pt>
                <c:pt idx="65">
                  <c:v>537.18811127897254</c:v>
                </c:pt>
                <c:pt idx="66">
                  <c:v>522.42939619004278</c:v>
                </c:pt>
                <c:pt idx="67">
                  <c:v>529.98144780881648</c:v>
                </c:pt>
                <c:pt idx="68">
                  <c:v>537.53123480300735</c:v>
                </c:pt>
                <c:pt idx="69">
                  <c:v>545.07879347460812</c:v>
                </c:pt>
                <c:pt idx="70">
                  <c:v>552.62415903802264</c:v>
                </c:pt>
                <c:pt idx="71">
                  <c:v>537.53123480300735</c:v>
                </c:pt>
                <c:pt idx="72">
                  <c:v>544.73577046597154</c:v>
                </c:pt>
                <c:pt idx="73">
                  <c:v>551.93830643246702</c:v>
                </c:pt>
                <c:pt idx="74">
                  <c:v>559.13887248512401</c:v>
                </c:pt>
                <c:pt idx="75">
                  <c:v>566.33749757672797</c:v>
                </c:pt>
                <c:pt idx="76">
                  <c:v>551.93830643246702</c:v>
                </c:pt>
                <c:pt idx="77">
                  <c:v>558.11033969274683</c:v>
                </c:pt>
                <c:pt idx="78">
                  <c:v>564.28094395143182</c:v>
                </c:pt>
                <c:pt idx="79">
                  <c:v>570.45013704480994</c:v>
                </c:pt>
                <c:pt idx="80">
                  <c:v>576.617936391787</c:v>
                </c:pt>
                <c:pt idx="81">
                  <c:v>557.76748661196768</c:v>
                </c:pt>
                <c:pt idx="82">
                  <c:v>557.76748661196768</c:v>
                </c:pt>
                <c:pt idx="83">
                  <c:v>557.76748661196768</c:v>
                </c:pt>
                <c:pt idx="84">
                  <c:v>557.76748661196768</c:v>
                </c:pt>
                <c:pt idx="85">
                  <c:v>557.76748661196768</c:v>
                </c:pt>
                <c:pt idx="86">
                  <c:v>557.76748661196768</c:v>
                </c:pt>
                <c:pt idx="87">
                  <c:v>557.76748661196768</c:v>
                </c:pt>
                <c:pt idx="88">
                  <c:v>557.76748661196768</c:v>
                </c:pt>
                <c:pt idx="89">
                  <c:v>557.76748661196768</c:v>
                </c:pt>
                <c:pt idx="90">
                  <c:v>557.76748661196768</c:v>
                </c:pt>
                <c:pt idx="91">
                  <c:v>557.76748661196768</c:v>
                </c:pt>
                <c:pt idx="92">
                  <c:v>557.76748661196768</c:v>
                </c:pt>
                <c:pt idx="93">
                  <c:v>557.76748661196768</c:v>
                </c:pt>
                <c:pt idx="94">
                  <c:v>557.76748661196768</c:v>
                </c:pt>
                <c:pt idx="95">
                  <c:v>557.76748661196768</c:v>
                </c:pt>
                <c:pt idx="96">
                  <c:v>557.76748661196768</c:v>
                </c:pt>
                <c:pt idx="97">
                  <c:v>557.76748661196768</c:v>
                </c:pt>
                <c:pt idx="98">
                  <c:v>557.76748661196768</c:v>
                </c:pt>
                <c:pt idx="99">
                  <c:v>557.76748661196768</c:v>
                </c:pt>
                <c:pt idx="100">
                  <c:v>557.76748661196768</c:v>
                </c:pt>
                <c:pt idx="101">
                  <c:v>557.76748661196768</c:v>
                </c:pt>
                <c:pt idx="102">
                  <c:v>557.76748661196768</c:v>
                </c:pt>
                <c:pt idx="103">
                  <c:v>557.76748661196768</c:v>
                </c:pt>
                <c:pt idx="104">
                  <c:v>557.76748661196768</c:v>
                </c:pt>
                <c:pt idx="105">
                  <c:v>557.76748661196768</c:v>
                </c:pt>
                <c:pt idx="106">
                  <c:v>557.76748661196768</c:v>
                </c:pt>
                <c:pt idx="107">
                  <c:v>557.76748661196768</c:v>
                </c:pt>
                <c:pt idx="108">
                  <c:v>557.76748661196768</c:v>
                </c:pt>
                <c:pt idx="109">
                  <c:v>557.76748661196768</c:v>
                </c:pt>
                <c:pt idx="110">
                  <c:v>557.76748661196768</c:v>
                </c:pt>
                <c:pt idx="111">
                  <c:v>557.76748661196768</c:v>
                </c:pt>
                <c:pt idx="112">
                  <c:v>557.76748661196768</c:v>
                </c:pt>
                <c:pt idx="113">
                  <c:v>557.76748661196768</c:v>
                </c:pt>
                <c:pt idx="114">
                  <c:v>557.76748661196768</c:v>
                </c:pt>
                <c:pt idx="115">
                  <c:v>557.76748661196768</c:v>
                </c:pt>
                <c:pt idx="116">
                  <c:v>557.76748661196768</c:v>
                </c:pt>
                <c:pt idx="117">
                  <c:v>557.76748661196768</c:v>
                </c:pt>
                <c:pt idx="118">
                  <c:v>557.76748661196768</c:v>
                </c:pt>
                <c:pt idx="119">
                  <c:v>557.76748661196768</c:v>
                </c:pt>
                <c:pt idx="120">
                  <c:v>557.76748661196768</c:v>
                </c:pt>
                <c:pt idx="121">
                  <c:v>557.76748661196768</c:v>
                </c:pt>
                <c:pt idx="122">
                  <c:v>557.76748661196768</c:v>
                </c:pt>
                <c:pt idx="123">
                  <c:v>557.76748661196768</c:v>
                </c:pt>
                <c:pt idx="124">
                  <c:v>557.76748661196768</c:v>
                </c:pt>
                <c:pt idx="125">
                  <c:v>557.76748661196768</c:v>
                </c:pt>
                <c:pt idx="126">
                  <c:v>557.76748661196768</c:v>
                </c:pt>
                <c:pt idx="127">
                  <c:v>557.76748661196768</c:v>
                </c:pt>
                <c:pt idx="128">
                  <c:v>557.76748661196768</c:v>
                </c:pt>
                <c:pt idx="129">
                  <c:v>557.76748661196768</c:v>
                </c:pt>
                <c:pt idx="130">
                  <c:v>557.76748661196768</c:v>
                </c:pt>
                <c:pt idx="131">
                  <c:v>557.76748661196768</c:v>
                </c:pt>
                <c:pt idx="132">
                  <c:v>557.76748661196768</c:v>
                </c:pt>
                <c:pt idx="133">
                  <c:v>557.76748661196768</c:v>
                </c:pt>
                <c:pt idx="134">
                  <c:v>557.76748661196768</c:v>
                </c:pt>
                <c:pt idx="135">
                  <c:v>557.76748661196768</c:v>
                </c:pt>
                <c:pt idx="136">
                  <c:v>557.76748661196768</c:v>
                </c:pt>
                <c:pt idx="137">
                  <c:v>557.76748661196768</c:v>
                </c:pt>
                <c:pt idx="138">
                  <c:v>557.76748661196768</c:v>
                </c:pt>
                <c:pt idx="139">
                  <c:v>557.76748661196768</c:v>
                </c:pt>
                <c:pt idx="140">
                  <c:v>557.76748661196768</c:v>
                </c:pt>
                <c:pt idx="141">
                  <c:v>557.76748661196768</c:v>
                </c:pt>
                <c:pt idx="142">
                  <c:v>557.76748661196768</c:v>
                </c:pt>
                <c:pt idx="143">
                  <c:v>557.76748661196768</c:v>
                </c:pt>
                <c:pt idx="144">
                  <c:v>557.76748661196768</c:v>
                </c:pt>
                <c:pt idx="145">
                  <c:v>557.76748661196768</c:v>
                </c:pt>
                <c:pt idx="146">
                  <c:v>557.76748661196768</c:v>
                </c:pt>
                <c:pt idx="147">
                  <c:v>557.76748661196768</c:v>
                </c:pt>
                <c:pt idx="148">
                  <c:v>557.76748661196768</c:v>
                </c:pt>
                <c:pt idx="149">
                  <c:v>557.76748661196768</c:v>
                </c:pt>
                <c:pt idx="150">
                  <c:v>557.76748661196768</c:v>
                </c:pt>
                <c:pt idx="151">
                  <c:v>557.76748661196768</c:v>
                </c:pt>
                <c:pt idx="152">
                  <c:v>557.76748661196768</c:v>
                </c:pt>
                <c:pt idx="153">
                  <c:v>557.76748661196768</c:v>
                </c:pt>
                <c:pt idx="154">
                  <c:v>557.76748661196768</c:v>
                </c:pt>
                <c:pt idx="155">
                  <c:v>557.76748661196768</c:v>
                </c:pt>
                <c:pt idx="156">
                  <c:v>557.76748661196768</c:v>
                </c:pt>
                <c:pt idx="157">
                  <c:v>557.76748661196768</c:v>
                </c:pt>
                <c:pt idx="158">
                  <c:v>557.76748661196768</c:v>
                </c:pt>
                <c:pt idx="159">
                  <c:v>557.76748661196768</c:v>
                </c:pt>
                <c:pt idx="160">
                  <c:v>557.76748661196768</c:v>
                </c:pt>
                <c:pt idx="161">
                  <c:v>557.76748661196768</c:v>
                </c:pt>
                <c:pt idx="162">
                  <c:v>557.76748661196768</c:v>
                </c:pt>
                <c:pt idx="163">
                  <c:v>557.76748661196768</c:v>
                </c:pt>
                <c:pt idx="164">
                  <c:v>557.76748661196768</c:v>
                </c:pt>
                <c:pt idx="165">
                  <c:v>557.76748661196768</c:v>
                </c:pt>
                <c:pt idx="166">
                  <c:v>557.76748661196768</c:v>
                </c:pt>
                <c:pt idx="167">
                  <c:v>557.76748661196768</c:v>
                </c:pt>
                <c:pt idx="168">
                  <c:v>557.76748661196768</c:v>
                </c:pt>
                <c:pt idx="169">
                  <c:v>557.76748661196768</c:v>
                </c:pt>
                <c:pt idx="170">
                  <c:v>557.76748661196768</c:v>
                </c:pt>
                <c:pt idx="171">
                  <c:v>557.76748661196768</c:v>
                </c:pt>
                <c:pt idx="172">
                  <c:v>557.76748661196768</c:v>
                </c:pt>
                <c:pt idx="173">
                  <c:v>557.76748661196768</c:v>
                </c:pt>
                <c:pt idx="174">
                  <c:v>557.76748661196768</c:v>
                </c:pt>
                <c:pt idx="175">
                  <c:v>557.76748661196768</c:v>
                </c:pt>
                <c:pt idx="176">
                  <c:v>557.76748661196768</c:v>
                </c:pt>
                <c:pt idx="177">
                  <c:v>557.76748661196768</c:v>
                </c:pt>
                <c:pt idx="178">
                  <c:v>557.76748661196768</c:v>
                </c:pt>
                <c:pt idx="179">
                  <c:v>557.76748661196768</c:v>
                </c:pt>
                <c:pt idx="180">
                  <c:v>557.76748661196768</c:v>
                </c:pt>
                <c:pt idx="181">
                  <c:v>557.76748661196768</c:v>
                </c:pt>
                <c:pt idx="182">
                  <c:v>557.76748661196768</c:v>
                </c:pt>
                <c:pt idx="183">
                  <c:v>557.76748661196768</c:v>
                </c:pt>
                <c:pt idx="184">
                  <c:v>557.76748661196768</c:v>
                </c:pt>
                <c:pt idx="185">
                  <c:v>557.76748661196768</c:v>
                </c:pt>
                <c:pt idx="186">
                  <c:v>557.76748661196768</c:v>
                </c:pt>
                <c:pt idx="187">
                  <c:v>557.76748661196768</c:v>
                </c:pt>
                <c:pt idx="188">
                  <c:v>557.76748661196768</c:v>
                </c:pt>
                <c:pt idx="189">
                  <c:v>557.76748661196768</c:v>
                </c:pt>
                <c:pt idx="190">
                  <c:v>557.76748661196768</c:v>
                </c:pt>
                <c:pt idx="191">
                  <c:v>557.76748661196768</c:v>
                </c:pt>
                <c:pt idx="192">
                  <c:v>557.76748661196768</c:v>
                </c:pt>
                <c:pt idx="193">
                  <c:v>557.76748661196768</c:v>
                </c:pt>
                <c:pt idx="194">
                  <c:v>557.76748661196768</c:v>
                </c:pt>
                <c:pt idx="195">
                  <c:v>557.76748661196768</c:v>
                </c:pt>
                <c:pt idx="196">
                  <c:v>557.76748661196768</c:v>
                </c:pt>
                <c:pt idx="197">
                  <c:v>557.76748661196768</c:v>
                </c:pt>
                <c:pt idx="198">
                  <c:v>557.76748661196768</c:v>
                </c:pt>
                <c:pt idx="199">
                  <c:v>557.76748661196768</c:v>
                </c:pt>
                <c:pt idx="200">
                  <c:v>557.76748661196768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2.1621606926907542</c:v>
                </c:pt>
                <c:pt idx="2">
                  <c:v>3.1360152013230191</c:v>
                </c:pt>
                <c:pt idx="3">
                  <c:v>4.5504660358661511</c:v>
                </c:pt>
                <c:pt idx="4">
                  <c:v>6.6056851431074817</c:v>
                </c:pt>
                <c:pt idx="5">
                  <c:v>9.5931400833592146</c:v>
                </c:pt>
                <c:pt idx="6">
                  <c:v>13.937381606967982</c:v>
                </c:pt>
                <c:pt idx="7">
                  <c:v>20.257020645113226</c:v>
                </c:pt>
                <c:pt idx="8">
                  <c:v>29.453732902810156</c:v>
                </c:pt>
                <c:pt idx="9">
                  <c:v>42.842210805004434</c:v>
                </c:pt>
                <c:pt idx="10">
                  <c:v>62.339953548678302</c:v>
                </c:pt>
                <c:pt idx="11">
                  <c:v>90.744522994247518</c:v>
                </c:pt>
                <c:pt idx="12">
                  <c:v>132.13868004450811</c:v>
                </c:pt>
                <c:pt idx="13">
                  <c:v>192.48253407126882</c:v>
                </c:pt>
                <c:pt idx="14">
                  <c:v>280.4792431650331</c:v>
                </c:pt>
                <c:pt idx="15">
                  <c:v>408.84093493674874</c:v>
                </c:pt>
                <c:pt idx="16">
                  <c:v>596.14029708787041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9" zoomScale="90" zoomScaleNormal="90" workbookViewId="0">
      <selection activeCell="C16" sqref="C9:C1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2.5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23</v>
      </c>
      <c r="C9" s="35">
        <v>6.4000000000000001E-2</v>
      </c>
      <c r="D9" s="36">
        <f t="shared" ref="D9:D18" si="0">C9*$C$5</f>
        <v>0.16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4</v>
      </c>
      <c r="C10" s="35">
        <v>5.7599999999999998E-2</v>
      </c>
      <c r="D10" s="36">
        <f t="shared" si="0"/>
        <v>0.14399999999999999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50</v>
      </c>
      <c r="C11" s="35">
        <v>3.2000000000000001E-2</v>
      </c>
      <c r="D11" s="36">
        <f t="shared" si="0"/>
        <v>0.08</v>
      </c>
      <c r="E11" s="37">
        <v>115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29</v>
      </c>
      <c r="C12" s="35">
        <v>1.6E-2</v>
      </c>
      <c r="D12" s="36">
        <f t="shared" si="0"/>
        <v>0.04</v>
      </c>
      <c r="E12" s="37">
        <v>69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21</v>
      </c>
      <c r="C13" s="35">
        <v>1.6E-2</v>
      </c>
      <c r="D13" s="36">
        <f t="shared" si="0"/>
        <v>0.04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118</v>
      </c>
      <c r="C14" s="35">
        <v>0.496</v>
      </c>
      <c r="D14" s="36">
        <f t="shared" si="0"/>
        <v>1.24</v>
      </c>
      <c r="E14" s="37">
        <v>16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30</v>
      </c>
      <c r="C15" s="35">
        <v>0.1024</v>
      </c>
      <c r="D15" s="36">
        <f t="shared" si="0"/>
        <v>0.25600000000000001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118</v>
      </c>
      <c r="C16" s="35">
        <v>0.216</v>
      </c>
      <c r="D16" s="36">
        <f t="shared" si="0"/>
        <v>0.54</v>
      </c>
      <c r="E16" s="37">
        <v>16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Erable sycomore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10</v>
      </c>
      <c r="B36" s="63">
        <v>11</v>
      </c>
      <c r="C36" s="63">
        <v>1</v>
      </c>
      <c r="D36" s="63">
        <v>0</v>
      </c>
      <c r="E36" s="54"/>
      <c r="F36" s="54">
        <v>1</v>
      </c>
      <c r="G36" s="54"/>
      <c r="H36" s="54"/>
      <c r="I36" s="52">
        <f>IFERROR(B36/A36,"")</f>
        <v>1.1000000000000001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15</v>
      </c>
      <c r="B37" s="63">
        <v>65</v>
      </c>
      <c r="C37" s="63">
        <v>2</v>
      </c>
      <c r="D37" s="63">
        <v>32</v>
      </c>
      <c r="E37" s="54">
        <v>0.2</v>
      </c>
      <c r="F37" s="54">
        <v>0.8</v>
      </c>
      <c r="G37" s="54"/>
      <c r="H37" s="54"/>
      <c r="I37" s="56">
        <f t="shared" ref="I37:I55" si="1">IF(A37&lt;&gt;0,(B37-(B36-D36))/(A37-A36),"")</f>
        <v>10.8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20</v>
      </c>
      <c r="B38" s="63">
        <v>101</v>
      </c>
      <c r="C38" s="63">
        <v>3</v>
      </c>
      <c r="D38" s="63">
        <v>35</v>
      </c>
      <c r="E38" s="54">
        <v>0.4</v>
      </c>
      <c r="F38" s="54">
        <v>0.6</v>
      </c>
      <c r="G38" s="54"/>
      <c r="H38" s="54"/>
      <c r="I38" s="56">
        <f t="shared" si="1"/>
        <v>13.6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25</v>
      </c>
      <c r="B39" s="63">
        <v>140</v>
      </c>
      <c r="C39" s="63">
        <v>4</v>
      </c>
      <c r="D39" s="63">
        <v>35</v>
      </c>
      <c r="E39" s="54">
        <v>0.4</v>
      </c>
      <c r="F39" s="54">
        <v>0.6</v>
      </c>
      <c r="G39" s="54"/>
      <c r="H39" s="54"/>
      <c r="I39" s="52">
        <f t="shared" si="1"/>
        <v>14.8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30</v>
      </c>
      <c r="B40" s="63">
        <v>176</v>
      </c>
      <c r="C40" s="63">
        <v>5</v>
      </c>
      <c r="D40" s="63">
        <v>35</v>
      </c>
      <c r="E40" s="54"/>
      <c r="F40" s="54"/>
      <c r="G40" s="54"/>
      <c r="H40" s="54"/>
      <c r="I40" s="52">
        <f t="shared" si="1"/>
        <v>14.2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35</v>
      </c>
      <c r="B41" s="63">
        <v>206</v>
      </c>
      <c r="C41" s="63">
        <v>6</v>
      </c>
      <c r="D41" s="63">
        <v>35</v>
      </c>
      <c r="E41" s="54"/>
      <c r="F41" s="54"/>
      <c r="G41" s="54"/>
      <c r="H41" s="54"/>
      <c r="I41" s="56">
        <f t="shared" si="1"/>
        <v>13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40</v>
      </c>
      <c r="B42" s="63">
        <v>228</v>
      </c>
      <c r="C42" s="63">
        <v>7</v>
      </c>
      <c r="D42" s="63">
        <v>35</v>
      </c>
      <c r="E42" s="54"/>
      <c r="F42" s="54"/>
      <c r="G42" s="54"/>
      <c r="H42" s="54"/>
      <c r="I42" s="56">
        <f t="shared" si="1"/>
        <v>11.4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45</v>
      </c>
      <c r="B43" s="63">
        <v>242</v>
      </c>
      <c r="C43" s="63">
        <v>8</v>
      </c>
      <c r="D43" s="63">
        <v>24</v>
      </c>
      <c r="E43" s="54"/>
      <c r="F43" s="54"/>
      <c r="G43" s="54"/>
      <c r="H43" s="54"/>
      <c r="I43" s="52">
        <f t="shared" si="1"/>
        <v>9.8000000000000007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50</v>
      </c>
      <c r="B44" s="63">
        <v>260</v>
      </c>
      <c r="C44" s="63">
        <v>9</v>
      </c>
      <c r="D44" s="63">
        <v>19</v>
      </c>
      <c r="E44" s="54"/>
      <c r="F44" s="54"/>
      <c r="G44" s="54"/>
      <c r="H44" s="54"/>
      <c r="I44" s="52">
        <f t="shared" si="1"/>
        <v>8.4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55</v>
      </c>
      <c r="B45" s="63">
        <v>278</v>
      </c>
      <c r="C45" s="63">
        <v>10</v>
      </c>
      <c r="D45" s="63">
        <v>16</v>
      </c>
      <c r="E45" s="54"/>
      <c r="F45" s="54"/>
      <c r="G45" s="54"/>
      <c r="H45" s="54"/>
      <c r="I45" s="52">
        <f t="shared" si="1"/>
        <v>7.4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60</v>
      </c>
      <c r="B46" s="63">
        <v>294</v>
      </c>
      <c r="C46" s="63">
        <v>11</v>
      </c>
      <c r="D46" s="63">
        <v>14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65</v>
      </c>
      <c r="B47" s="63">
        <v>306</v>
      </c>
      <c r="C47" s="63">
        <v>12</v>
      </c>
      <c r="D47" s="63">
        <v>13</v>
      </c>
      <c r="E47" s="54"/>
      <c r="F47" s="54"/>
      <c r="G47" s="54"/>
      <c r="H47" s="54"/>
      <c r="I47" s="52">
        <f t="shared" si="1"/>
        <v>5.2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70</v>
      </c>
      <c r="B48" s="63">
        <v>315</v>
      </c>
      <c r="C48" s="63">
        <v>13</v>
      </c>
      <c r="D48" s="63">
        <v>13</v>
      </c>
      <c r="E48" s="54"/>
      <c r="F48" s="54"/>
      <c r="G48" s="54"/>
      <c r="H48" s="54"/>
      <c r="I48" s="52">
        <f t="shared" si="1"/>
        <v>4.4000000000000004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75</v>
      </c>
      <c r="B49" s="63">
        <v>323</v>
      </c>
      <c r="C49" s="63">
        <v>14</v>
      </c>
      <c r="D49" s="63">
        <v>12</v>
      </c>
      <c r="E49" s="54"/>
      <c r="F49" s="54"/>
      <c r="G49" s="54"/>
      <c r="H49" s="54"/>
      <c r="I49" s="52">
        <f t="shared" si="1"/>
        <v>4.2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80</v>
      </c>
      <c r="B50" s="53">
        <v>329</v>
      </c>
      <c r="C50" s="53">
        <v>15</v>
      </c>
      <c r="D50" s="53">
        <v>11</v>
      </c>
      <c r="E50" s="54"/>
      <c r="F50" s="54"/>
      <c r="G50" s="54"/>
      <c r="H50" s="54"/>
      <c r="I50" s="52">
        <f t="shared" si="1"/>
        <v>3.6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Aulne glutineux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10</v>
      </c>
      <c r="B62" s="63">
        <v>8</v>
      </c>
      <c r="C62" s="63">
        <v>1</v>
      </c>
      <c r="D62" s="63">
        <v>1</v>
      </c>
      <c r="E62" s="54"/>
      <c r="F62" s="54"/>
      <c r="G62" s="54">
        <v>1</v>
      </c>
      <c r="H62" s="54"/>
      <c r="I62" s="56">
        <f>IFERROR(B62/A62,"")</f>
        <v>0.8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15</v>
      </c>
      <c r="B63" s="63">
        <v>33</v>
      </c>
      <c r="C63" s="63">
        <v>2</v>
      </c>
      <c r="D63" s="63">
        <v>3</v>
      </c>
      <c r="E63" s="54"/>
      <c r="F63" s="54"/>
      <c r="G63" s="54">
        <v>1</v>
      </c>
      <c r="H63" s="54"/>
      <c r="I63" s="52">
        <f>IF(A63&lt;&gt;0,(B63-(B62-D62))/(A63-A62),"")</f>
        <v>5.2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20</v>
      </c>
      <c r="B64" s="63">
        <v>75</v>
      </c>
      <c r="C64" s="63">
        <v>3</v>
      </c>
      <c r="D64" s="63">
        <v>9</v>
      </c>
      <c r="E64" s="54"/>
      <c r="F64" s="54"/>
      <c r="G64" s="93">
        <v>1</v>
      </c>
      <c r="H64" s="54"/>
      <c r="I64" s="52">
        <f>IF(A64&lt;&gt;0,(B64-(B63-D63))/(A64-A63),"")</f>
        <v>9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25</v>
      </c>
      <c r="B65" s="63">
        <v>98</v>
      </c>
      <c r="C65" s="63">
        <v>4</v>
      </c>
      <c r="D65" s="63">
        <v>18</v>
      </c>
      <c r="E65" s="54"/>
      <c r="F65" s="54"/>
      <c r="G65" s="54"/>
      <c r="H65" s="54"/>
      <c r="I65" s="52">
        <f>IF(A65&lt;&gt;0,(B65-(B64-D64))/(A65-A64),"")</f>
        <v>6.4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30</v>
      </c>
      <c r="B66" s="63">
        <v>117</v>
      </c>
      <c r="C66" s="63">
        <v>5</v>
      </c>
      <c r="D66" s="63">
        <v>20</v>
      </c>
      <c r="E66" s="54"/>
      <c r="F66" s="54"/>
      <c r="G66" s="54"/>
      <c r="H66" s="54"/>
      <c r="I66" s="52">
        <f t="shared" ref="I66:I81" si="2">IF(A66&lt;&gt;0,(B66-(B65-D65))/(A66-A65),"")</f>
        <v>7.4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35</v>
      </c>
      <c r="B67" s="63">
        <v>132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40</v>
      </c>
      <c r="B68" s="63">
        <v>145</v>
      </c>
      <c r="C68" s="63">
        <v>7</v>
      </c>
      <c r="D68" s="63">
        <v>22</v>
      </c>
      <c r="E68" s="54"/>
      <c r="F68" s="54"/>
      <c r="G68" s="54"/>
      <c r="H68" s="54"/>
      <c r="I68" s="52">
        <f t="shared" si="2"/>
        <v>6.8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45</v>
      </c>
      <c r="B69" s="53">
        <v>155</v>
      </c>
      <c r="C69" s="63">
        <v>8</v>
      </c>
      <c r="D69" s="53">
        <v>22</v>
      </c>
      <c r="E69" s="54"/>
      <c r="F69" s="54"/>
      <c r="G69" s="54"/>
      <c r="H69" s="54"/>
      <c r="I69" s="52">
        <f t="shared" si="2"/>
        <v>6.4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50</v>
      </c>
      <c r="B70" s="53">
        <v>163</v>
      </c>
      <c r="C70" s="63">
        <v>9</v>
      </c>
      <c r="D70" s="53">
        <v>21</v>
      </c>
      <c r="E70" s="54"/>
      <c r="F70" s="54"/>
      <c r="G70" s="54"/>
      <c r="H70" s="54"/>
      <c r="I70" s="52">
        <f t="shared" si="2"/>
        <v>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55</v>
      </c>
      <c r="B71" s="53">
        <v>171</v>
      </c>
      <c r="C71" s="63">
        <v>10</v>
      </c>
      <c r="D71" s="53">
        <v>20</v>
      </c>
      <c r="E71" s="54"/>
      <c r="F71" s="54"/>
      <c r="G71" s="54"/>
      <c r="H71" s="54"/>
      <c r="I71" s="52">
        <f t="shared" si="2"/>
        <v>5.8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60</v>
      </c>
      <c r="B72" s="53">
        <v>177</v>
      </c>
      <c r="C72" s="63">
        <v>11</v>
      </c>
      <c r="D72" s="53">
        <v>19</v>
      </c>
      <c r="E72" s="54"/>
      <c r="F72" s="54"/>
      <c r="G72" s="54"/>
      <c r="H72" s="54"/>
      <c r="I72" s="52">
        <f t="shared" si="2"/>
        <v>5.2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65</v>
      </c>
      <c r="B73" s="53">
        <v>183</v>
      </c>
      <c r="C73" s="63">
        <v>12</v>
      </c>
      <c r="D73" s="53">
        <v>18</v>
      </c>
      <c r="E73" s="54"/>
      <c r="F73" s="54"/>
      <c r="G73" s="54"/>
      <c r="H73" s="54"/>
      <c r="I73" s="52">
        <f t="shared" si="2"/>
        <v>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70</v>
      </c>
      <c r="B74" s="53">
        <v>188</v>
      </c>
      <c r="C74" s="63">
        <v>13</v>
      </c>
      <c r="D74" s="53">
        <v>17</v>
      </c>
      <c r="E74" s="54"/>
      <c r="F74" s="54"/>
      <c r="G74" s="54"/>
      <c r="H74" s="54"/>
      <c r="I74" s="52">
        <f t="shared" si="2"/>
        <v>4.5999999999999996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75</v>
      </c>
      <c r="B75" s="53">
        <v>192</v>
      </c>
      <c r="C75" s="63">
        <v>14</v>
      </c>
      <c r="D75" s="53">
        <v>16</v>
      </c>
      <c r="E75" s="54"/>
      <c r="F75" s="54"/>
      <c r="G75" s="54"/>
      <c r="H75" s="54"/>
      <c r="I75" s="52">
        <f t="shared" si="2"/>
        <v>4.2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80</v>
      </c>
      <c r="B76" s="53">
        <v>196</v>
      </c>
      <c r="C76" s="63">
        <v>15</v>
      </c>
      <c r="D76" s="53">
        <v>15</v>
      </c>
      <c r="E76" s="54"/>
      <c r="F76" s="54"/>
      <c r="G76" s="54"/>
      <c r="H76" s="54"/>
      <c r="I76" s="52">
        <f t="shared" si="2"/>
        <v>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85</v>
      </c>
      <c r="B77" s="53">
        <v>200</v>
      </c>
      <c r="C77" s="63">
        <v>16</v>
      </c>
      <c r="D77" s="53">
        <v>14</v>
      </c>
      <c r="E77" s="54"/>
      <c r="F77" s="54"/>
      <c r="G77" s="54"/>
      <c r="H77" s="54"/>
      <c r="I77" s="52">
        <f t="shared" si="2"/>
        <v>3.8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90</v>
      </c>
      <c r="B78" s="53">
        <v>204</v>
      </c>
      <c r="C78" s="63">
        <v>17</v>
      </c>
      <c r="D78" s="53">
        <v>204</v>
      </c>
      <c r="E78" s="54"/>
      <c r="F78" s="54"/>
      <c r="G78" s="54"/>
      <c r="H78" s="54"/>
      <c r="I78" s="52">
        <f t="shared" si="2"/>
        <v>3.6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Tilleul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73</v>
      </c>
      <c r="C88" s="63">
        <v>1</v>
      </c>
      <c r="D88" s="63">
        <v>6</v>
      </c>
      <c r="E88" s="54"/>
      <c r="F88" s="54"/>
      <c r="G88" s="54">
        <v>1</v>
      </c>
      <c r="H88" s="93"/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103</v>
      </c>
      <c r="C89" s="63">
        <v>2</v>
      </c>
      <c r="D89" s="63">
        <v>28</v>
      </c>
      <c r="E89" s="54"/>
      <c r="F89" s="54"/>
      <c r="G89" s="54">
        <v>1</v>
      </c>
      <c r="H89" s="93"/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121</v>
      </c>
      <c r="C90" s="63">
        <v>3</v>
      </c>
      <c r="D90" s="63">
        <v>28</v>
      </c>
      <c r="E90" s="93"/>
      <c r="F90" s="93"/>
      <c r="G90" s="93">
        <v>1</v>
      </c>
      <c r="H90" s="93"/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147</v>
      </c>
      <c r="C91" s="63">
        <v>4</v>
      </c>
      <c r="D91" s="63">
        <v>28</v>
      </c>
      <c r="E91" s="93"/>
      <c r="F91" s="93"/>
      <c r="G91" s="93"/>
      <c r="H91" s="93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175</v>
      </c>
      <c r="C92" s="63">
        <v>5</v>
      </c>
      <c r="D92" s="63">
        <v>28</v>
      </c>
      <c r="E92" s="93"/>
      <c r="F92" s="93"/>
      <c r="G92" s="93"/>
      <c r="H92" s="93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204</v>
      </c>
      <c r="C93" s="63">
        <v>6</v>
      </c>
      <c r="D93" s="63">
        <v>28</v>
      </c>
      <c r="E93" s="93"/>
      <c r="F93" s="93"/>
      <c r="G93" s="93"/>
      <c r="H93" s="93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231</v>
      </c>
      <c r="C94" s="63">
        <v>7</v>
      </c>
      <c r="D94" s="63">
        <v>28</v>
      </c>
      <c r="E94" s="93"/>
      <c r="F94" s="93"/>
      <c r="G94" s="93"/>
      <c r="H94" s="93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254</v>
      </c>
      <c r="C95" s="63">
        <v>8</v>
      </c>
      <c r="D95" s="63">
        <v>28</v>
      </c>
      <c r="E95" s="93"/>
      <c r="F95" s="93"/>
      <c r="G95" s="93"/>
      <c r="H95" s="93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273</v>
      </c>
      <c r="C96" s="63">
        <v>9</v>
      </c>
      <c r="D96" s="63">
        <v>28</v>
      </c>
      <c r="E96" s="93"/>
      <c r="F96" s="93"/>
      <c r="G96" s="93"/>
      <c r="H96" s="93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289</v>
      </c>
      <c r="C97" s="63">
        <v>10</v>
      </c>
      <c r="D97" s="63">
        <v>28</v>
      </c>
      <c r="E97" s="93"/>
      <c r="F97" s="93"/>
      <c r="G97" s="93"/>
      <c r="H97" s="93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302</v>
      </c>
      <c r="C98" s="63">
        <v>11</v>
      </c>
      <c r="D98" s="63">
        <v>28</v>
      </c>
      <c r="E98" s="93"/>
      <c r="F98" s="93"/>
      <c r="G98" s="93"/>
      <c r="H98" s="93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312</v>
      </c>
      <c r="C99" s="63">
        <v>12</v>
      </c>
      <c r="D99" s="63">
        <v>28</v>
      </c>
      <c r="E99" s="93"/>
      <c r="F99" s="93"/>
      <c r="G99" s="93"/>
      <c r="H99" s="93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320</v>
      </c>
      <c r="C100" s="63">
        <v>13</v>
      </c>
      <c r="D100" s="63">
        <v>28</v>
      </c>
      <c r="E100" s="68"/>
      <c r="F100" s="68"/>
      <c r="G100" s="68"/>
      <c r="H100" s="68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326</v>
      </c>
      <c r="C101" s="63">
        <v>14</v>
      </c>
      <c r="D101" s="63">
        <v>28</v>
      </c>
      <c r="E101" s="68"/>
      <c r="F101" s="68"/>
      <c r="G101" s="68"/>
      <c r="H101" s="68"/>
      <c r="I101" s="56">
        <f t="shared" si="3"/>
        <v>6.8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330</v>
      </c>
      <c r="C102" s="63">
        <v>15</v>
      </c>
      <c r="D102" s="53">
        <v>28</v>
      </c>
      <c r="E102" s="57"/>
      <c r="F102" s="57"/>
      <c r="G102" s="57"/>
      <c r="H102" s="57"/>
      <c r="I102" s="56">
        <f t="shared" si="3"/>
        <v>6.4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95</v>
      </c>
      <c r="B103" s="53">
        <v>332</v>
      </c>
      <c r="C103" s="63">
        <v>16</v>
      </c>
      <c r="D103" s="53">
        <v>28</v>
      </c>
      <c r="E103" s="57"/>
      <c r="F103" s="57"/>
      <c r="G103" s="57"/>
      <c r="H103" s="57"/>
      <c r="I103" s="56">
        <f t="shared" si="3"/>
        <v>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100</v>
      </c>
      <c r="B104" s="53">
        <v>333</v>
      </c>
      <c r="C104" s="63">
        <v>17</v>
      </c>
      <c r="D104" s="53">
        <v>27</v>
      </c>
      <c r="E104" s="57"/>
      <c r="F104" s="57"/>
      <c r="G104" s="57"/>
      <c r="H104" s="57"/>
      <c r="I104" s="56">
        <f t="shared" si="3"/>
        <v>5.8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105</v>
      </c>
      <c r="B105" s="53">
        <v>333</v>
      </c>
      <c r="C105" s="53">
        <v>18</v>
      </c>
      <c r="D105" s="53">
        <v>26</v>
      </c>
      <c r="E105" s="57"/>
      <c r="F105" s="57"/>
      <c r="G105" s="57"/>
      <c r="H105" s="57"/>
      <c r="I105" s="56">
        <f t="shared" si="3"/>
        <v>5.4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110</v>
      </c>
      <c r="B106" s="53">
        <v>332</v>
      </c>
      <c r="C106" s="53">
        <v>19</v>
      </c>
      <c r="D106" s="53">
        <v>25</v>
      </c>
      <c r="E106" s="57"/>
      <c r="F106" s="57"/>
      <c r="G106" s="57"/>
      <c r="H106" s="57"/>
      <c r="I106" s="56">
        <f t="shared" si="3"/>
        <v>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115</v>
      </c>
      <c r="B107" s="53">
        <v>330</v>
      </c>
      <c r="C107" s="53">
        <v>20</v>
      </c>
      <c r="D107" s="53">
        <v>330</v>
      </c>
      <c r="E107" s="57"/>
      <c r="F107" s="57"/>
      <c r="G107" s="57"/>
      <c r="H107" s="57"/>
      <c r="I107" s="56">
        <f t="shared" si="3"/>
        <v>4.5999999999999996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Merisier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53">
        <v>40</v>
      </c>
      <c r="C114" s="53">
        <v>1</v>
      </c>
      <c r="D114" s="63">
        <v>3</v>
      </c>
      <c r="E114" s="54"/>
      <c r="F114" s="54"/>
      <c r="G114" s="54">
        <v>1</v>
      </c>
      <c r="H114" s="54"/>
      <c r="I114" s="56">
        <f>IFERROR(B114/A114,"")</f>
        <v>2.6666666666666665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53">
        <v>85</v>
      </c>
      <c r="C115" s="53">
        <v>2</v>
      </c>
      <c r="D115" s="63">
        <v>25</v>
      </c>
      <c r="E115" s="54"/>
      <c r="F115" s="54">
        <v>0.2</v>
      </c>
      <c r="G115" s="54">
        <v>0.8</v>
      </c>
      <c r="H115" s="54"/>
      <c r="I115" s="56">
        <f t="shared" ref="I115:I133" si="4">IF(A115&lt;&gt;0,(B115-(B114-D114))/(A115-A114),"")</f>
        <v>9.6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53">
        <v>113</v>
      </c>
      <c r="C116" s="53">
        <v>3</v>
      </c>
      <c r="D116" s="63">
        <v>27</v>
      </c>
      <c r="E116" s="54"/>
      <c r="F116" s="54">
        <v>0.4</v>
      </c>
      <c r="G116" s="54">
        <v>0.6</v>
      </c>
      <c r="H116" s="54"/>
      <c r="I116" s="56">
        <f t="shared" si="4"/>
        <v>10.6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31</v>
      </c>
      <c r="B117" s="53">
        <v>155</v>
      </c>
      <c r="C117" s="53">
        <v>4</v>
      </c>
      <c r="D117" s="63">
        <v>36</v>
      </c>
      <c r="E117" s="54"/>
      <c r="F117" s="54"/>
      <c r="G117" s="54"/>
      <c r="H117" s="54"/>
      <c r="I117" s="56">
        <f t="shared" si="4"/>
        <v>11.5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37</v>
      </c>
      <c r="B118" s="53">
        <v>188</v>
      </c>
      <c r="C118" s="53">
        <v>5</v>
      </c>
      <c r="D118" s="63">
        <v>36</v>
      </c>
      <c r="E118" s="54"/>
      <c r="F118" s="54"/>
      <c r="G118" s="54"/>
      <c r="H118" s="54"/>
      <c r="I118" s="56">
        <f t="shared" si="4"/>
        <v>11.5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44</v>
      </c>
      <c r="B119" s="53">
        <v>230</v>
      </c>
      <c r="C119" s="53">
        <v>6</v>
      </c>
      <c r="D119" s="63">
        <v>43</v>
      </c>
      <c r="E119" s="54"/>
      <c r="F119" s="54"/>
      <c r="G119" s="54"/>
      <c r="H119" s="54"/>
      <c r="I119" s="56">
        <f t="shared" si="4"/>
        <v>11.142857142857142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52</v>
      </c>
      <c r="B120" s="63">
        <v>270</v>
      </c>
      <c r="C120" s="63">
        <v>7</v>
      </c>
      <c r="D120" s="63">
        <v>48</v>
      </c>
      <c r="E120" s="93"/>
      <c r="F120" s="93"/>
      <c r="G120" s="93"/>
      <c r="H120" s="93"/>
      <c r="I120" s="56">
        <f t="shared" si="4"/>
        <v>10.375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60</v>
      </c>
      <c r="B121" s="63">
        <v>297</v>
      </c>
      <c r="C121" s="63">
        <v>8</v>
      </c>
      <c r="D121" s="63">
        <v>47</v>
      </c>
      <c r="E121" s="93"/>
      <c r="F121" s="93"/>
      <c r="G121" s="93"/>
      <c r="H121" s="93"/>
      <c r="I121" s="56">
        <f t="shared" si="4"/>
        <v>9.375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69</v>
      </c>
      <c r="B122" s="63">
        <v>328</v>
      </c>
      <c r="C122" s="63">
        <v>9</v>
      </c>
      <c r="D122" s="63">
        <v>328</v>
      </c>
      <c r="E122" s="93"/>
      <c r="F122" s="93"/>
      <c r="G122" s="93"/>
      <c r="H122" s="93"/>
      <c r="I122" s="56">
        <f t="shared" si="4"/>
        <v>8.6666666666666661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Erable champêtre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10</v>
      </c>
      <c r="B140" s="63">
        <v>11</v>
      </c>
      <c r="C140" s="53">
        <v>1</v>
      </c>
      <c r="D140" s="63">
        <v>0</v>
      </c>
      <c r="E140" s="54"/>
      <c r="F140" s="54"/>
      <c r="G140" s="54"/>
      <c r="H140" s="54"/>
      <c r="I140" s="60">
        <f>IFERROR(B140/A140,"")</f>
        <v>1.1000000000000001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15</v>
      </c>
      <c r="B141" s="63">
        <v>65</v>
      </c>
      <c r="C141" s="53">
        <v>2</v>
      </c>
      <c r="D141" s="63">
        <v>32</v>
      </c>
      <c r="E141" s="54"/>
      <c r="F141" s="54"/>
      <c r="G141" s="54">
        <v>1</v>
      </c>
      <c r="H141" s="54"/>
      <c r="I141" s="60">
        <f t="shared" ref="I141:I159" si="5">IF(A141&lt;&gt;0,(B141-(B140-D140))/(A141-A140),"")</f>
        <v>10.8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20</v>
      </c>
      <c r="B142" s="63">
        <v>101</v>
      </c>
      <c r="C142" s="53">
        <v>3</v>
      </c>
      <c r="D142" s="63">
        <v>35</v>
      </c>
      <c r="E142" s="54"/>
      <c r="F142" s="54">
        <v>0.2</v>
      </c>
      <c r="G142" s="54">
        <v>0.8</v>
      </c>
      <c r="H142" s="54"/>
      <c r="I142" s="60">
        <f t="shared" si="5"/>
        <v>13.6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25</v>
      </c>
      <c r="B143" s="63">
        <v>140</v>
      </c>
      <c r="C143" s="53">
        <v>4</v>
      </c>
      <c r="D143" s="63">
        <v>35</v>
      </c>
      <c r="E143" s="54"/>
      <c r="F143" s="54">
        <v>0.4</v>
      </c>
      <c r="G143" s="54">
        <v>0.6</v>
      </c>
      <c r="H143" s="54"/>
      <c r="I143" s="60">
        <f t="shared" si="5"/>
        <v>14.8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30</v>
      </c>
      <c r="B144" s="63">
        <v>176</v>
      </c>
      <c r="C144" s="53">
        <v>5</v>
      </c>
      <c r="D144" s="63">
        <v>35</v>
      </c>
      <c r="E144" s="54"/>
      <c r="F144" s="54">
        <v>0.4</v>
      </c>
      <c r="G144" s="54">
        <v>0.6</v>
      </c>
      <c r="H144" s="54"/>
      <c r="I144" s="60">
        <f t="shared" si="5"/>
        <v>14.2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35</v>
      </c>
      <c r="B145" s="63">
        <v>206</v>
      </c>
      <c r="C145" s="53">
        <v>6</v>
      </c>
      <c r="D145" s="63">
        <v>35</v>
      </c>
      <c r="E145" s="54"/>
      <c r="F145" s="54"/>
      <c r="G145" s="54"/>
      <c r="H145" s="54"/>
      <c r="I145" s="60">
        <f t="shared" si="5"/>
        <v>13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40</v>
      </c>
      <c r="B146" s="63">
        <v>228</v>
      </c>
      <c r="C146" s="53">
        <v>7</v>
      </c>
      <c r="D146" s="63">
        <v>35</v>
      </c>
      <c r="E146" s="54"/>
      <c r="F146" s="54"/>
      <c r="G146" s="54"/>
      <c r="H146" s="54"/>
      <c r="I146" s="60">
        <f t="shared" si="5"/>
        <v>11.4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45</v>
      </c>
      <c r="B147" s="63">
        <v>242</v>
      </c>
      <c r="C147" s="53">
        <v>8</v>
      </c>
      <c r="D147" s="63">
        <v>24</v>
      </c>
      <c r="E147" s="54"/>
      <c r="F147" s="54"/>
      <c r="G147" s="54"/>
      <c r="H147" s="54"/>
      <c r="I147" s="60">
        <f>IF(A147&lt;&gt;0,(B147-(B146-D146))/(A147-A146),"")</f>
        <v>9.8000000000000007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50</v>
      </c>
      <c r="B148" s="63">
        <v>260</v>
      </c>
      <c r="C148" s="53">
        <v>9</v>
      </c>
      <c r="D148" s="63">
        <v>19</v>
      </c>
      <c r="E148" s="54"/>
      <c r="F148" s="54"/>
      <c r="G148" s="54"/>
      <c r="H148" s="54"/>
      <c r="I148" s="60">
        <f t="shared" si="5"/>
        <v>8.4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55</v>
      </c>
      <c r="B149" s="63">
        <v>278</v>
      </c>
      <c r="C149" s="53">
        <v>10</v>
      </c>
      <c r="D149" s="63">
        <v>16</v>
      </c>
      <c r="E149" s="54"/>
      <c r="F149" s="54"/>
      <c r="G149" s="54"/>
      <c r="H149" s="54"/>
      <c r="I149" s="60">
        <f t="shared" si="5"/>
        <v>7.4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60</v>
      </c>
      <c r="B150" s="63">
        <v>294</v>
      </c>
      <c r="C150" s="53">
        <v>11</v>
      </c>
      <c r="D150" s="63">
        <v>14</v>
      </c>
      <c r="E150" s="54"/>
      <c r="F150" s="54"/>
      <c r="G150" s="54"/>
      <c r="H150" s="54"/>
      <c r="I150" s="60">
        <f t="shared" si="5"/>
        <v>6.4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65</v>
      </c>
      <c r="B151" s="63">
        <v>306</v>
      </c>
      <c r="C151" s="53">
        <v>12</v>
      </c>
      <c r="D151" s="63">
        <v>13</v>
      </c>
      <c r="E151" s="54"/>
      <c r="F151" s="54"/>
      <c r="G151" s="54"/>
      <c r="H151" s="54"/>
      <c r="I151" s="60">
        <f t="shared" si="5"/>
        <v>5.2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70</v>
      </c>
      <c r="B152" s="63">
        <v>315</v>
      </c>
      <c r="C152" s="53">
        <v>13</v>
      </c>
      <c r="D152" s="63">
        <v>13</v>
      </c>
      <c r="E152" s="57"/>
      <c r="F152" s="57"/>
      <c r="G152" s="57"/>
      <c r="H152" s="57"/>
      <c r="I152" s="60">
        <f t="shared" si="5"/>
        <v>4.4000000000000004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75</v>
      </c>
      <c r="B153" s="63">
        <v>323</v>
      </c>
      <c r="C153" s="53">
        <v>14</v>
      </c>
      <c r="D153" s="63">
        <v>12</v>
      </c>
      <c r="E153" s="57"/>
      <c r="F153" s="57"/>
      <c r="G153" s="57"/>
      <c r="H153" s="57"/>
      <c r="I153" s="60">
        <f t="shared" si="5"/>
        <v>4.2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80</v>
      </c>
      <c r="B154" s="59">
        <v>329</v>
      </c>
      <c r="C154" s="53">
        <v>15</v>
      </c>
      <c r="D154" s="53">
        <v>11</v>
      </c>
      <c r="E154" s="57"/>
      <c r="F154" s="57"/>
      <c r="G154" s="57"/>
      <c r="H154" s="57"/>
      <c r="I154" s="60">
        <f t="shared" si="5"/>
        <v>3.6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Peuplier Taro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16</v>
      </c>
      <c r="B166" s="63">
        <v>357</v>
      </c>
      <c r="C166" s="63">
        <v>1</v>
      </c>
      <c r="D166" s="63">
        <v>357</v>
      </c>
      <c r="E166" s="54">
        <v>0.8</v>
      </c>
      <c r="F166" s="54">
        <v>0.2</v>
      </c>
      <c r="G166" s="54"/>
      <c r="H166" s="54"/>
      <c r="I166" s="52">
        <f>IFERROR(B166/A166,"")</f>
        <v>22.3125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Noyer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10</v>
      </c>
      <c r="B192" s="63">
        <v>11</v>
      </c>
      <c r="C192" s="63">
        <v>1</v>
      </c>
      <c r="D192" s="63">
        <v>0</v>
      </c>
      <c r="E192" s="54"/>
      <c r="F192" s="54"/>
      <c r="G192" s="54"/>
      <c r="H192" s="54"/>
      <c r="I192" s="52">
        <f>IFERROR(B192/A192,"")</f>
        <v>1.1000000000000001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15</v>
      </c>
      <c r="B193" s="63">
        <v>65</v>
      </c>
      <c r="C193" s="63">
        <v>2</v>
      </c>
      <c r="D193" s="63">
        <v>32</v>
      </c>
      <c r="E193" s="54"/>
      <c r="F193" s="54"/>
      <c r="G193" s="54">
        <v>1</v>
      </c>
      <c r="H193" s="54"/>
      <c r="I193" s="52">
        <f t="shared" ref="I193:I211" si="7">IF(A193&lt;&gt;0,(B193-(B192-D192))/(A193-A192),"")</f>
        <v>10.8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20</v>
      </c>
      <c r="B194" s="63">
        <v>101</v>
      </c>
      <c r="C194" s="63">
        <v>3</v>
      </c>
      <c r="D194" s="63">
        <v>35</v>
      </c>
      <c r="E194" s="54"/>
      <c r="F194" s="54">
        <v>0.2</v>
      </c>
      <c r="G194" s="54">
        <v>0.8</v>
      </c>
      <c r="H194" s="54"/>
      <c r="I194" s="52">
        <f t="shared" si="7"/>
        <v>13.6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25</v>
      </c>
      <c r="B195" s="63">
        <v>140</v>
      </c>
      <c r="C195" s="63">
        <v>4</v>
      </c>
      <c r="D195" s="63">
        <v>35</v>
      </c>
      <c r="E195" s="54">
        <v>0.2</v>
      </c>
      <c r="F195" s="54">
        <v>0.2</v>
      </c>
      <c r="G195" s="54">
        <v>0.6</v>
      </c>
      <c r="H195" s="54"/>
      <c r="I195" s="52">
        <f t="shared" si="7"/>
        <v>14.8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30</v>
      </c>
      <c r="B196" s="63">
        <v>176</v>
      </c>
      <c r="C196" s="63">
        <v>5</v>
      </c>
      <c r="D196" s="63">
        <v>35</v>
      </c>
      <c r="E196" s="54">
        <v>0.4</v>
      </c>
      <c r="F196" s="54">
        <v>0.6</v>
      </c>
      <c r="G196" s="54"/>
      <c r="H196" s="54"/>
      <c r="I196" s="52">
        <f t="shared" si="7"/>
        <v>14.2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35</v>
      </c>
      <c r="B197" s="63">
        <v>206</v>
      </c>
      <c r="C197" s="63">
        <v>6</v>
      </c>
      <c r="D197" s="63">
        <v>35</v>
      </c>
      <c r="E197" s="54"/>
      <c r="F197" s="54"/>
      <c r="G197" s="54"/>
      <c r="H197" s="54"/>
      <c r="I197" s="52">
        <f t="shared" si="7"/>
        <v>13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40</v>
      </c>
      <c r="B198" s="63">
        <v>228</v>
      </c>
      <c r="C198" s="63">
        <v>7</v>
      </c>
      <c r="D198" s="63">
        <v>35</v>
      </c>
      <c r="E198" s="54"/>
      <c r="F198" s="54"/>
      <c r="G198" s="54"/>
      <c r="H198" s="54"/>
      <c r="I198" s="52">
        <f t="shared" si="7"/>
        <v>11.4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45</v>
      </c>
      <c r="B199" s="53">
        <v>242</v>
      </c>
      <c r="C199" s="53">
        <v>8</v>
      </c>
      <c r="D199" s="53">
        <v>24</v>
      </c>
      <c r="E199" s="54"/>
      <c r="F199" s="54"/>
      <c r="G199" s="54"/>
      <c r="H199" s="54"/>
      <c r="I199" s="52">
        <f t="shared" si="7"/>
        <v>9.8000000000000007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50</v>
      </c>
      <c r="B200" s="53">
        <v>260</v>
      </c>
      <c r="C200" s="53">
        <v>9</v>
      </c>
      <c r="D200" s="53">
        <v>19</v>
      </c>
      <c r="E200" s="54"/>
      <c r="F200" s="54"/>
      <c r="G200" s="54"/>
      <c r="H200" s="54"/>
      <c r="I200" s="52">
        <f t="shared" si="7"/>
        <v>8.4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55</v>
      </c>
      <c r="B201" s="53">
        <v>278</v>
      </c>
      <c r="C201" s="53">
        <v>10</v>
      </c>
      <c r="D201" s="53">
        <v>16</v>
      </c>
      <c r="E201" s="54"/>
      <c r="F201" s="54"/>
      <c r="G201" s="54"/>
      <c r="H201" s="54"/>
      <c r="I201" s="52">
        <f t="shared" si="7"/>
        <v>7.4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60</v>
      </c>
      <c r="B202" s="53">
        <v>294</v>
      </c>
      <c r="C202" s="53">
        <v>11</v>
      </c>
      <c r="D202" s="53">
        <v>14</v>
      </c>
      <c r="E202" s="54"/>
      <c r="F202" s="54"/>
      <c r="G202" s="54"/>
      <c r="H202" s="54"/>
      <c r="I202" s="52">
        <f t="shared" si="7"/>
        <v>6.4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65</v>
      </c>
      <c r="B203" s="53">
        <v>306</v>
      </c>
      <c r="C203" s="53">
        <v>12</v>
      </c>
      <c r="D203" s="53">
        <v>13</v>
      </c>
      <c r="E203" s="54"/>
      <c r="F203" s="54"/>
      <c r="G203" s="54"/>
      <c r="H203" s="54"/>
      <c r="I203" s="52">
        <f t="shared" si="7"/>
        <v>5.2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70</v>
      </c>
      <c r="B204" s="53">
        <v>315</v>
      </c>
      <c r="C204" s="53">
        <v>13</v>
      </c>
      <c r="D204" s="53">
        <v>13</v>
      </c>
      <c r="E204" s="54"/>
      <c r="F204" s="54"/>
      <c r="G204" s="54"/>
      <c r="H204" s="54"/>
      <c r="I204" s="52">
        <f t="shared" si="7"/>
        <v>4.4000000000000004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75</v>
      </c>
      <c r="B205" s="53">
        <v>323</v>
      </c>
      <c r="C205" s="53">
        <v>14</v>
      </c>
      <c r="D205" s="53">
        <v>12</v>
      </c>
      <c r="E205" s="54"/>
      <c r="F205" s="54"/>
      <c r="G205" s="54"/>
      <c r="H205" s="54"/>
      <c r="I205" s="52">
        <f t="shared" si="7"/>
        <v>4.2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80</v>
      </c>
      <c r="B206" s="53">
        <v>329</v>
      </c>
      <c r="C206" s="53">
        <v>15</v>
      </c>
      <c r="D206" s="53">
        <v>11</v>
      </c>
      <c r="E206" s="54"/>
      <c r="F206" s="54"/>
      <c r="G206" s="54"/>
      <c r="H206" s="54"/>
      <c r="I206" s="52">
        <f t="shared" si="7"/>
        <v>3.6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Peuplier Taro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16</v>
      </c>
      <c r="B218" s="63">
        <v>481</v>
      </c>
      <c r="C218" s="53">
        <v>1</v>
      </c>
      <c r="D218" s="63">
        <v>481</v>
      </c>
      <c r="E218" s="66">
        <v>0.8</v>
      </c>
      <c r="F218" s="66">
        <v>0.2</v>
      </c>
      <c r="G218" s="66"/>
      <c r="H218" s="66"/>
      <c r="I218" s="56">
        <f>IFERROR(B218/A218,"")</f>
        <v>30.0625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7" zoomScale="115" zoomScaleNormal="115" workbookViewId="0">
      <selection activeCell="C21" sqref="C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Erable sycomore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Aulne glutineux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Tilleul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Merisier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>Erable champêtre</v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>Peuplier Taro</v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>Noyer</v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>Peuplier Taro</v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352.5736659365665</v>
      </c>
      <c r="T3" s="62">
        <f>IF('Données projet'!E9&gt;30,$R$33-$H$33,LOOKUP('Données projet'!$E$9,$A$3:$A$203,R3:R203)-LOOKUP('Données projet'!$E$9,$A$3:$A$203,$H$3:$H$203))</f>
        <v>343.77208530767069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210.08998695869161</v>
      </c>
      <c r="AO3" s="62">
        <f>IF('Données projet'!E10&gt;30,$AM$33-$H$33,LOOKUP('Données projet'!$E$10,$A$3:$A$203,AM3:AM203)-LOOKUP('Données projet'!$E$10,$A$3:$A$203,$H$3:$H$203))</f>
        <v>207.30911916430881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335.83558218229564</v>
      </c>
      <c r="BJ3" s="62">
        <f>IF('Données projet'!E11&gt;30,$BH$33-$H$33,LOOKUP('Données projet'!$E$11,$A$3:$A$203,BH3:BH203)-LOOKUP('Données projet'!$E$11,$A$3:$A$203,$H$3:$H$203))</f>
        <v>217.08423061559648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288.82868507674738</v>
      </c>
      <c r="CE3" s="62">
        <f>IF('Données projet'!E12&gt;30,$CC$33-$H$33,LOOKUP('Données projet'!$E$12,$A$3:$A$203,CC3:CC203)-LOOKUP('Données projet'!$E$12,$A$3:$A$203,$H$3:$H$203))</f>
        <v>283.48738729114024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383.46266660377637</v>
      </c>
      <c r="CZ3" s="62">
        <f>IF('Données projet'!E13&gt;30,$CX$33-$H$33,LOOKUP('Données projet'!$E$13,$A$3:$A$203,CX3:CX203)-LOOKUP('Données projet'!$E$13,$A$3:$A$203,$H$3:$H$203))</f>
        <v>373.1287543230714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96.56611521638132</v>
      </c>
      <c r="DU3" s="62">
        <f>IF('Données projet'!E14&gt;30,$DS$33-$H$33,LOOKUP('Données projet'!$E$14,$A$3:$A$203,DS3:DS203)-LOOKUP('Données projet'!$E$14,$A$3:$A$203,$H$3:$H$203))</f>
        <v>465.03257878814094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358.75637627589799</v>
      </c>
      <c r="EP3" s="62">
        <f>IF('Données projet'!E15&gt;30,$EN$33-$H$33,LOOKUP('Données projet'!$E$15,$A$3:$A$203,EN3:EN203)-LOOKUP('Données projet'!$E$15,$A$3:$A$203,$H$3:$H$203))</f>
        <v>349.64821164483607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121.28977654040114</v>
      </c>
      <c r="FK3" s="62">
        <f>IF('Données projet'!E16&gt;30,$FI$33-$H$33,LOOKUP('Données projet'!$E$16,$A$3:$A$203,FI3:FI203)-LOOKUP('Données projet'!$E$16,$A$3:$A$203,$H$3:$H$203))</f>
        <v>615.69585264342595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1.1000000000000001</v>
      </c>
      <c r="N4" s="14">
        <f>IF('Données projet'!$A$36&gt;35,N3+M4-V3,IF(A4&lt;'Données projet'!$A$36,$K$205^A4,IF(A4='Données projet'!$A$36,'Données projet'!$B$36,N3+M4-V3)))</f>
        <v>1.2709816152101407</v>
      </c>
      <c r="O4" s="14">
        <f>N4*VLOOKUP('Données projet'!$B$9,Paramètres!$A$1:$I$89,3,0)*VLOOKUP('Données projet'!$B$9,Paramètres!$A$1:$I$89,5,0)</f>
        <v>1.0111929730611879</v>
      </c>
      <c r="P4" s="14">
        <f>EXP(-1.0587+0.8836*LN(O4)+0.284)</f>
        <v>0.46539683474213156</v>
      </c>
      <c r="Q4" s="22">
        <f t="shared" ref="Q4:Q34" si="2">(O4+P4)*0.475*44/12</f>
        <v>2.5717272485907814</v>
      </c>
      <c r="R4" s="62">
        <f t="shared" si="0"/>
        <v>260.46061613747963</v>
      </c>
      <c r="S4" s="62">
        <f ca="1">AVERAGE(OFFSET($R$3,0,0,'Données projet'!$E$9+1,1))-AVERAGE(OFFSET($H$3,0,0,'Données projet'!$E$9+1,1))</f>
        <v>352.5736659365665</v>
      </c>
      <c r="T4" s="62">
        <f>$T$3</f>
        <v>343.77208530767069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0.8</v>
      </c>
      <c r="AI4" s="14">
        <f>IF('Données projet'!$A$62&gt;35,AI3+AH4-AQ3,IF(A4&lt;'Données projet'!$A$62,$AF$205^A4,IF(A4='Données projet'!$A$62,'Données projet'!$B$62,AI3+AH4-AQ3)))</f>
        <v>1.2311444133449163</v>
      </c>
      <c r="AJ4" s="14">
        <f>AI4*VLOOKUP('Données projet'!$B$10,Paramètres!$A$1:$I$89,3,0)*VLOOKUP('Données projet'!$B$10,Paramètres!$A$1:$I$89,5,0)</f>
        <v>0.80664581962358928</v>
      </c>
      <c r="AK4" s="14">
        <f>EXP(-1.0587+0.8836*LN(AJ4)+0.284)</f>
        <v>0.38115100060140267</v>
      </c>
      <c r="AL4" s="22">
        <f t="shared" ref="AL4:AL67" si="4">(AJ4+AK4)*0.475*44/12</f>
        <v>2.0687461285585278</v>
      </c>
      <c r="AM4" s="62">
        <f t="shared" ref="AM4:AM67" si="5">AL4+(AD4+AE4)*44/12</f>
        <v>259.95763501744739</v>
      </c>
      <c r="AN4" s="62">
        <f ca="1">AVERAGE(OFFSET($AM$3,0,0,'Données projet'!$E$10+1,1))-AVERAGE(OFFSET($H$3,0,0,'Données projet'!$E$10+1,1))</f>
        <v>210.08998695869161</v>
      </c>
      <c r="AO4" s="62">
        <f>$AO$3</f>
        <v>207.30911916430881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0.83130271126395927</v>
      </c>
      <c r="BF4" s="14">
        <f>EXP(-1.0587+0.8836*LN(BE4)+0.284)</f>
        <v>0.39142746146383206</v>
      </c>
      <c r="BG4" s="22">
        <f t="shared" ref="BG4:BG67" si="7">(BE4+BF4)*0.475*44/12</f>
        <v>2.1295883841675698</v>
      </c>
      <c r="BH4" s="62">
        <f t="shared" ref="BH4:BH67" si="8">BG4+(AY4+AZ4)*44/12</f>
        <v>260.01847727305642</v>
      </c>
      <c r="BI4" s="62">
        <f ca="1">AVERAGE(OFFSET($BH$3,0,0,'Données projet'!$E$11+1,1))-AVERAGE(OFFSET($H$3,0,0,'Données projet'!$E$11+1,1))</f>
        <v>335.83558218229564</v>
      </c>
      <c r="BJ4" s="62">
        <f>$BJ$3</f>
        <v>217.08423061559648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2.6666666666666665</v>
      </c>
      <c r="BY4" s="13">
        <f>IF('Données projet'!$A$114&gt;35,BY3+BX4-CG3,IF(A4&lt;'Données projet'!$A$114,$BV$205^A4,IF(A4='Données projet'!$A$114,'Données projet'!$B$114,BY3+BX4-CG3)))</f>
        <v>1.2788040393997409</v>
      </c>
      <c r="BZ4" s="14">
        <f>BY4*VLOOKUP('Données projet'!$B$12,Paramètres!$A$1:$I$89,3,0)*VLOOKUP('Données projet'!$B$12,Paramètres!$A$1:$I$89,5,0)</f>
        <v>0.99746715073179792</v>
      </c>
      <c r="CA4" s="14">
        <f>EXP(-1.0587+0.8836*LN(BZ4)+0.284)</f>
        <v>0.45981048445793882</v>
      </c>
      <c r="CB4" s="22">
        <f t="shared" ref="CB4:CB67" si="10">(BZ4+CA4)*0.475*44/12</f>
        <v>2.5380918812887914</v>
      </c>
      <c r="CC4" s="62">
        <f t="shared" ref="CC4:CC67" si="11">CB4+(BT4+BU4)*44/12</f>
        <v>260.42698077017764</v>
      </c>
      <c r="CD4" s="62">
        <f ca="1">AVERAGE(OFFSET($CC$3,0,0,'Données projet'!$E$12+1,1))-AVERAGE(OFFSET($H$3,0,0,'Données projet'!$E$12+1,1))</f>
        <v>288.82868507674738</v>
      </c>
      <c r="CE4" s="62">
        <f>$CE$3</f>
        <v>283.48738729114024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1.1000000000000001</v>
      </c>
      <c r="CT4" s="13">
        <f>IF('Données projet'!$A$140&gt;35,CT3+CS4-DB3,IF(A4&lt;'Données projet'!$A$140,$CQ$205^A4,IF(A4='Données projet'!$A$140,'Données projet'!$B$140,CT3+CS4-DB3)))</f>
        <v>1.2709816152101407</v>
      </c>
      <c r="CU4" s="18">
        <f>CT4*VLOOKUP('Données projet'!$B$13,Paramètres!$A$1:$I$89,3,0)*VLOOKUP('Données projet'!$B$13,Paramètres!$A$1:$I$89,5,0)</f>
        <v>1.1103295390475791</v>
      </c>
      <c r="CV4" s="14">
        <f>EXP(-1.0587+0.8836*LN(CU4)+0.284)</f>
        <v>0.50549091932363655</v>
      </c>
      <c r="CW4" s="22">
        <f t="shared" ref="CW4:CW67" si="13">(CU4+CV4)*0.475*44/12</f>
        <v>2.8142206316632006</v>
      </c>
      <c r="CX4" s="62">
        <f t="shared" ref="CX4:CX67" si="14">CW4+(CO4+CP4)*44/12</f>
        <v>260.70310952055206</v>
      </c>
      <c r="CY4" s="62">
        <f ca="1">AVERAGE(OFFSET($CX$3,0,0,'Données projet'!$E$13+1,1))-AVERAGE(OFFSET($H$3,0,0,'Données projet'!$E$13+1,1))</f>
        <v>383.46266660377637</v>
      </c>
      <c r="CZ4" s="62">
        <f>$CZ$3</f>
        <v>373.1287543230714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22.3125</v>
      </c>
      <c r="DO4" s="13">
        <f>IF('Données projet'!$A$166&gt;35,DO3+DN4-DW3,IF(A4&lt;'Données projet'!$A$166,$DL$205^A4,IF(A4='Données projet'!$A$166,'Données projet'!$B$166,DO3+DN4-DW3)))</f>
        <v>1.4439154503414053</v>
      </c>
      <c r="DP4" s="18">
        <f>DO4*VLOOKUP('Données projet'!$B$14,Paramètres!$A$1:$I$89,3,0)*VLOOKUP('Données projet'!$B$14,Paramètres!$A$1:$I$89,5,0)</f>
        <v>0.82892298173199397</v>
      </c>
      <c r="DQ4" s="14">
        <f>EXP(-1.0587+0.8836*LN(DP4)+0.284)</f>
        <v>0.39043720467365273</v>
      </c>
      <c r="DR4" s="22">
        <f t="shared" ref="DR4:DR67" si="16">(DP4+DQ4)*0.475*44/12</f>
        <v>2.1237189913231678</v>
      </c>
      <c r="DS4" s="62">
        <f t="shared" ref="DS4:DS67" si="17">DR4+(DJ4+DK4)*44/12</f>
        <v>260.01260788021204</v>
      </c>
      <c r="DT4" s="62">
        <f ca="1">AVERAGE(OFFSET($DS$3,0,0,'Données projet'!$E$14+1,1))-AVERAGE(OFFSET($H$3,0,0,'Données projet'!$E$14+1,1))</f>
        <v>96.56611521638132</v>
      </c>
      <c r="DU4" s="62">
        <f>$DU$3</f>
        <v>465.03257878814094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1.1000000000000001</v>
      </c>
      <c r="EJ4" s="13">
        <f>IF('Données projet'!$A$192&gt;35,EJ3+EI4-ER3,IF(A4&lt;'Données projet'!$A$192,$EG$205^A4,IF(A4='Données projet'!$A$192,'Données projet'!$B$192,EJ3+EI4-ER3)))</f>
        <v>1.2709816152101407</v>
      </c>
      <c r="EK4" s="18">
        <f>EJ4*VLOOKUP('Données projet'!$B$15,Paramètres!$A$1:$I$89,3,0)*VLOOKUP('Données projet'!$B$15,Paramètres!$A$1:$I$89,5,0)</f>
        <v>1.0310202862584663</v>
      </c>
      <c r="EL4" s="14">
        <f>EXP(-1.0587+0.8836*LN(EK4)+0.284)</f>
        <v>0.47345092792653765</v>
      </c>
      <c r="EM4" s="22">
        <f t="shared" ref="EM4:EM67" si="19">(EK4+EL4)*0.475*44/12</f>
        <v>2.6202873647055487</v>
      </c>
      <c r="EN4" s="62">
        <f t="shared" ref="EN4:EN67" si="20">EM4+(EE4+EF4)*44/12</f>
        <v>260.50917625359443</v>
      </c>
      <c r="EO4" s="62">
        <f ca="1">AVERAGE(OFFSET($EN$3,0,0,'Données projet'!$E$15+1,1))-AVERAGE(OFFSET($H$3,0,0,'Données projet'!$E$15+1,1))</f>
        <v>358.75637627589799</v>
      </c>
      <c r="EP4" s="62">
        <f>$EP$3</f>
        <v>349.64821164483607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30.0625</v>
      </c>
      <c r="FE4" s="13">
        <f>IF('Données projet'!$A$218&gt;35,FE3+FD4-FM3,IF(A4&lt;'Données projet'!$A$218,$FB$205^A4,IF(A4='Données projet'!$A$218,'Données projet'!$B$218,FE3+FD4-FM3)))</f>
        <v>1.4710724673083126</v>
      </c>
      <c r="FF4" s="18">
        <f>FE4*VLOOKUP('Données projet'!$B$16,Paramètres!$A$1:$I$89,3,0)*VLOOKUP('Données projet'!$B$16,Paramètres!$A$1:$I$89,5,0)</f>
        <v>0.84451328203235621</v>
      </c>
      <c r="FG4" s="14">
        <f>EXP(-1.0587+0.8836*LN(FF4)+0.284)</f>
        <v>0.3969186946321917</v>
      </c>
      <c r="FH4" s="22">
        <f t="shared" ref="FH4:FH67" si="22">(FF4+FG4)*0.475*44/12</f>
        <v>2.1621606926907542</v>
      </c>
      <c r="FI4" s="62">
        <f t="shared" ref="FI4:FI67" si="23">FH4+(EZ4+FA4)*44/12</f>
        <v>260.0510495815796</v>
      </c>
      <c r="FJ4" s="62">
        <f ca="1">AVERAGE(OFFSET($FI$3,0,0,'Données projet'!$E$16+1,1))-AVERAGE(OFFSET($H$3,0,0,'Données projet'!$E$16+1,1))</f>
        <v>121.28977654040114</v>
      </c>
      <c r="FK4" s="62">
        <f>$FK$3</f>
        <v>615.69585264342595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1.1000000000000001</v>
      </c>
      <c r="N5" s="14">
        <f>IF('Données projet'!$A$36&gt;35,N4+M5-V4,IF(A5&lt;'Données projet'!$A$36,$K$205^A5,IF(A5='Données projet'!$A$36,'Données projet'!$B$36,N4+M5-V4)))</f>
        <v>1.6153942662021783</v>
      </c>
      <c r="O5" s="14">
        <f>N5*VLOOKUP('Données projet'!$B$9,Paramètres!$A$1:$I$89,3,0)*VLOOKUP('Données projet'!$B$9,Paramètres!$A$1:$I$89,5,0)</f>
        <v>1.2852076781904531</v>
      </c>
      <c r="P5" s="14">
        <f t="shared" ref="P5:P68" si="33">EXP(-1.0587+0.8836*LN(O5)+0.284)</f>
        <v>0.57522914588482876</v>
      </c>
      <c r="Q5" s="22">
        <f t="shared" si="2"/>
        <v>3.2402608019311159</v>
      </c>
      <c r="R5" s="62">
        <f t="shared" si="0"/>
        <v>262.35137191304227</v>
      </c>
      <c r="S5" s="62">
        <f ca="1">AVERAGE(OFFSET($R$3,0,0,'Données projet'!$E$9+1,1))-AVERAGE(OFFSET($H$3,0,0,'Données projet'!$E$9+1,1))</f>
        <v>352.5736659365665</v>
      </c>
      <c r="T5" s="62">
        <f t="shared" ref="T5:T68" si="34">$T$3</f>
        <v>343.77208530767069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0.8</v>
      </c>
      <c r="AI5" s="14">
        <f>IF('Données projet'!$A$62&gt;35,AI4+AH5-AQ4,IF(A5&lt;'Données projet'!$A$62,$AF$205^A5,IF(A5='Données projet'!$A$62,'Données projet'!$B$62,AI4+AH5-AQ4)))</f>
        <v>1.5157165665103982</v>
      </c>
      <c r="AJ5" s="14">
        <f>AI5*VLOOKUP('Données projet'!$B$10,Paramètres!$A$1:$I$89,3,0)*VLOOKUP('Données projet'!$B$10,Paramètres!$A$1:$I$89,5,0)</f>
        <v>0.99309749437761285</v>
      </c>
      <c r="AK5" s="14">
        <f t="shared" ref="AK5:AK68" si="35">EXP(-1.0587+0.8836*LN(AJ5)+0.284)</f>
        <v>0.45803018051794941</v>
      </c>
      <c r="AL5" s="22">
        <f t="shared" si="4"/>
        <v>2.5273807004431039</v>
      </c>
      <c r="AM5" s="62">
        <f t="shared" si="5"/>
        <v>261.63849181155427</v>
      </c>
      <c r="AN5" s="62">
        <f ca="1">AVERAGE(OFFSET($AM$3,0,0,'Données projet'!$E$10+1,1))-AVERAGE(OFFSET($H$3,0,0,'Données projet'!$E$10+1,1))</f>
        <v>210.08998695869161</v>
      </c>
      <c r="AO5" s="62">
        <f t="shared" ref="AO5:AO68" si="36">$AO$3</f>
        <v>207.30911916430881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1.0302090008270866</v>
      </c>
      <c r="BF5" s="14">
        <f t="shared" ref="BF5:BF68" si="37">EXP(-1.0587+0.8836*LN(BE5)+0.284)</f>
        <v>0.47312173003845642</v>
      </c>
      <c r="BG5" s="22">
        <f t="shared" si="7"/>
        <v>2.6183010229241539</v>
      </c>
      <c r="BH5" s="62">
        <f t="shared" si="8"/>
        <v>261.72941213403527</v>
      </c>
      <c r="BI5" s="62">
        <f ca="1">AVERAGE(OFFSET($BH$3,0,0,'Données projet'!$E$11+1,1))-AVERAGE(OFFSET($H$3,0,0,'Données projet'!$E$11+1,1))</f>
        <v>335.83558218229564</v>
      </c>
      <c r="BJ5" s="62">
        <f t="shared" ref="BJ5:BJ68" si="38">$BJ$3</f>
        <v>217.08423061559648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2.6666666666666665</v>
      </c>
      <c r="BY5" s="13">
        <f>IF('Données projet'!$A$114&gt;35,BY4+BX5-CG4,IF(A5&lt;'Données projet'!$A$114,$BV$205^A5,IF(A5='Données projet'!$A$114,'Données projet'!$B$114,BY4+BX5-CG4)))</f>
        <v>1.6353397711850939</v>
      </c>
      <c r="BZ5" s="14">
        <f>BY5*VLOOKUP('Données projet'!$B$12,Paramètres!$A$1:$I$89,3,0)*VLOOKUP('Données projet'!$B$12,Paramètres!$A$1:$I$89,5,0)</f>
        <v>1.2755650215243732</v>
      </c>
      <c r="CA5" s="14">
        <f t="shared" ref="CA5:CA68" si="39">EXP(-1.0587+0.8836*LN(BZ5)+0.284)</f>
        <v>0.57141400910743001</v>
      </c>
      <c r="CB5" s="22">
        <f t="shared" si="10"/>
        <v>3.2168218116837237</v>
      </c>
      <c r="CC5" s="62">
        <f t="shared" si="11"/>
        <v>262.32793292279484</v>
      </c>
      <c r="CD5" s="62">
        <f ca="1">AVERAGE(OFFSET($CC$3,0,0,'Données projet'!$E$12+1,1))-AVERAGE(OFFSET($H$3,0,0,'Données projet'!$E$12+1,1))</f>
        <v>288.82868507674738</v>
      </c>
      <c r="CE5" s="62">
        <f t="shared" ref="CE5:CE68" si="40">$CE$3</f>
        <v>283.48738729114024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1.1000000000000001</v>
      </c>
      <c r="CT5" s="13">
        <f>IF('Données projet'!$A$140&gt;35,CT4+CS5-DB4,IF(A5&lt;'Données projet'!$A$140,$CQ$205^A5,IF(A5='Données projet'!$A$140,'Données projet'!$B$140,CT4+CS5-DB4)))</f>
        <v>1.6153942662021783</v>
      </c>
      <c r="CU5" s="18">
        <f>CT5*VLOOKUP('Données projet'!$B$13,Paramètres!$A$1:$I$89,3,0)*VLOOKUP('Données projet'!$B$13,Paramètres!$A$1:$I$89,5,0)</f>
        <v>1.4112084309542232</v>
      </c>
      <c r="CV5" s="14">
        <f t="shared" ref="CV5:CV68" si="41">EXP(-1.0587+0.8836*LN(CU5)+0.284)</f>
        <v>0.62478531882621136</v>
      </c>
      <c r="CW5" s="22">
        <f t="shared" si="13"/>
        <v>3.546022447534257</v>
      </c>
      <c r="CX5" s="62">
        <f t="shared" si="14"/>
        <v>262.6571335586454</v>
      </c>
      <c r="CY5" s="62">
        <f ca="1">AVERAGE(OFFSET($CX$3,0,0,'Données projet'!$E$13+1,1))-AVERAGE(OFFSET($H$3,0,0,'Données projet'!$E$13+1,1))</f>
        <v>383.46266660377637</v>
      </c>
      <c r="CZ5" s="62">
        <f t="shared" ref="CZ5:CZ68" si="42">$CZ$3</f>
        <v>373.1287543230714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22.3125</v>
      </c>
      <c r="DO5" s="13">
        <f>IF('Données projet'!$A$166&gt;35,DO4+DN5-DW4,IF(A5&lt;'Données projet'!$A$166,$DL$205^A5,IF(A5='Données projet'!$A$166,'Données projet'!$B$166,DO4+DN5-DW4)))</f>
        <v>2.0848918277346233</v>
      </c>
      <c r="DP5" s="18">
        <f>DO5*VLOOKUP('Données projet'!$B$14,Paramètres!$A$1:$I$89,3,0)*VLOOKUP('Données projet'!$B$14,Paramètres!$A$1:$I$89,5,0)</f>
        <v>1.1968947004658925</v>
      </c>
      <c r="DQ5" s="14">
        <f t="shared" ref="DQ5:DQ68" si="43">EXP(-1.0587+0.8836*LN(DP5)+0.284)</f>
        <v>0.5401598462900532</v>
      </c>
      <c r="DR5" s="22">
        <f t="shared" si="16"/>
        <v>3.0253700022666052</v>
      </c>
      <c r="DS5" s="62">
        <f t="shared" si="17"/>
        <v>262.13648111337773</v>
      </c>
      <c r="DT5" s="62">
        <f ca="1">AVERAGE(OFFSET($DS$3,0,0,'Données projet'!$E$14+1,1))-AVERAGE(OFFSET($H$3,0,0,'Données projet'!$E$14+1,1))</f>
        <v>96.56611521638132</v>
      </c>
      <c r="DU5" s="62">
        <f t="shared" ref="DU5:DU68" si="44">$DU$3</f>
        <v>465.03257878814094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1.1000000000000001</v>
      </c>
      <c r="EJ5" s="13">
        <f>IF('Données projet'!$A$192&gt;35,EJ4+EI5-ER4,IF(A5&lt;'Données projet'!$A$192,$EG$205^A5,IF(A5='Données projet'!$A$192,'Données projet'!$B$192,EJ4+EI5-ER4)))</f>
        <v>1.6153942662021783</v>
      </c>
      <c r="EK5" s="18">
        <f>EJ5*VLOOKUP('Données projet'!$B$15,Paramètres!$A$1:$I$89,3,0)*VLOOKUP('Données projet'!$B$15,Paramètres!$A$1:$I$89,5,0)</f>
        <v>1.310407828743207</v>
      </c>
      <c r="EL5" s="14">
        <f t="shared" ref="EL5:EL68" si="45">EXP(-1.0587+0.8836*LN(EK5)+0.284)</f>
        <v>0.58518398183877263</v>
      </c>
      <c r="EM5" s="22">
        <f t="shared" si="19"/>
        <v>3.3014890700969475</v>
      </c>
      <c r="EN5" s="62">
        <f t="shared" si="20"/>
        <v>262.41260018120806</v>
      </c>
      <c r="EO5" s="62">
        <f ca="1">AVERAGE(OFFSET($EN$3,0,0,'Données projet'!$E$15+1,1))-AVERAGE(OFFSET($H$3,0,0,'Données projet'!$E$15+1,1))</f>
        <v>358.75637627589799</v>
      </c>
      <c r="EP5" s="62">
        <f t="shared" ref="EP5:EP68" si="46">$EP$3</f>
        <v>349.64821164483607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30.0625</v>
      </c>
      <c r="FE5" s="13">
        <f>IF('Données projet'!$A$218&gt;35,FE4+FD5-FM4,IF(A5&lt;'Données projet'!$A$218,$FB$205^A5,IF(A5='Données projet'!$A$218,'Données projet'!$B$218,FE4+FD5-FM4)))</f>
        <v>2.1640542040725665</v>
      </c>
      <c r="FF5" s="18">
        <f>FE5*VLOOKUP('Données projet'!$B$16,Paramètres!$A$1:$I$89,3,0)*VLOOKUP('Données projet'!$B$16,Paramètres!$A$1:$I$89,5,0)</f>
        <v>1.2423402374739791</v>
      </c>
      <c r="FG5" s="14">
        <f t="shared" ref="FG5:FG68" si="47">EXP(-1.0587+0.8836*LN(FF5)+0.284)</f>
        <v>0.5582426532378022</v>
      </c>
      <c r="FH5" s="22">
        <f t="shared" si="22"/>
        <v>3.1360152013230191</v>
      </c>
      <c r="FI5" s="62">
        <f t="shared" si="23"/>
        <v>262.24712631243415</v>
      </c>
      <c r="FJ5" s="62">
        <f ca="1">AVERAGE(OFFSET($FI$3,0,0,'Données projet'!$E$16+1,1))-AVERAGE(OFFSET($H$3,0,0,'Données projet'!$E$16+1,1))</f>
        <v>121.28977654040114</v>
      </c>
      <c r="FK5" s="62">
        <f t="shared" ref="FK5:FK68" si="48">$FK$3</f>
        <v>615.69585264342595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1.1000000000000001</v>
      </c>
      <c r="N6" s="14">
        <f>IF('Données projet'!$A$36&gt;35,N5+M6-V5,IF(A6&lt;'Données projet'!$A$36,$K$205^A6,IF(A6='Données projet'!$A$36,'Données projet'!$B$36,N5+M6-V5)))</f>
        <v>2.0531364136588448</v>
      </c>
      <c r="O6" s="14">
        <f>N6*VLOOKUP('Données projet'!$B$9,Paramètres!$A$1:$I$89,3,0)*VLOOKUP('Données projet'!$B$9,Paramètres!$A$1:$I$89,5,0)</f>
        <v>1.6334753307069771</v>
      </c>
      <c r="P6" s="14">
        <f t="shared" si="33"/>
        <v>0.71098156578295024</v>
      </c>
      <c r="Q6" s="22">
        <f t="shared" si="2"/>
        <v>4.0832624280532892</v>
      </c>
      <c r="R6" s="62">
        <f t="shared" si="0"/>
        <v>264.41659576138659</v>
      </c>
      <c r="S6" s="62">
        <f ca="1">AVERAGE(OFFSET($R$3,0,0,'Données projet'!$E$9+1,1))-AVERAGE(OFFSET($H$3,0,0,'Données projet'!$E$9+1,1))</f>
        <v>352.5736659365665</v>
      </c>
      <c r="T6" s="62">
        <f t="shared" si="34"/>
        <v>343.77208530767069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0.8</v>
      </c>
      <c r="AI6" s="14">
        <f>IF('Données projet'!$A$62&gt;35,AI5+AH6-AQ5,IF(A6&lt;'Données projet'!$A$62,$AF$205^A6,IF(A6='Données projet'!$A$62,'Données projet'!$B$62,AI5+AH6-AQ5)))</f>
        <v>1.866065983073615</v>
      </c>
      <c r="AJ6" s="14">
        <f>AI6*VLOOKUP('Données projet'!$B$10,Paramètres!$A$1:$I$89,3,0)*VLOOKUP('Données projet'!$B$10,Paramètres!$A$1:$I$89,5,0)</f>
        <v>1.2226464321098325</v>
      </c>
      <c r="AK6" s="14">
        <f t="shared" si="35"/>
        <v>0.55041609738472053</v>
      </c>
      <c r="AL6" s="22">
        <f t="shared" si="4"/>
        <v>3.088083905536346</v>
      </c>
      <c r="AM6" s="62">
        <f t="shared" si="5"/>
        <v>263.42141723886965</v>
      </c>
      <c r="AN6" s="62">
        <f ca="1">AVERAGE(OFFSET($AM$3,0,0,'Données projet'!$E$10+1,1))-AVERAGE(OFFSET($H$3,0,0,'Données projet'!$E$10+1,1))</f>
        <v>210.08998695869161</v>
      </c>
      <c r="AO6" s="62">
        <f t="shared" si="36"/>
        <v>207.30911916430881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1.2767077154980495</v>
      </c>
      <c r="BF6" s="14">
        <f t="shared" si="37"/>
        <v>0.57186629317592041</v>
      </c>
      <c r="BG6" s="22">
        <f t="shared" si="7"/>
        <v>3.219599731773831</v>
      </c>
      <c r="BH6" s="62">
        <f t="shared" si="8"/>
        <v>263.55293306510714</v>
      </c>
      <c r="BI6" s="62">
        <f ca="1">AVERAGE(OFFSET($BH$3,0,0,'Données projet'!$E$11+1,1))-AVERAGE(OFFSET($H$3,0,0,'Données projet'!$E$11+1,1))</f>
        <v>335.83558218229564</v>
      </c>
      <c r="BJ6" s="62">
        <f t="shared" si="38"/>
        <v>217.08423061559648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2.6666666666666665</v>
      </c>
      <c r="BY6" s="13">
        <f>IF('Données projet'!$A$114&gt;35,BY5+BX6-CG5,IF(A6&lt;'Données projet'!$A$114,$BV$205^A6,IF(A6='Données projet'!$A$114,'Données projet'!$B$114,BY5+BX6-CG5)))</f>
        <v>2.0912791051825459</v>
      </c>
      <c r="BZ6" s="14">
        <f>BY6*VLOOKUP('Données projet'!$B$12,Paramètres!$A$1:$I$89,3,0)*VLOOKUP('Données projet'!$B$12,Paramètres!$A$1:$I$89,5,0)</f>
        <v>1.6311977020423858</v>
      </c>
      <c r="CA6" s="14">
        <f t="shared" si="39"/>
        <v>0.71010553443370616</v>
      </c>
      <c r="CB6" s="22">
        <f t="shared" si="10"/>
        <v>4.0777698035291934</v>
      </c>
      <c r="CC6" s="62">
        <f t="shared" si="11"/>
        <v>264.41110313686249</v>
      </c>
      <c r="CD6" s="62">
        <f ca="1">AVERAGE(OFFSET($CC$3,0,0,'Données projet'!$E$12+1,1))-AVERAGE(OFFSET($H$3,0,0,'Données projet'!$E$12+1,1))</f>
        <v>288.82868507674738</v>
      </c>
      <c r="CE6" s="62">
        <f t="shared" si="40"/>
        <v>283.48738729114024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1.1000000000000001</v>
      </c>
      <c r="CT6" s="13">
        <f>IF('Données projet'!$A$140&gt;35,CT5+CS6-DB5,IF(A6&lt;'Données projet'!$A$140,$CQ$205^A6,IF(A6='Données projet'!$A$140,'Données projet'!$B$140,CT5+CS6-DB5)))</f>
        <v>2.0531364136588448</v>
      </c>
      <c r="CU6" s="18">
        <f>CT6*VLOOKUP('Données projet'!$B$13,Paramètres!$A$1:$I$89,3,0)*VLOOKUP('Données projet'!$B$13,Paramètres!$A$1:$I$89,5,0)</f>
        <v>1.7936199709723673</v>
      </c>
      <c r="CV6" s="14">
        <f t="shared" si="41"/>
        <v>0.77223285265555475</v>
      </c>
      <c r="CW6" s="22">
        <f t="shared" si="13"/>
        <v>4.4688603344852975</v>
      </c>
      <c r="CX6" s="62">
        <f t="shared" si="14"/>
        <v>264.80219366781859</v>
      </c>
      <c r="CY6" s="62">
        <f ca="1">AVERAGE(OFFSET($CX$3,0,0,'Données projet'!$E$13+1,1))-AVERAGE(OFFSET($H$3,0,0,'Données projet'!$E$13+1,1))</f>
        <v>383.46266660377637</v>
      </c>
      <c r="CZ6" s="62">
        <f t="shared" si="42"/>
        <v>373.1287543230714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22.3125</v>
      </c>
      <c r="DO6" s="13">
        <f>IF('Données projet'!$A$166&gt;35,DO5+DN6-DW5,IF(A6&lt;'Données projet'!$A$166,$DL$205^A6,IF(A6='Données projet'!$A$166,'Données projet'!$B$166,DO5+DN6-DW5)))</f>
        <v>3.0104075223565543</v>
      </c>
      <c r="DP6" s="18">
        <f>DO6*VLOOKUP('Données projet'!$B$14,Paramètres!$A$1:$I$89,3,0)*VLOOKUP('Données projet'!$B$14,Paramètres!$A$1:$I$89,5,0)</f>
        <v>1.7282147504344507</v>
      </c>
      <c r="DQ6" s="14">
        <f t="shared" si="43"/>
        <v>0.74729727610864427</v>
      </c>
      <c r="DR6" s="22">
        <f t="shared" si="16"/>
        <v>4.3115167795625569</v>
      </c>
      <c r="DS6" s="62">
        <f t="shared" si="17"/>
        <v>264.64485011289588</v>
      </c>
      <c r="DT6" s="62">
        <f ca="1">AVERAGE(OFFSET($DS$3,0,0,'Données projet'!$E$14+1,1))-AVERAGE(OFFSET($H$3,0,0,'Données projet'!$E$14+1,1))</f>
        <v>96.56611521638132</v>
      </c>
      <c r="DU6" s="62">
        <f t="shared" si="44"/>
        <v>465.03257878814094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1.1000000000000001</v>
      </c>
      <c r="EJ6" s="13">
        <f>IF('Données projet'!$A$192&gt;35,EJ5+EI6-ER5,IF(A6&lt;'Données projet'!$A$192,$EG$205^A6,IF(A6='Données projet'!$A$192,'Données projet'!$B$192,EJ5+EI6-ER5)))</f>
        <v>2.0531364136588448</v>
      </c>
      <c r="EK6" s="18">
        <f>EJ6*VLOOKUP('Données projet'!$B$15,Paramètres!$A$1:$I$89,3,0)*VLOOKUP('Données projet'!$B$15,Paramètres!$A$1:$I$89,5,0)</f>
        <v>1.6655042587600553</v>
      </c>
      <c r="EL6" s="14">
        <f t="shared" si="45"/>
        <v>0.72328571431972233</v>
      </c>
      <c r="EM6" s="22">
        <f t="shared" si="19"/>
        <v>4.1604758697806128</v>
      </c>
      <c r="EN6" s="62">
        <f t="shared" si="20"/>
        <v>264.49380920311393</v>
      </c>
      <c r="EO6" s="62">
        <f ca="1">AVERAGE(OFFSET($EN$3,0,0,'Données projet'!$E$15+1,1))-AVERAGE(OFFSET($H$3,0,0,'Données projet'!$E$15+1,1))</f>
        <v>358.75637627589799</v>
      </c>
      <c r="EP6" s="62">
        <f t="shared" si="46"/>
        <v>349.64821164483607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30.0625</v>
      </c>
      <c r="FE6" s="13">
        <f>IF('Données projet'!$A$218&gt;35,FE5+FD6-FM5,IF(A6&lt;'Données projet'!$A$218,$FB$205^A6,IF(A6='Données projet'!$A$218,'Données projet'!$B$218,FE5+FD6-FM5)))</f>
        <v>3.1834805573739571</v>
      </c>
      <c r="FF6" s="18">
        <f>FE6*VLOOKUP('Données projet'!$B$16,Paramètres!$A$1:$I$89,3,0)*VLOOKUP('Données projet'!$B$16,Paramètres!$A$1:$I$89,5,0)</f>
        <v>1.8275725183772411</v>
      </c>
      <c r="FG6" s="14">
        <f t="shared" si="47"/>
        <v>0.7851352534119368</v>
      </c>
      <c r="FH6" s="22">
        <f t="shared" si="22"/>
        <v>4.5504660358661511</v>
      </c>
      <c r="FI6" s="62">
        <f t="shared" si="23"/>
        <v>264.88379936919944</v>
      </c>
      <c r="FJ6" s="62">
        <f ca="1">AVERAGE(OFFSET($FI$3,0,0,'Données projet'!$E$16+1,1))-AVERAGE(OFFSET($H$3,0,0,'Données projet'!$E$16+1,1))</f>
        <v>121.28977654040114</v>
      </c>
      <c r="FK6" s="62">
        <f t="shared" si="48"/>
        <v>615.69585264342595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1.1000000000000001</v>
      </c>
      <c r="N7" s="14">
        <f>IF('Données projet'!$A$36&gt;35,N6+M7-V6,IF(A7&lt;'Données projet'!$A$36,$K$205^A7,IF(A7='Données projet'!$A$36,'Données projet'!$B$36,N6+M7-V6)))</f>
        <v>2.6094986352788743</v>
      </c>
      <c r="O7" s="14">
        <f>N7*VLOOKUP('Données projet'!$B$9,Paramètres!$A$1:$I$89,3,0)*VLOOKUP('Données projet'!$B$9,Paramètres!$A$1:$I$89,5,0)</f>
        <v>2.0761171142278725</v>
      </c>
      <c r="P7" s="14">
        <f t="shared" si="33"/>
        <v>0.87877116536856548</v>
      </c>
      <c r="Q7" s="22">
        <f t="shared" si="2"/>
        <v>5.14643042029713</v>
      </c>
      <c r="R7" s="62">
        <f t="shared" si="0"/>
        <v>266.70198597585266</v>
      </c>
      <c r="S7" s="62">
        <f ca="1">AVERAGE(OFFSET($R$3,0,0,'Données projet'!$E$9+1,1))-AVERAGE(OFFSET($H$3,0,0,'Données projet'!$E$9+1,1))</f>
        <v>352.5736659365665</v>
      </c>
      <c r="T7" s="62">
        <f t="shared" si="34"/>
        <v>343.77208530767069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0.8</v>
      </c>
      <c r="AI7" s="14">
        <f>IF('Données projet'!$A$62&gt;35,AI6+AH7-AQ6,IF(A7&lt;'Données projet'!$A$62,$AF$205^A7,IF(A7='Données projet'!$A$62,'Données projet'!$B$62,AI6+AH7-AQ6)))</f>
        <v>2.2973967099940702</v>
      </c>
      <c r="AJ7" s="14">
        <f>AI7*VLOOKUP('Données projet'!$B$10,Paramètres!$A$1:$I$89,3,0)*VLOOKUP('Données projet'!$B$10,Paramètres!$A$1:$I$89,5,0)</f>
        <v>1.5052543243881147</v>
      </c>
      <c r="AK7" s="14">
        <f t="shared" si="35"/>
        <v>0.66143650166815549</v>
      </c>
      <c r="AL7" s="22">
        <f t="shared" si="4"/>
        <v>3.7736531887146705</v>
      </c>
      <c r="AM7" s="62">
        <f t="shared" si="5"/>
        <v>265.3292087442702</v>
      </c>
      <c r="AN7" s="62">
        <f ca="1">AVERAGE(OFFSET($AM$3,0,0,'Données projet'!$E$10+1,1))-AVERAGE(OFFSET($H$3,0,0,'Données projet'!$E$10+1,1))</f>
        <v>210.08998695869161</v>
      </c>
      <c r="AO7" s="62">
        <f t="shared" si="36"/>
        <v>207.30911916430881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1.5821863228758857</v>
      </c>
      <c r="BF7" s="14">
        <f t="shared" si="37"/>
        <v>0.69121969359595015</v>
      </c>
      <c r="BG7" s="22">
        <f t="shared" si="7"/>
        <v>3.9595154786884472</v>
      </c>
      <c r="BH7" s="62">
        <f t="shared" si="8"/>
        <v>265.51507103424399</v>
      </c>
      <c r="BI7" s="62">
        <f ca="1">AVERAGE(OFFSET($BH$3,0,0,'Données projet'!$E$11+1,1))-AVERAGE(OFFSET($H$3,0,0,'Données projet'!$E$11+1,1))</f>
        <v>335.83558218229564</v>
      </c>
      <c r="BJ7" s="62">
        <f t="shared" si="38"/>
        <v>217.08423061559648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2.6666666666666665</v>
      </c>
      <c r="BY7" s="13">
        <f>IF('Données projet'!$A$114&gt;35,BY6+BX7-CG6,IF(A7&lt;'Données projet'!$A$114,$BV$205^A7,IF(A7='Données projet'!$A$114,'Données projet'!$B$114,BY6+BX7-CG6)))</f>
        <v>2.6743361672197152</v>
      </c>
      <c r="BZ7" s="14">
        <f>BY7*VLOOKUP('Données projet'!$B$12,Paramètres!$A$1:$I$89,3,0)*VLOOKUP('Données projet'!$B$12,Paramètres!$A$1:$I$89,5,0)</f>
        <v>2.0859822104313781</v>
      </c>
      <c r="CA7" s="14">
        <f t="shared" si="39"/>
        <v>0.88245976121767966</v>
      </c>
      <c r="CB7" s="22">
        <f t="shared" si="10"/>
        <v>5.1700364339554419</v>
      </c>
      <c r="CC7" s="62">
        <f t="shared" si="11"/>
        <v>266.72559198951097</v>
      </c>
      <c r="CD7" s="62">
        <f ca="1">AVERAGE(OFFSET($CC$3,0,0,'Données projet'!$E$12+1,1))-AVERAGE(OFFSET($H$3,0,0,'Données projet'!$E$12+1,1))</f>
        <v>288.82868507674738</v>
      </c>
      <c r="CE7" s="62">
        <f t="shared" si="40"/>
        <v>283.48738729114024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1.1000000000000001</v>
      </c>
      <c r="CT7" s="13">
        <f>IF('Données projet'!$A$140&gt;35,CT6+CS7-DB6,IF(A7&lt;'Données projet'!$A$140,$CQ$205^A7,IF(A7='Données projet'!$A$140,'Données projet'!$B$140,CT6+CS7-DB6)))</f>
        <v>2.6094986352788743</v>
      </c>
      <c r="CU7" s="18">
        <f>CT7*VLOOKUP('Données projet'!$B$13,Paramètres!$A$1:$I$89,3,0)*VLOOKUP('Données projet'!$B$13,Paramètres!$A$1:$I$89,5,0)</f>
        <v>2.2796580077796249</v>
      </c>
      <c r="CV7" s="14">
        <f t="shared" si="41"/>
        <v>0.95447757934019706</v>
      </c>
      <c r="CW7" s="22">
        <f t="shared" si="13"/>
        <v>5.632786147567022</v>
      </c>
      <c r="CX7" s="62">
        <f t="shared" si="14"/>
        <v>267.18834170312255</v>
      </c>
      <c r="CY7" s="62">
        <f ca="1">AVERAGE(OFFSET($CX$3,0,0,'Données projet'!$E$13+1,1))-AVERAGE(OFFSET($H$3,0,0,'Données projet'!$E$13+1,1))</f>
        <v>383.46266660377637</v>
      </c>
      <c r="CZ7" s="62">
        <f t="shared" si="42"/>
        <v>373.1287543230714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22.3125</v>
      </c>
      <c r="DO7" s="13">
        <f>IF('Données projet'!$A$166&gt;35,DO6+DN7-DW6,IF(A7&lt;'Données projet'!$A$166,$DL$205^A7,IF(A7='Données projet'!$A$166,'Données projet'!$B$166,DO6+DN7-DW6)))</f>
        <v>4.3467739333546183</v>
      </c>
      <c r="DP7" s="18">
        <f>DO7*VLOOKUP('Données projet'!$B$14,Paramètres!$A$1:$I$89,3,0)*VLOOKUP('Données projet'!$B$14,Paramètres!$A$1:$I$89,5,0)</f>
        <v>2.4953959796602194</v>
      </c>
      <c r="DQ7" s="14">
        <f t="shared" si="43"/>
        <v>1.0338665910007743</v>
      </c>
      <c r="DR7" s="22">
        <f t="shared" si="16"/>
        <v>6.1467989772345639</v>
      </c>
      <c r="DS7" s="62">
        <f t="shared" si="17"/>
        <v>267.70235453279008</v>
      </c>
      <c r="DT7" s="62">
        <f ca="1">AVERAGE(OFFSET($DS$3,0,0,'Données projet'!$E$14+1,1))-AVERAGE(OFFSET($H$3,0,0,'Données projet'!$E$14+1,1))</f>
        <v>96.56611521638132</v>
      </c>
      <c r="DU7" s="62">
        <f t="shared" si="44"/>
        <v>465.03257878814094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1.1000000000000001</v>
      </c>
      <c r="EJ7" s="13">
        <f>IF('Données projet'!$A$192&gt;35,EJ6+EI7-ER6,IF(A7&lt;'Données projet'!$A$192,$EG$205^A7,IF(A7='Données projet'!$A$192,'Données projet'!$B$192,EJ6+EI7-ER6)))</f>
        <v>2.6094986352788743</v>
      </c>
      <c r="EK7" s="18">
        <f>EJ7*VLOOKUP('Données projet'!$B$15,Paramètres!$A$1:$I$89,3,0)*VLOOKUP('Données projet'!$B$15,Paramètres!$A$1:$I$89,5,0)</f>
        <v>2.116825292938223</v>
      </c>
      <c r="EL7" s="14">
        <f t="shared" si="45"/>
        <v>0.89397905748405238</v>
      </c>
      <c r="EM7" s="22">
        <f t="shared" si="19"/>
        <v>5.2438175769854629</v>
      </c>
      <c r="EN7" s="62">
        <f t="shared" si="20"/>
        <v>266.79937313254101</v>
      </c>
      <c r="EO7" s="62">
        <f ca="1">AVERAGE(OFFSET($EN$3,0,0,'Données projet'!$E$15+1,1))-AVERAGE(OFFSET($H$3,0,0,'Données projet'!$E$15+1,1))</f>
        <v>358.75637627589799</v>
      </c>
      <c r="EP7" s="62">
        <f t="shared" si="46"/>
        <v>349.64821164483607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30.0625</v>
      </c>
      <c r="FE7" s="13">
        <f>IF('Données projet'!$A$218&gt;35,FE6+FD7-FM6,IF(A7&lt;'Données projet'!$A$218,$FB$205^A7,IF(A7='Données projet'!$A$218,'Données projet'!$B$218,FE6+FD7-FM6)))</f>
        <v>4.6831305981641496</v>
      </c>
      <c r="FF7" s="18">
        <f>FE7*VLOOKUP('Données projet'!$B$16,Paramètres!$A$1:$I$89,3,0)*VLOOKUP('Données projet'!$B$16,Paramètres!$A$1:$I$89,5,0)</f>
        <v>2.6884916137940751</v>
      </c>
      <c r="FG7" s="14">
        <f t="shared" si="47"/>
        <v>1.1042462674159623</v>
      </c>
      <c r="FH7" s="22">
        <f t="shared" si="22"/>
        <v>6.6056851431074817</v>
      </c>
      <c r="FI7" s="62">
        <f t="shared" si="23"/>
        <v>268.16124069866305</v>
      </c>
      <c r="FJ7" s="62">
        <f ca="1">AVERAGE(OFFSET($FI$3,0,0,'Données projet'!$E$16+1,1))-AVERAGE(OFFSET($H$3,0,0,'Données projet'!$E$16+1,1))</f>
        <v>121.28977654040114</v>
      </c>
      <c r="FK7" s="62">
        <f t="shared" si="48"/>
        <v>615.69585264342595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1.1000000000000001</v>
      </c>
      <c r="N8" s="14">
        <f>IF('Données projet'!$A$36&gt;35,N7+M8-V7,IF(A8&lt;'Données projet'!$A$36,$K$205^A8,IF(A8='Données projet'!$A$36,'Données projet'!$B$36,N7+M8-V7)))</f>
        <v>3.3166247903554016</v>
      </c>
      <c r="O8" s="14">
        <f>N8*VLOOKUP('Données projet'!$B$9,Paramètres!$A$1:$I$89,3,0)*VLOOKUP('Données projet'!$B$9,Paramètres!$A$1:$I$89,5,0)</f>
        <v>2.6387066832067574</v>
      </c>
      <c r="P8" s="14">
        <f t="shared" si="33"/>
        <v>1.0861586266766543</v>
      </c>
      <c r="Q8" s="22">
        <f t="shared" si="2"/>
        <v>6.4874737480469413</v>
      </c>
      <c r="R8" s="62">
        <f t="shared" si="0"/>
        <v>269.26525152582474</v>
      </c>
      <c r="S8" s="62">
        <f ca="1">AVERAGE(OFFSET($R$3,0,0,'Données projet'!$E$9+1,1))-AVERAGE(OFFSET($H$3,0,0,'Données projet'!$E$9+1,1))</f>
        <v>352.5736659365665</v>
      </c>
      <c r="T8" s="62">
        <f t="shared" si="34"/>
        <v>343.77208530767069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0.8</v>
      </c>
      <c r="AI8" s="14">
        <f>IF('Données projet'!$A$62&gt;35,AI7+AH8-AQ7,IF(A8&lt;'Données projet'!$A$62,$AF$205^A8,IF(A8='Données projet'!$A$62,'Données projet'!$B$62,AI7+AH8-AQ7)))</f>
        <v>2.8284271247461903</v>
      </c>
      <c r="AJ8" s="14">
        <f>AI8*VLOOKUP('Données projet'!$B$10,Paramètres!$A$1:$I$89,3,0)*VLOOKUP('Données projet'!$B$10,Paramètres!$A$1:$I$89,5,0)</f>
        <v>1.8531854521337039</v>
      </c>
      <c r="AK8" s="14">
        <f t="shared" si="35"/>
        <v>0.79485001949936218</v>
      </c>
      <c r="AL8" s="22">
        <f t="shared" si="4"/>
        <v>4.611995113094256</v>
      </c>
      <c r="AM8" s="62">
        <f t="shared" si="5"/>
        <v>267.38977289087205</v>
      </c>
      <c r="AN8" s="62">
        <f ca="1">AVERAGE(OFFSET($AM$3,0,0,'Données projet'!$E$10+1,1))-AVERAGE(OFFSET($H$3,0,0,'Données projet'!$E$10+1,1))</f>
        <v>210.08998695869161</v>
      </c>
      <c r="AO8" s="62">
        <f t="shared" si="36"/>
        <v>207.30911916430881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1.9607569766420361</v>
      </c>
      <c r="BF8" s="14">
        <f t="shared" si="37"/>
        <v>0.83548317240635239</v>
      </c>
      <c r="BG8" s="22">
        <f t="shared" si="7"/>
        <v>4.8701182595926094</v>
      </c>
      <c r="BH8" s="62">
        <f t="shared" si="8"/>
        <v>267.6478960373704</v>
      </c>
      <c r="BI8" s="62">
        <f ca="1">AVERAGE(OFFSET($BH$3,0,0,'Données projet'!$E$11+1,1))-AVERAGE(OFFSET($H$3,0,0,'Données projet'!$E$11+1,1))</f>
        <v>335.83558218229564</v>
      </c>
      <c r="BJ8" s="62">
        <f t="shared" si="38"/>
        <v>217.08423061559648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2.6666666666666665</v>
      </c>
      <c r="BY8" s="13">
        <f>IF('Données projet'!$A$114&gt;35,BY7+BX8-CG7,IF(A8&lt;'Données projet'!$A$114,$BV$205^A8,IF(A8='Données projet'!$A$114,'Données projet'!$B$114,BY7+BX8-CG7)))</f>
        <v>3.4199518933533928</v>
      </c>
      <c r="BZ8" s="14">
        <f>BY8*VLOOKUP('Données projet'!$B$12,Paramètres!$A$1:$I$89,3,0)*VLOOKUP('Données projet'!$B$12,Paramètres!$A$1:$I$89,5,0)</f>
        <v>2.6675624768156463</v>
      </c>
      <c r="CA8" s="14">
        <f t="shared" si="39"/>
        <v>1.0966471776471767</v>
      </c>
      <c r="CB8" s="22">
        <f t="shared" si="10"/>
        <v>6.5559984815227494</v>
      </c>
      <c r="CC8" s="62">
        <f t="shared" si="11"/>
        <v>269.33377625930052</v>
      </c>
      <c r="CD8" s="62">
        <f ca="1">AVERAGE(OFFSET($CC$3,0,0,'Données projet'!$E$12+1,1))-AVERAGE(OFFSET($H$3,0,0,'Données projet'!$E$12+1,1))</f>
        <v>288.82868507674738</v>
      </c>
      <c r="CE8" s="62">
        <f t="shared" si="40"/>
        <v>283.48738729114024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1.1000000000000001</v>
      </c>
      <c r="CT8" s="13">
        <f>IF('Données projet'!$A$140&gt;35,CT7+CS8-DB7,IF(A8&lt;'Données projet'!$A$140,$CQ$205^A8,IF(A8='Données projet'!$A$140,'Données projet'!$B$140,CT7+CS8-DB7)))</f>
        <v>3.3166247903554016</v>
      </c>
      <c r="CU8" s="18">
        <f>CT8*VLOOKUP('Données projet'!$B$13,Paramètres!$A$1:$I$89,3,0)*VLOOKUP('Données projet'!$B$13,Paramètres!$A$1:$I$89,5,0)</f>
        <v>2.8974034168544791</v>
      </c>
      <c r="CV8" s="14">
        <f t="shared" si="41"/>
        <v>1.1797315360649065</v>
      </c>
      <c r="CW8" s="22">
        <f t="shared" si="13"/>
        <v>7.1010100430012626</v>
      </c>
      <c r="CX8" s="62">
        <f t="shared" si="14"/>
        <v>269.87878782077905</v>
      </c>
      <c r="CY8" s="62">
        <f ca="1">AVERAGE(OFFSET($CX$3,0,0,'Données projet'!$E$13+1,1))-AVERAGE(OFFSET($H$3,0,0,'Données projet'!$E$13+1,1))</f>
        <v>383.46266660377637</v>
      </c>
      <c r="CZ8" s="62">
        <f t="shared" si="42"/>
        <v>373.1287543230714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22.3125</v>
      </c>
      <c r="DO8" s="13">
        <f>IF('Données projet'!$A$166&gt;35,DO7+DN8-DW7,IF(A8&lt;'Données projet'!$A$166,$DL$205^A8,IF(A8='Données projet'!$A$166,'Données projet'!$B$166,DO7+DN8-DW7)))</f>
        <v>6.2763740415120157</v>
      </c>
      <c r="DP8" s="18">
        <f>DO8*VLOOKUP('Données projet'!$B$14,Paramètres!$A$1:$I$89,3,0)*VLOOKUP('Données projet'!$B$14,Paramètres!$A$1:$I$89,5,0)</f>
        <v>3.6031408097512183</v>
      </c>
      <c r="DQ8" s="14">
        <f t="shared" si="43"/>
        <v>1.4303278790918073</v>
      </c>
      <c r="DR8" s="22">
        <f t="shared" si="16"/>
        <v>8.7666246330682682</v>
      </c>
      <c r="DS8" s="62">
        <f t="shared" si="17"/>
        <v>271.54440241084603</v>
      </c>
      <c r="DT8" s="62">
        <f ca="1">AVERAGE(OFFSET($DS$3,0,0,'Données projet'!$E$14+1,1))-AVERAGE(OFFSET($H$3,0,0,'Données projet'!$E$14+1,1))</f>
        <v>96.56611521638132</v>
      </c>
      <c r="DU8" s="62">
        <f t="shared" si="44"/>
        <v>465.03257878814094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1.1000000000000001</v>
      </c>
      <c r="EJ8" s="13">
        <f>IF('Données projet'!$A$192&gt;35,EJ7+EI8-ER7,IF(A8&lt;'Données projet'!$A$192,$EG$205^A8,IF(A8='Données projet'!$A$192,'Données projet'!$B$192,EJ7+EI8-ER7)))</f>
        <v>3.3166247903554016</v>
      </c>
      <c r="EK8" s="18">
        <f>EJ8*VLOOKUP('Données projet'!$B$15,Paramètres!$A$1:$I$89,3,0)*VLOOKUP('Données projet'!$B$15,Paramètres!$A$1:$I$89,5,0)</f>
        <v>2.690446029936302</v>
      </c>
      <c r="EL8" s="14">
        <f t="shared" si="45"/>
        <v>1.1049555374832079</v>
      </c>
      <c r="EM8" s="22">
        <f t="shared" si="19"/>
        <v>6.6103243965889789</v>
      </c>
      <c r="EN8" s="62">
        <f t="shared" si="20"/>
        <v>269.38810217436674</v>
      </c>
      <c r="EO8" s="62">
        <f ca="1">AVERAGE(OFFSET($EN$3,0,0,'Données projet'!$E$15+1,1))-AVERAGE(OFFSET($H$3,0,0,'Données projet'!$E$15+1,1))</f>
        <v>358.75637627589799</v>
      </c>
      <c r="EP8" s="62">
        <f t="shared" si="46"/>
        <v>349.64821164483607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30.0625</v>
      </c>
      <c r="FE8" s="13">
        <f>IF('Données projet'!$A$218&gt;35,FE7+FD8-FM7,IF(A8&lt;'Données projet'!$A$218,$FB$205^A8,IF(A8='Données projet'!$A$218,'Données projet'!$B$218,FE7+FD8-FM7)))</f>
        <v>6.8892244837683894</v>
      </c>
      <c r="FF8" s="18">
        <f>FE8*VLOOKUP('Données projet'!$B$16,Paramètres!$A$1:$I$89,3,0)*VLOOKUP('Données projet'!$B$16,Paramètres!$A$1:$I$89,5,0)</f>
        <v>3.9549659916417572</v>
      </c>
      <c r="FG8" s="14">
        <f t="shared" si="47"/>
        <v>1.5530570227271701</v>
      </c>
      <c r="FH8" s="22">
        <f t="shared" si="22"/>
        <v>9.5931400833592146</v>
      </c>
      <c r="FI8" s="62">
        <f t="shared" si="23"/>
        <v>272.370917861137</v>
      </c>
      <c r="FJ8" s="62">
        <f ca="1">AVERAGE(OFFSET($FI$3,0,0,'Données projet'!$E$16+1,1))-AVERAGE(OFFSET($H$3,0,0,'Données projet'!$E$16+1,1))</f>
        <v>121.28977654040114</v>
      </c>
      <c r="FK8" s="62">
        <f t="shared" si="48"/>
        <v>615.69585264342595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1.1000000000000001</v>
      </c>
      <c r="N9" s="14">
        <f>IF('Données projet'!$A$36&gt;35,N8+M9-V8,IF(A9&lt;'Données projet'!$A$36,$K$205^A9,IF(A9='Données projet'!$A$36,'Données projet'!$B$36,N8+M9-V8)))</f>
        <v>4.2153691330919028</v>
      </c>
      <c r="O9" s="14">
        <f>N9*VLOOKUP('Données projet'!$B$9,Paramètres!$A$1:$I$89,3,0)*VLOOKUP('Données projet'!$B$9,Paramètres!$A$1:$I$89,5,0)</f>
        <v>3.353747682287918</v>
      </c>
      <c r="P9" s="14">
        <f t="shared" si="33"/>
        <v>1.3424889309030987</v>
      </c>
      <c r="Q9" s="22">
        <f t="shared" si="2"/>
        <v>8.1792787679743544</v>
      </c>
      <c r="R9" s="62">
        <f t="shared" si="0"/>
        <v>272.17927876797438</v>
      </c>
      <c r="S9" s="62">
        <f ca="1">AVERAGE(OFFSET($R$3,0,0,'Données projet'!$E$9+1,1))-AVERAGE(OFFSET($H$3,0,0,'Données projet'!$E$9+1,1))</f>
        <v>352.5736659365665</v>
      </c>
      <c r="T9" s="62">
        <f t="shared" si="34"/>
        <v>343.77208530767069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0.8</v>
      </c>
      <c r="AI9" s="14">
        <f>IF('Données projet'!$A$62&gt;35,AI8+AH9-AQ8,IF(A9&lt;'Données projet'!$A$62,$AF$205^A9,IF(A9='Données projet'!$A$62,'Données projet'!$B$62,AI8+AH9-AQ8)))</f>
        <v>3.4822022531844969</v>
      </c>
      <c r="AJ9" s="14">
        <f>AI9*VLOOKUP('Données projet'!$B$10,Paramètres!$A$1:$I$89,3,0)*VLOOKUP('Données projet'!$B$10,Paramètres!$A$1:$I$89,5,0)</f>
        <v>2.2815389162864825</v>
      </c>
      <c r="AK9" s="14">
        <f t="shared" si="35"/>
        <v>0.95517340198909284</v>
      </c>
      <c r="AL9" s="22">
        <f t="shared" si="4"/>
        <v>5.6372739543299604</v>
      </c>
      <c r="AM9" s="62">
        <f t="shared" si="5"/>
        <v>269.63727395432994</v>
      </c>
      <c r="AN9" s="62">
        <f ca="1">AVERAGE(OFFSET($AM$3,0,0,'Données projet'!$E$10+1,1))-AVERAGE(OFFSET($H$3,0,0,'Données projet'!$E$10+1,1))</f>
        <v>210.08998695869161</v>
      </c>
      <c r="AO9" s="62">
        <f t="shared" si="36"/>
        <v>207.30911916430881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2.4299084538047828</v>
      </c>
      <c r="BF9" s="14">
        <f t="shared" si="37"/>
        <v>1.0098556766269089</v>
      </c>
      <c r="BG9" s="22">
        <f t="shared" si="7"/>
        <v>5.9909225271685296</v>
      </c>
      <c r="BH9" s="62">
        <f t="shared" si="8"/>
        <v>269.99092252716855</v>
      </c>
      <c r="BI9" s="62">
        <f ca="1">AVERAGE(OFFSET($BH$3,0,0,'Données projet'!$E$11+1,1))-AVERAGE(OFFSET($H$3,0,0,'Données projet'!$E$11+1,1))</f>
        <v>335.83558218229564</v>
      </c>
      <c r="BJ9" s="62">
        <f t="shared" si="38"/>
        <v>217.08423061559648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2.6666666666666665</v>
      </c>
      <c r="BY9" s="13">
        <f>IF('Données projet'!$A$114&gt;35,BY8+BX9-CG8,IF(A9&lt;'Données projet'!$A$114,$BV$205^A9,IF(A9='Données projet'!$A$114,'Données projet'!$B$114,BY8+BX9-CG8)))</f>
        <v>4.3734482957731098</v>
      </c>
      <c r="BZ9" s="14">
        <f>BY9*VLOOKUP('Données projet'!$B$12,Paramètres!$A$1:$I$89,3,0)*VLOOKUP('Données projet'!$B$12,Paramètres!$A$1:$I$89,5,0)</f>
        <v>3.4112896707030256</v>
      </c>
      <c r="CA9" s="14">
        <f t="shared" si="39"/>
        <v>1.3628213830192535</v>
      </c>
      <c r="CB9" s="22">
        <f t="shared" si="10"/>
        <v>8.3149100852329703</v>
      </c>
      <c r="CC9" s="62">
        <f t="shared" si="11"/>
        <v>272.31491008523295</v>
      </c>
      <c r="CD9" s="62">
        <f ca="1">AVERAGE(OFFSET($CC$3,0,0,'Données projet'!$E$12+1,1))-AVERAGE(OFFSET($H$3,0,0,'Données projet'!$E$12+1,1))</f>
        <v>288.82868507674738</v>
      </c>
      <c r="CE9" s="62">
        <f t="shared" si="40"/>
        <v>283.48738729114024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1.1000000000000001</v>
      </c>
      <c r="CT9" s="13">
        <f>IF('Données projet'!$A$140&gt;35,CT8+CS9-DB8,IF(A9&lt;'Données projet'!$A$140,$CQ$205^A9,IF(A9='Données projet'!$A$140,'Données projet'!$B$140,CT8+CS9-DB8)))</f>
        <v>4.2153691330919028</v>
      </c>
      <c r="CU9" s="18">
        <f>CT9*VLOOKUP('Données projet'!$B$13,Paramètres!$A$1:$I$89,3,0)*VLOOKUP('Données projet'!$B$13,Paramètres!$A$1:$I$89,5,0)</f>
        <v>3.6825464746690866</v>
      </c>
      <c r="CV9" s="14">
        <f t="shared" si="41"/>
        <v>1.4581447771126821</v>
      </c>
      <c r="CW9" s="22">
        <f t="shared" si="13"/>
        <v>8.9533705968532473</v>
      </c>
      <c r="CX9" s="62">
        <f t="shared" si="14"/>
        <v>272.95337059685323</v>
      </c>
      <c r="CY9" s="62">
        <f ca="1">AVERAGE(OFFSET($CX$3,0,0,'Données projet'!$E$13+1,1))-AVERAGE(OFFSET($H$3,0,0,'Données projet'!$E$13+1,1))</f>
        <v>383.46266660377637</v>
      </c>
      <c r="CZ9" s="62">
        <f t="shared" si="42"/>
        <v>373.1287543230714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22.3125</v>
      </c>
      <c r="DO9" s="13">
        <f>IF('Données projet'!$A$166&gt;35,DO8+DN9-DW8,IF(A9&lt;'Données projet'!$A$166,$DL$205^A9,IF(A9='Données projet'!$A$166,'Données projet'!$B$166,DO8+DN9-DW8)))</f>
        <v>9.0625534506609284</v>
      </c>
      <c r="DP9" s="18">
        <f>DO9*VLOOKUP('Données projet'!$B$14,Paramètres!$A$1:$I$89,3,0)*VLOOKUP('Données projet'!$B$14,Paramètres!$A$1:$I$89,5,0)</f>
        <v>5.2026306849554258</v>
      </c>
      <c r="DQ9" s="14">
        <f t="shared" si="43"/>
        <v>1.9788218900921384</v>
      </c>
      <c r="DR9" s="22">
        <f t="shared" si="16"/>
        <v>12.507696568207841</v>
      </c>
      <c r="DS9" s="62">
        <f t="shared" si="17"/>
        <v>276.50769656820785</v>
      </c>
      <c r="DT9" s="62">
        <f ca="1">AVERAGE(OFFSET($DS$3,0,0,'Données projet'!$E$14+1,1))-AVERAGE(OFFSET($H$3,0,0,'Données projet'!$E$14+1,1))</f>
        <v>96.56611521638132</v>
      </c>
      <c r="DU9" s="62">
        <f t="shared" si="44"/>
        <v>465.03257878814094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1.1000000000000001</v>
      </c>
      <c r="EJ9" s="13">
        <f>IF('Données projet'!$A$192&gt;35,EJ8+EI9-ER8,IF(A9&lt;'Données projet'!$A$192,$EG$205^A9,IF(A9='Données projet'!$A$192,'Données projet'!$B$192,EJ8+EI9-ER8)))</f>
        <v>4.2153691330919028</v>
      </c>
      <c r="EK9" s="18">
        <f>EJ9*VLOOKUP('Données projet'!$B$15,Paramètres!$A$1:$I$89,3,0)*VLOOKUP('Données projet'!$B$15,Paramètres!$A$1:$I$89,5,0)</f>
        <v>3.4195074407641517</v>
      </c>
      <c r="EL9" s="14">
        <f t="shared" si="45"/>
        <v>1.3657218584637647</v>
      </c>
      <c r="EM9" s="22">
        <f t="shared" si="19"/>
        <v>8.3342743628219527</v>
      </c>
      <c r="EN9" s="62">
        <f t="shared" si="20"/>
        <v>272.33427436282193</v>
      </c>
      <c r="EO9" s="62">
        <f ca="1">AVERAGE(OFFSET($EN$3,0,0,'Données projet'!$E$15+1,1))-AVERAGE(OFFSET($H$3,0,0,'Données projet'!$E$15+1,1))</f>
        <v>358.75637627589799</v>
      </c>
      <c r="EP9" s="62">
        <f t="shared" si="46"/>
        <v>349.64821164483607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30.0625</v>
      </c>
      <c r="FE9" s="13">
        <f>IF('Données projet'!$A$218&gt;35,FE8+FD9-FM8,IF(A9&lt;'Données projet'!$A$218,$FB$205^A9,IF(A9='Données projet'!$A$218,'Données projet'!$B$218,FE8+FD9-FM8)))</f>
        <v>10.134548459178001</v>
      </c>
      <c r="FF9" s="18">
        <f>FE9*VLOOKUP('Données projet'!$B$16,Paramètres!$A$1:$I$89,3,0)*VLOOKUP('Données projet'!$B$16,Paramètres!$A$1:$I$89,5,0)</f>
        <v>5.8180415794449063</v>
      </c>
      <c r="FG9" s="14">
        <f t="shared" si="47"/>
        <v>2.1842827881922124</v>
      </c>
      <c r="FH9" s="22">
        <f t="shared" si="22"/>
        <v>13.937381606967982</v>
      </c>
      <c r="FI9" s="62">
        <f t="shared" si="23"/>
        <v>277.93738160696796</v>
      </c>
      <c r="FJ9" s="62">
        <f ca="1">AVERAGE(OFFSET($FI$3,0,0,'Données projet'!$E$16+1,1))-AVERAGE(OFFSET($H$3,0,0,'Données projet'!$E$16+1,1))</f>
        <v>121.28977654040114</v>
      </c>
      <c r="FK9" s="62">
        <f t="shared" si="48"/>
        <v>615.69585264342595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1.1000000000000001</v>
      </c>
      <c r="N10" s="14">
        <f>IF('Données projet'!$A$36&gt;35,N9+M10-V9,IF(A10&lt;'Données projet'!$A$36,$K$205^A10,IF(A10='Données projet'!$A$36,'Données projet'!$B$36,N9+M10-V9)))</f>
        <v>5.3576566694841175</v>
      </c>
      <c r="O10" s="14">
        <f>N10*VLOOKUP('Données projet'!$B$9,Paramètres!$A$1:$I$89,3,0)*VLOOKUP('Données projet'!$B$9,Paramètres!$A$1:$I$89,5,0)</f>
        <v>4.2625516462415645</v>
      </c>
      <c r="P10" s="14">
        <f t="shared" si="33"/>
        <v>1.6593124478620722</v>
      </c>
      <c r="Q10" s="22">
        <f t="shared" si="2"/>
        <v>10.313913297230501</v>
      </c>
      <c r="R10" s="62">
        <f t="shared" si="0"/>
        <v>275.53613551945273</v>
      </c>
      <c r="S10" s="62">
        <f ca="1">AVERAGE(OFFSET($R$3,0,0,'Données projet'!$E$9+1,1))-AVERAGE(OFFSET($H$3,0,0,'Données projet'!$E$9+1,1))</f>
        <v>352.5736659365665</v>
      </c>
      <c r="T10" s="62">
        <f t="shared" si="34"/>
        <v>343.77208530767069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0.8</v>
      </c>
      <c r="AI10" s="14">
        <f>IF('Données projet'!$A$62&gt;35,AI9+AH10-AQ9,IF(A10&lt;'Données projet'!$A$62,$AF$205^A10,IF(A10='Données projet'!$A$62,'Données projet'!$B$62,AI9+AH10-AQ9)))</f>
        <v>4.2870938501451734</v>
      </c>
      <c r="AJ10" s="14">
        <f>AI10*VLOOKUP('Données projet'!$B$10,Paramètres!$A$1:$I$89,3,0)*VLOOKUP('Données projet'!$B$10,Paramètres!$A$1:$I$89,5,0)</f>
        <v>2.8089038906151176</v>
      </c>
      <c r="AK10" s="14">
        <f t="shared" si="35"/>
        <v>1.1478344410711172</v>
      </c>
      <c r="AL10" s="22">
        <f t="shared" si="4"/>
        <v>6.8913192610201923</v>
      </c>
      <c r="AM10" s="62">
        <f t="shared" si="5"/>
        <v>272.11354148324244</v>
      </c>
      <c r="AN10" s="62">
        <f ca="1">AVERAGE(OFFSET($AM$3,0,0,'Données projet'!$E$10+1,1))-AVERAGE(OFFSET($H$3,0,0,'Données projet'!$E$10+1,1))</f>
        <v>210.08998695869161</v>
      </c>
      <c r="AO10" s="62">
        <f t="shared" si="36"/>
        <v>207.30911916430881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3.011314081352312</v>
      </c>
      <c r="BF10" s="14">
        <f t="shared" si="37"/>
        <v>1.2206212181130434</v>
      </c>
      <c r="BG10" s="22">
        <f t="shared" si="7"/>
        <v>7.3706206465688275</v>
      </c>
      <c r="BH10" s="62">
        <f t="shared" si="8"/>
        <v>272.59284286879108</v>
      </c>
      <c r="BI10" s="62">
        <f ca="1">AVERAGE(OFFSET($BH$3,0,0,'Données projet'!$E$11+1,1))-AVERAGE(OFFSET($H$3,0,0,'Données projet'!$E$11+1,1))</f>
        <v>335.83558218229564</v>
      </c>
      <c r="BJ10" s="62">
        <f t="shared" si="38"/>
        <v>217.08423061559648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2.6666666666666665</v>
      </c>
      <c r="BY10" s="13">
        <f>IF('Données projet'!$A$114&gt;35,BY9+BX10-CG9,IF(A10&lt;'Données projet'!$A$114,$BV$205^A10,IF(A10='Données projet'!$A$114,'Données projet'!$B$114,BY9+BX10-CG9)))</f>
        <v>5.5927833467405659</v>
      </c>
      <c r="BZ10" s="14">
        <f>BY10*VLOOKUP('Données projet'!$B$12,Paramètres!$A$1:$I$89,3,0)*VLOOKUP('Données projet'!$B$12,Paramètres!$A$1:$I$89,5,0)</f>
        <v>4.3623710104576414</v>
      </c>
      <c r="CA10" s="14">
        <f t="shared" si="39"/>
        <v>1.6936004212396314</v>
      </c>
      <c r="CB10" s="22">
        <f t="shared" si="10"/>
        <v>10.54748357687275</v>
      </c>
      <c r="CC10" s="62">
        <f t="shared" si="11"/>
        <v>275.76970579909499</v>
      </c>
      <c r="CD10" s="62">
        <f ca="1">AVERAGE(OFFSET($CC$3,0,0,'Données projet'!$E$12+1,1))-AVERAGE(OFFSET($H$3,0,0,'Données projet'!$E$12+1,1))</f>
        <v>288.82868507674738</v>
      </c>
      <c r="CE10" s="62">
        <f t="shared" si="40"/>
        <v>283.48738729114024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1.1000000000000001</v>
      </c>
      <c r="CT10" s="13">
        <f>IF('Données projet'!$A$140&gt;35,CT9+CS10-DB9,IF(A10&lt;'Données projet'!$A$140,$CQ$205^A10,IF(A10='Données projet'!$A$140,'Données projet'!$B$140,CT9+CS10-DB9)))</f>
        <v>5.3576566694841175</v>
      </c>
      <c r="CU10" s="18">
        <f>CT10*VLOOKUP('Données projet'!$B$13,Paramètres!$A$1:$I$89,3,0)*VLOOKUP('Données projet'!$B$13,Paramètres!$A$1:$I$89,5,0)</f>
        <v>4.6804488664613251</v>
      </c>
      <c r="CV10" s="14">
        <f t="shared" si="41"/>
        <v>1.8022627403121443</v>
      </c>
      <c r="CW10" s="22">
        <f t="shared" si="13"/>
        <v>11.290722715130457</v>
      </c>
      <c r="CX10" s="62">
        <f t="shared" si="14"/>
        <v>276.5129449373527</v>
      </c>
      <c r="CY10" s="62">
        <f ca="1">AVERAGE(OFFSET($CX$3,0,0,'Données projet'!$E$13+1,1))-AVERAGE(OFFSET($H$3,0,0,'Données projet'!$E$13+1,1))</f>
        <v>383.46266660377637</v>
      </c>
      <c r="CZ10" s="62">
        <f t="shared" si="42"/>
        <v>373.1287543230714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22.3125</v>
      </c>
      <c r="DO10" s="13">
        <f>IF('Données projet'!$A$166&gt;35,DO9+DN10-DW9,IF(A10&lt;'Données projet'!$A$166,$DL$205^A10,IF(A10='Données projet'!$A$166,'Données projet'!$B$166,DO9+DN10-DW9)))</f>
        <v>13.08556094695413</v>
      </c>
      <c r="DP10" s="18">
        <f>DO10*VLOOKUP('Données projet'!$B$14,Paramètres!$A$1:$I$89,3,0)*VLOOKUP('Données projet'!$B$14,Paramètres!$A$1:$I$89,5,0)</f>
        <v>7.5121588284274265</v>
      </c>
      <c r="DQ10" s="14">
        <f t="shared" si="43"/>
        <v>2.7376492690572012</v>
      </c>
      <c r="DR10" s="22">
        <f t="shared" si="16"/>
        <v>17.851749103119062</v>
      </c>
      <c r="DS10" s="62">
        <f t="shared" si="17"/>
        <v>283.07397132534129</v>
      </c>
      <c r="DT10" s="62">
        <f ca="1">AVERAGE(OFFSET($DS$3,0,0,'Données projet'!$E$14+1,1))-AVERAGE(OFFSET($H$3,0,0,'Données projet'!$E$14+1,1))</f>
        <v>96.56611521638132</v>
      </c>
      <c r="DU10" s="62">
        <f t="shared" si="44"/>
        <v>465.03257878814094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1.1000000000000001</v>
      </c>
      <c r="EJ10" s="13">
        <f>IF('Données projet'!$A$192&gt;35,EJ9+EI10-ER9,IF(A10&lt;'Données projet'!$A$192,$EG$205^A10,IF(A10='Données projet'!$A$192,'Données projet'!$B$192,EJ9+EI10-ER9)))</f>
        <v>5.3576566694841175</v>
      </c>
      <c r="EK10" s="18">
        <f>EJ10*VLOOKUP('Données projet'!$B$15,Paramètres!$A$1:$I$89,3,0)*VLOOKUP('Données projet'!$B$15,Paramètres!$A$1:$I$89,5,0)</f>
        <v>4.3461310902855157</v>
      </c>
      <c r="EL10" s="14">
        <f t="shared" si="45"/>
        <v>1.6880282793406653</v>
      </c>
      <c r="EM10" s="22">
        <f t="shared" si="19"/>
        <v>10.509494235432264</v>
      </c>
      <c r="EN10" s="62">
        <f t="shared" si="20"/>
        <v>275.7317164576545</v>
      </c>
      <c r="EO10" s="62">
        <f ca="1">AVERAGE(OFFSET($EN$3,0,0,'Données projet'!$E$15+1,1))-AVERAGE(OFFSET($H$3,0,0,'Données projet'!$E$15+1,1))</f>
        <v>358.75637627589799</v>
      </c>
      <c r="EP10" s="62">
        <f t="shared" si="46"/>
        <v>349.64821164483607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30.0625</v>
      </c>
      <c r="FE10" s="13">
        <f>IF('Données projet'!$A$218&gt;35,FE9+FD10-FM9,IF(A10&lt;'Données projet'!$A$218,$FB$205^A10,IF(A10='Données projet'!$A$218,'Données projet'!$B$218,FE9+FD10-FM9)))</f>
        <v>14.90865520689864</v>
      </c>
      <c r="FF10" s="18">
        <f>FE10*VLOOKUP('Données projet'!$B$16,Paramètres!$A$1:$I$89,3,0)*VLOOKUP('Données projet'!$B$16,Paramètres!$A$1:$I$89,5,0)</f>
        <v>8.5587607811763728</v>
      </c>
      <c r="FG10" s="14">
        <f t="shared" si="47"/>
        <v>3.0720644696063411</v>
      </c>
      <c r="FH10" s="22">
        <f t="shared" si="22"/>
        <v>20.257020645113226</v>
      </c>
      <c r="FI10" s="62">
        <f t="shared" si="23"/>
        <v>285.47924286733547</v>
      </c>
      <c r="FJ10" s="62">
        <f ca="1">AVERAGE(OFFSET($FI$3,0,0,'Données projet'!$E$16+1,1))-AVERAGE(OFFSET($H$3,0,0,'Données projet'!$E$16+1,1))</f>
        <v>121.28977654040114</v>
      </c>
      <c r="FK10" s="62">
        <f t="shared" si="48"/>
        <v>615.69585264342595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1.1000000000000001</v>
      </c>
      <c r="N11" s="14">
        <f>IF('Données projet'!$A$36&gt;35,N10+M11-V10,IF(A11&lt;'Données projet'!$A$36,$K$205^A11,IF(A11='Données projet'!$A$36,'Données projet'!$B$36,N10+M11-V10)))</f>
        <v>6.8094831275223076</v>
      </c>
      <c r="O11" s="14">
        <f>N11*VLOOKUP('Données projet'!$B$9,Paramètres!$A$1:$I$89,3,0)*VLOOKUP('Données projet'!$B$9,Paramètres!$A$1:$I$89,5,0)</f>
        <v>5.4176247762567487</v>
      </c>
      <c r="P11" s="14">
        <f t="shared" si="33"/>
        <v>2.0509054013412618</v>
      </c>
      <c r="Q11" s="22">
        <f t="shared" si="2"/>
        <v>13.007690059316532</v>
      </c>
      <c r="R11" s="62">
        <f t="shared" si="0"/>
        <v>279.45213450376099</v>
      </c>
      <c r="S11" s="62">
        <f ca="1">AVERAGE(OFFSET($R$3,0,0,'Données projet'!$E$9+1,1))-AVERAGE(OFFSET($H$3,0,0,'Données projet'!$E$9+1,1))</f>
        <v>352.5736659365665</v>
      </c>
      <c r="T11" s="62">
        <f t="shared" si="34"/>
        <v>343.77208530767069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0.8</v>
      </c>
      <c r="AI11" s="14">
        <f>IF('Données projet'!$A$62&gt;35,AI10+AH11-AQ10,IF(A11&lt;'Données projet'!$A$62,$AF$205^A11,IF(A11='Données projet'!$A$62,'Données projet'!$B$62,AI10+AH11-AQ10)))</f>
        <v>5.2780316430915777</v>
      </c>
      <c r="AJ11" s="14">
        <f>AI11*VLOOKUP('Données projet'!$B$10,Paramètres!$A$1:$I$89,3,0)*VLOOKUP('Données projet'!$B$10,Paramètres!$A$1:$I$89,5,0)</f>
        <v>3.4581663325536014</v>
      </c>
      <c r="AK11" s="14">
        <f t="shared" si="35"/>
        <v>1.3793557288816642</v>
      </c>
      <c r="AL11" s="22">
        <f t="shared" si="4"/>
        <v>8.4253509236664215</v>
      </c>
      <c r="AM11" s="62">
        <f t="shared" si="5"/>
        <v>274.86979536811089</v>
      </c>
      <c r="AN11" s="62">
        <f ca="1">AVERAGE(OFFSET($AM$3,0,0,'Données projet'!$E$10+1,1))-AVERAGE(OFFSET($H$3,0,0,'Données projet'!$E$10+1,1))</f>
        <v>210.08998695869161</v>
      </c>
      <c r="AO11" s="62">
        <f t="shared" si="36"/>
        <v>207.30911916430881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3.7318329759921229</v>
      </c>
      <c r="BF11" s="14">
        <f t="shared" si="37"/>
        <v>1.4753753358938833</v>
      </c>
      <c r="BG11" s="22">
        <f t="shared" si="7"/>
        <v>9.0692211432014602</v>
      </c>
      <c r="BH11" s="62">
        <f t="shared" si="8"/>
        <v>275.5136655876459</v>
      </c>
      <c r="BI11" s="62">
        <f ca="1">AVERAGE(OFFSET($BH$3,0,0,'Données projet'!$E$11+1,1))-AVERAGE(OFFSET($H$3,0,0,'Données projet'!$E$11+1,1))</f>
        <v>335.83558218229564</v>
      </c>
      <c r="BJ11" s="62">
        <f t="shared" si="38"/>
        <v>217.08423061559648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2.6666666666666665</v>
      </c>
      <c r="BY11" s="13">
        <f>IF('Données projet'!$A$114&gt;35,BY10+BX11-CG10,IF(A11&lt;'Données projet'!$A$114,$BV$205^A11,IF(A11='Données projet'!$A$114,'Données projet'!$B$114,BY10+BX11-CG10)))</f>
        <v>7.1520739352994367</v>
      </c>
      <c r="BZ11" s="14">
        <f>BY11*VLOOKUP('Données projet'!$B$12,Paramètres!$A$1:$I$89,3,0)*VLOOKUP('Données projet'!$B$12,Paramètres!$A$1:$I$89,5,0)</f>
        <v>5.5786176695335605</v>
      </c>
      <c r="CA11" s="14">
        <f t="shared" si="39"/>
        <v>2.1046649418345189</v>
      </c>
      <c r="CB11" s="22">
        <f t="shared" si="10"/>
        <v>13.381717214799407</v>
      </c>
      <c r="CC11" s="62">
        <f t="shared" si="11"/>
        <v>279.82616165924384</v>
      </c>
      <c r="CD11" s="62">
        <f ca="1">AVERAGE(OFFSET($CC$3,0,0,'Données projet'!$E$12+1,1))-AVERAGE(OFFSET($H$3,0,0,'Données projet'!$E$12+1,1))</f>
        <v>288.82868507674738</v>
      </c>
      <c r="CE11" s="62">
        <f t="shared" si="40"/>
        <v>283.48738729114024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1.1000000000000001</v>
      </c>
      <c r="CT11" s="13">
        <f>IF('Données projet'!$A$140&gt;35,CT10+CS11-DB10,IF(A11&lt;'Données projet'!$A$140,$CQ$205^A11,IF(A11='Données projet'!$A$140,'Données projet'!$B$140,CT10+CS11-DB10)))</f>
        <v>6.8094831275223076</v>
      </c>
      <c r="CU11" s="18">
        <f>CT11*VLOOKUP('Données projet'!$B$13,Paramètres!$A$1:$I$89,3,0)*VLOOKUP('Données projet'!$B$13,Paramètres!$A$1:$I$89,5,0)</f>
        <v>5.9487644602034884</v>
      </c>
      <c r="CV11" s="14">
        <f t="shared" si="41"/>
        <v>2.2275915506478068</v>
      </c>
      <c r="CW11" s="22">
        <f t="shared" si="13"/>
        <v>14.240486718899339</v>
      </c>
      <c r="CX11" s="62">
        <f t="shared" si="14"/>
        <v>280.68493116334378</v>
      </c>
      <c r="CY11" s="62">
        <f ca="1">AVERAGE(OFFSET($CX$3,0,0,'Données projet'!$E$13+1,1))-AVERAGE(OFFSET($H$3,0,0,'Données projet'!$E$13+1,1))</f>
        <v>383.46266660377637</v>
      </c>
      <c r="CZ11" s="62">
        <f t="shared" si="42"/>
        <v>373.1287543230714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22.3125</v>
      </c>
      <c r="DO11" s="13">
        <f>IF('Données projet'!$A$166&gt;35,DO10+DN11-DW10,IF(A11&lt;'Données projet'!$A$166,$DL$205^A11,IF(A11='Données projet'!$A$166,'Données projet'!$B$166,DO10+DN11-DW10)))</f>
        <v>18.894443627691178</v>
      </c>
      <c r="DP11" s="18">
        <f>DO11*VLOOKUP('Données projet'!$B$14,Paramètres!$A$1:$I$89,3,0)*VLOOKUP('Données projet'!$B$14,Paramètres!$A$1:$I$89,5,0)</f>
        <v>10.84692219778495</v>
      </c>
      <c r="DQ11" s="14">
        <f t="shared" si="43"/>
        <v>3.7874674612683084</v>
      </c>
      <c r="DR11" s="22">
        <f t="shared" si="16"/>
        <v>25.488228656184429</v>
      </c>
      <c r="DS11" s="62">
        <f t="shared" si="17"/>
        <v>291.9326731006289</v>
      </c>
      <c r="DT11" s="62">
        <f ca="1">AVERAGE(OFFSET($DS$3,0,0,'Données projet'!$E$14+1,1))-AVERAGE(OFFSET($H$3,0,0,'Données projet'!$E$14+1,1))</f>
        <v>96.56611521638132</v>
      </c>
      <c r="DU11" s="62">
        <f t="shared" si="44"/>
        <v>465.03257878814094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1.1000000000000001</v>
      </c>
      <c r="EJ11" s="13">
        <f>IF('Données projet'!$A$192&gt;35,EJ10+EI11-ER10,IF(A11&lt;'Données projet'!$A$192,$EG$205^A11,IF(A11='Données projet'!$A$192,'Données projet'!$B$192,EJ10+EI11-ER10)))</f>
        <v>6.8094831275223076</v>
      </c>
      <c r="EK11" s="18">
        <f>EJ11*VLOOKUP('Données projet'!$B$15,Paramètres!$A$1:$I$89,3,0)*VLOOKUP('Données projet'!$B$15,Paramètres!$A$1:$I$89,5,0)</f>
        <v>5.5238527130460966</v>
      </c>
      <c r="EL11" s="14">
        <f t="shared" si="45"/>
        <v>2.0863980862538192</v>
      </c>
      <c r="EM11" s="22">
        <f t="shared" si="19"/>
        <v>13.25452014211402</v>
      </c>
      <c r="EN11" s="62">
        <f t="shared" si="20"/>
        <v>279.69896458655847</v>
      </c>
      <c r="EO11" s="62">
        <f ca="1">AVERAGE(OFFSET($EN$3,0,0,'Données projet'!$E$15+1,1))-AVERAGE(OFFSET($H$3,0,0,'Données projet'!$E$15+1,1))</f>
        <v>358.75637627589799</v>
      </c>
      <c r="EP11" s="62">
        <f t="shared" si="46"/>
        <v>349.64821164483607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30.0625</v>
      </c>
      <c r="FE11" s="13">
        <f>IF('Données projet'!$A$218&gt;35,FE10+FD11-FM10,IF(A11&lt;'Données projet'!$A$218,$FB$205^A11,IF(A11='Données projet'!$A$218,'Données projet'!$B$218,FE10+FD11-FM10)))</f>
        <v>21.931712199461305</v>
      </c>
      <c r="FF11" s="18">
        <f>FE11*VLOOKUP('Données projet'!$B$16,Paramètres!$A$1:$I$89,3,0)*VLOOKUP('Données projet'!$B$16,Paramètres!$A$1:$I$89,5,0)</f>
        <v>12.590557339466747</v>
      </c>
      <c r="FG11" s="14">
        <f t="shared" si="47"/>
        <v>4.3206768631036772</v>
      </c>
      <c r="FH11" s="22">
        <f t="shared" si="22"/>
        <v>29.453732902810156</v>
      </c>
      <c r="FI11" s="62">
        <f t="shared" si="23"/>
        <v>295.8981773472546</v>
      </c>
      <c r="FJ11" s="62">
        <f ca="1">AVERAGE(OFFSET($FI$3,0,0,'Données projet'!$E$16+1,1))-AVERAGE(OFFSET($H$3,0,0,'Données projet'!$E$16+1,1))</f>
        <v>121.28977654040114</v>
      </c>
      <c r="FK11" s="62">
        <f t="shared" si="48"/>
        <v>615.69585264342595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1.1000000000000001</v>
      </c>
      <c r="N12" s="14">
        <f>IF('Données projet'!$A$36&gt;35,N11+M12-V11,IF(A12&lt;'Données projet'!$A$36,$K$205^A12,IF(A12='Données projet'!$A$36,'Données projet'!$B$36,N11+M12-V11)))</f>
        <v>8.6547278641645029</v>
      </c>
      <c r="O12" s="14">
        <f>N12*VLOOKUP('Données projet'!$B$9,Paramètres!$A$1:$I$89,3,0)*VLOOKUP('Données projet'!$B$9,Paramètres!$A$1:$I$89,5,0)</f>
        <v>6.8857014887292793</v>
      </c>
      <c r="P12" s="14">
        <f t="shared" si="33"/>
        <v>2.5349131627802968</v>
      </c>
      <c r="Q12" s="22">
        <f t="shared" si="2"/>
        <v>16.407570518045844</v>
      </c>
      <c r="R12" s="62">
        <f t="shared" si="0"/>
        <v>284.0742371847125</v>
      </c>
      <c r="S12" s="62">
        <f ca="1">AVERAGE(OFFSET($R$3,0,0,'Données projet'!$E$9+1,1))-AVERAGE(OFFSET($H$3,0,0,'Données projet'!$E$9+1,1))</f>
        <v>352.5736659365665</v>
      </c>
      <c r="T12" s="62">
        <f t="shared" si="34"/>
        <v>343.77208530767069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0.8</v>
      </c>
      <c r="AI12" s="14">
        <f>IF('Données projet'!$A$62&gt;35,AI11+AH12-AQ11,IF(A12&lt;'Données projet'!$A$62,$AF$205^A12,IF(A12='Données projet'!$A$62,'Données projet'!$B$62,AI11+AH12-AQ11)))</f>
        <v>6.4980191708498847</v>
      </c>
      <c r="AJ12" s="14">
        <f>AI12*VLOOKUP('Données projet'!$B$10,Paramètres!$A$1:$I$89,3,0)*VLOOKUP('Données projet'!$B$10,Paramètres!$A$1:$I$89,5,0)</f>
        <v>4.2575021607408443</v>
      </c>
      <c r="AK12" s="14">
        <f t="shared" si="35"/>
        <v>1.6575754818989488</v>
      </c>
      <c r="AL12" s="22">
        <f t="shared" si="4"/>
        <v>10.302093560930972</v>
      </c>
      <c r="AM12" s="62">
        <f t="shared" si="5"/>
        <v>277.96876022759767</v>
      </c>
      <c r="AN12" s="62">
        <f ca="1">AVERAGE(OFFSET($AM$3,0,0,'Données projet'!$E$10+1,1))-AVERAGE(OFFSET($H$3,0,0,'Données projet'!$E$10+1,1))</f>
        <v>210.08998695869161</v>
      </c>
      <c r="AO12" s="62">
        <f t="shared" si="36"/>
        <v>207.30911916430881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4.6247508511128528</v>
      </c>
      <c r="BF12" s="14">
        <f t="shared" si="37"/>
        <v>1.7832988231426912</v>
      </c>
      <c r="BG12" s="22">
        <f t="shared" si="7"/>
        <v>11.160686515995073</v>
      </c>
      <c r="BH12" s="62">
        <f t="shared" si="8"/>
        <v>278.82735318266174</v>
      </c>
      <c r="BI12" s="62">
        <f ca="1">AVERAGE(OFFSET($BH$3,0,0,'Données projet'!$E$11+1,1))-AVERAGE(OFFSET($H$3,0,0,'Données projet'!$E$11+1,1))</f>
        <v>335.83558218229564</v>
      </c>
      <c r="BJ12" s="62">
        <f t="shared" si="38"/>
        <v>217.08423061559648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2.6666666666666665</v>
      </c>
      <c r="BY12" s="13">
        <f>IF('Données projet'!$A$114&gt;35,BY11+BX12-CG11,IF(A12&lt;'Données projet'!$A$114,$BV$205^A12,IF(A12='Données projet'!$A$114,'Données projet'!$B$114,BY11+BX12-CG11)))</f>
        <v>9.1461010385465205</v>
      </c>
      <c r="BZ12" s="14">
        <f>BY12*VLOOKUP('Données projet'!$B$12,Paramètres!$A$1:$I$89,3,0)*VLOOKUP('Données projet'!$B$12,Paramètres!$A$1:$I$89,5,0)</f>
        <v>7.1339588100662858</v>
      </c>
      <c r="CA12" s="14">
        <f t="shared" si="39"/>
        <v>2.6155015444227643</v>
      </c>
      <c r="CB12" s="22">
        <f t="shared" si="10"/>
        <v>16.980310117401761</v>
      </c>
      <c r="CC12" s="62">
        <f t="shared" si="11"/>
        <v>284.64697678406844</v>
      </c>
      <c r="CD12" s="62">
        <f ca="1">AVERAGE(OFFSET($CC$3,0,0,'Données projet'!$E$12+1,1))-AVERAGE(OFFSET($H$3,0,0,'Données projet'!$E$12+1,1))</f>
        <v>288.82868507674738</v>
      </c>
      <c r="CE12" s="62">
        <f t="shared" si="40"/>
        <v>283.48738729114024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1.1000000000000001</v>
      </c>
      <c r="CT12" s="13">
        <f>IF('Données projet'!$A$140&gt;35,CT11+CS12-DB11,IF(A12&lt;'Données projet'!$A$140,$CQ$205^A12,IF(A12='Données projet'!$A$140,'Données projet'!$B$140,CT11+CS12-DB11)))</f>
        <v>8.6547278641645029</v>
      </c>
      <c r="CU12" s="18">
        <f>CT12*VLOOKUP('Données projet'!$B$13,Paramètres!$A$1:$I$89,3,0)*VLOOKUP('Données projet'!$B$13,Paramètres!$A$1:$I$89,5,0)</f>
        <v>7.5607702621341106</v>
      </c>
      <c r="CV12" s="14">
        <f t="shared" si="41"/>
        <v>2.7532967338924581</v>
      </c>
      <c r="CW12" s="22">
        <f t="shared" si="13"/>
        <v>17.963666684746272</v>
      </c>
      <c r="CX12" s="62">
        <f t="shared" si="14"/>
        <v>285.63033335141296</v>
      </c>
      <c r="CY12" s="62">
        <f ca="1">AVERAGE(OFFSET($CX$3,0,0,'Données projet'!$E$13+1,1))-AVERAGE(OFFSET($H$3,0,0,'Données projet'!$E$13+1,1))</f>
        <v>383.46266660377637</v>
      </c>
      <c r="CZ12" s="62">
        <f t="shared" si="42"/>
        <v>373.1287543230714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22.3125</v>
      </c>
      <c r="DO12" s="13">
        <f>IF('Données projet'!$A$166&gt;35,DO11+DN12-DW11,IF(A12&lt;'Données projet'!$A$166,$DL$205^A12,IF(A12='Données projet'!$A$166,'Données projet'!$B$166,DO11+DN12-DW11)))</f>
        <v>27.281979079628005</v>
      </c>
      <c r="DP12" s="18">
        <f>DO12*VLOOKUP('Données projet'!$B$14,Paramètres!$A$1:$I$89,3,0)*VLOOKUP('Données projet'!$B$14,Paramètres!$A$1:$I$89,5,0)</f>
        <v>15.662038550032845</v>
      </c>
      <c r="DQ12" s="14">
        <f t="shared" si="43"/>
        <v>5.239863970999596</v>
      </c>
      <c r="DR12" s="22">
        <f t="shared" si="16"/>
        <v>36.404146890798167</v>
      </c>
      <c r="DS12" s="62">
        <f t="shared" si="17"/>
        <v>304.07081355746487</v>
      </c>
      <c r="DT12" s="62">
        <f ca="1">AVERAGE(OFFSET($DS$3,0,0,'Données projet'!$E$14+1,1))-AVERAGE(OFFSET($H$3,0,0,'Données projet'!$E$14+1,1))</f>
        <v>96.56611521638132</v>
      </c>
      <c r="DU12" s="62">
        <f t="shared" si="44"/>
        <v>465.03257878814094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1.1000000000000001</v>
      </c>
      <c r="EJ12" s="13">
        <f>IF('Données projet'!$A$192&gt;35,EJ11+EI12-ER11,IF(A12&lt;'Données projet'!$A$192,$EG$205^A12,IF(A12='Données projet'!$A$192,'Données projet'!$B$192,EJ11+EI12-ER11)))</f>
        <v>8.6547278641645029</v>
      </c>
      <c r="EK12" s="18">
        <f>EJ12*VLOOKUP('Données projet'!$B$15,Paramètres!$A$1:$I$89,3,0)*VLOOKUP('Données projet'!$B$15,Paramètres!$A$1:$I$89,5,0)</f>
        <v>7.0207152434102458</v>
      </c>
      <c r="EL12" s="14">
        <f t="shared" si="45"/>
        <v>2.5787820189978565</v>
      </c>
      <c r="EM12" s="22">
        <f t="shared" si="19"/>
        <v>16.71912439869411</v>
      </c>
      <c r="EN12" s="62">
        <f t="shared" si="20"/>
        <v>284.38579106536082</v>
      </c>
      <c r="EO12" s="62">
        <f ca="1">AVERAGE(OFFSET($EN$3,0,0,'Données projet'!$E$15+1,1))-AVERAGE(OFFSET($H$3,0,0,'Données projet'!$E$15+1,1))</f>
        <v>358.75637627589799</v>
      </c>
      <c r="EP12" s="62">
        <f t="shared" si="46"/>
        <v>349.64821164483607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30.0625</v>
      </c>
      <c r="FE12" s="13">
        <f>IF('Données projet'!$A$218&gt;35,FE11+FD12-FM11,IF(A12&lt;'Données projet'!$A$218,$FB$205^A12,IF(A12='Données projet'!$A$218,'Données projet'!$B$218,FE11+FD12-FM11)))</f>
        <v>32.263137977557363</v>
      </c>
      <c r="FF12" s="18">
        <f>FE12*VLOOKUP('Données projet'!$B$16,Paramètres!$A$1:$I$89,3,0)*VLOOKUP('Données projet'!$B$16,Paramètres!$A$1:$I$89,5,0)</f>
        <v>18.521622250156131</v>
      </c>
      <c r="FG12" s="14">
        <f t="shared" si="47"/>
        <v>6.0767762981717715</v>
      </c>
      <c r="FH12" s="22">
        <f t="shared" si="22"/>
        <v>42.842210805004434</v>
      </c>
      <c r="FI12" s="62">
        <f t="shared" si="23"/>
        <v>310.5088774716711</v>
      </c>
      <c r="FJ12" s="62">
        <f ca="1">AVERAGE(OFFSET($FI$3,0,0,'Données projet'!$E$16+1,1))-AVERAGE(OFFSET($H$3,0,0,'Données projet'!$E$16+1,1))</f>
        <v>121.28977654040114</v>
      </c>
      <c r="FK12" s="62">
        <f t="shared" si="48"/>
        <v>615.69585264342595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11</v>
      </c>
      <c r="L13" s="13">
        <f>VLOOKUP(A13,'Données projet'!$A$35:$I$55,9,0)</f>
        <v>1.1000000000000001</v>
      </c>
      <c r="M13" s="13">
        <f t="array" ref="M13">INDEX(L:L,MIN(IF(ISNUMBER(L13:L209),ROW(L13:L209),"")))</f>
        <v>1.1000000000000001</v>
      </c>
      <c r="N13" s="14">
        <f>IF('Données projet'!$A$36&gt;35,N12+M13-V12,IF(A13&lt;'Données projet'!$A$36,$K$205^A13,IF(A13='Données projet'!$A$36,'Données projet'!$B$36,N12+M13-V12)))</f>
        <v>11</v>
      </c>
      <c r="O13" s="14">
        <f>N13*VLOOKUP('Données projet'!$B$9,Paramètres!$A$1:$I$89,3,0)*VLOOKUP('Données projet'!$B$9,Paramètres!$A$1:$I$89,5,0)</f>
        <v>8.7516000000000016</v>
      </c>
      <c r="P13" s="14">
        <f t="shared" si="33"/>
        <v>3.1331453604025001</v>
      </c>
      <c r="Q13" s="22">
        <f t="shared" si="2"/>
        <v>20.699264836034356</v>
      </c>
      <c r="R13" s="62">
        <f t="shared" si="0"/>
        <v>289.58815372492319</v>
      </c>
      <c r="S13" s="62">
        <f ca="1">AVERAGE(OFFSET($R$3,0,0,'Données projet'!$E$9+1,1))-AVERAGE(OFFSET($H$3,0,0,'Données projet'!$E$9+1,1))</f>
        <v>352.5736659365665</v>
      </c>
      <c r="T13" s="62">
        <f t="shared" si="34"/>
        <v>343.77208530767069</v>
      </c>
      <c r="U13" s="16">
        <f>IF(ISNA(VLOOKUP(A13,'Données projet'!$A$35:$I$55,3,0)),0,VLOOKUP(A13,'Données projet'!$A$35:$I$55,3,0))</f>
        <v>1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0.53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8</v>
      </c>
      <c r="AG13" s="13">
        <f>VLOOKUP(A13,'Données projet'!$A$61:$I$81,9,0)</f>
        <v>0.8</v>
      </c>
      <c r="AH13" s="13">
        <f t="array" ref="AH13">INDEX(AG:AG,MIN(IF(ISNUMBER(AG13:AG209),ROW(AG13:AG209),"")))</f>
        <v>0.8</v>
      </c>
      <c r="AI13" s="14">
        <f>IF('Données projet'!$A$62&gt;35,AI12+AH13-AQ12,IF(A13&lt;'Données projet'!$A$62,$AF$205^A13,IF(A13='Données projet'!$A$62,'Données projet'!$B$62,AI12+AH13-AQ12)))</f>
        <v>8</v>
      </c>
      <c r="AJ13" s="14">
        <f>AI13*VLOOKUP('Données projet'!$B$10,Paramètres!$A$1:$I$89,3,0)*VLOOKUP('Données projet'!$B$10,Paramètres!$A$1:$I$89,5,0)</f>
        <v>5.2416</v>
      </c>
      <c r="AK13" s="14">
        <f t="shared" si="35"/>
        <v>1.9919129059043814</v>
      </c>
      <c r="AL13" s="22">
        <f t="shared" si="4"/>
        <v>12.598368311116799</v>
      </c>
      <c r="AM13" s="62">
        <f t="shared" si="5"/>
        <v>281.48725720000567</v>
      </c>
      <c r="AN13" s="62">
        <f ca="1">AVERAGE(OFFSET($AM$3,0,0,'Données projet'!$E$10+1,1))-AVERAGE(OFFSET($H$3,0,0,'Données projet'!$E$10+1,1))</f>
        <v>210.08998695869161</v>
      </c>
      <c r="AO13" s="62">
        <f t="shared" si="36"/>
        <v>207.30911916430881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1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1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0.61819883444945034</v>
      </c>
      <c r="AX13" s="23">
        <f t="shared" si="6"/>
        <v>0.61819883444945034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5.7313177123590009</v>
      </c>
      <c r="BF13" s="14">
        <f t="shared" si="37"/>
        <v>2.1554885833138533</v>
      </c>
      <c r="BG13" s="22">
        <f t="shared" si="7"/>
        <v>13.736187631630221</v>
      </c>
      <c r="BH13" s="62">
        <f t="shared" si="8"/>
        <v>282.62507652051909</v>
      </c>
      <c r="BI13" s="62">
        <f ca="1">AVERAGE(OFFSET($BH$3,0,0,'Données projet'!$E$11+1,1))-AVERAGE(OFFSET($H$3,0,0,'Données projet'!$E$11+1,1))</f>
        <v>335.83558218229564</v>
      </c>
      <c r="BJ13" s="62">
        <f t="shared" si="38"/>
        <v>217.08423061559648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2.6666666666666665</v>
      </c>
      <c r="BY13" s="13">
        <f>IF('Données projet'!$A$114&gt;35,BY12+BX13-CG12,IF(A13&lt;'Données projet'!$A$114,$BV$205^A13,IF(A13='Données projet'!$A$114,'Données projet'!$B$114,BY12+BX13-CG12)))</f>
        <v>11.696070952851455</v>
      </c>
      <c r="BZ13" s="14">
        <f>BY13*VLOOKUP('Données projet'!$B$12,Paramètres!$A$1:$I$89,3,0)*VLOOKUP('Données projet'!$B$12,Paramètres!$A$1:$I$89,5,0)</f>
        <v>9.1229353432241354</v>
      </c>
      <c r="CA13" s="14">
        <f t="shared" si="39"/>
        <v>3.2503265450485803</v>
      </c>
      <c r="CB13" s="22">
        <f t="shared" si="10"/>
        <v>21.550097788741649</v>
      </c>
      <c r="CC13" s="62">
        <f t="shared" si="11"/>
        <v>290.43898667763051</v>
      </c>
      <c r="CD13" s="62">
        <f ca="1">AVERAGE(OFFSET($CC$3,0,0,'Données projet'!$E$12+1,1))-AVERAGE(OFFSET($H$3,0,0,'Données projet'!$E$12+1,1))</f>
        <v>288.82868507674738</v>
      </c>
      <c r="CE13" s="62">
        <f t="shared" si="40"/>
        <v>283.48738729114024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11</v>
      </c>
      <c r="CR13" s="13">
        <f>VLOOKUP(A13,'Données projet'!$A$139:$I$159,9,0)</f>
        <v>1.1000000000000001</v>
      </c>
      <c r="CS13" s="13">
        <f t="array" ref="CS13">INDEX(CR:CR,MIN(IF(ISNUMBER(CR13:CR209),ROW(CR13:CR209),"")))</f>
        <v>1.1000000000000001</v>
      </c>
      <c r="CT13" s="13">
        <f>IF('Données projet'!$A$140&gt;35,CT12+CS13-DB12,IF(A13&lt;'Données projet'!$A$140,$CQ$205^A13,IF(A13='Données projet'!$A$140,'Données projet'!$B$140,CT12+CS13-DB12)))</f>
        <v>11</v>
      </c>
      <c r="CU13" s="18">
        <f>CT13*VLOOKUP('Données projet'!$B$13,Paramètres!$A$1:$I$89,3,0)*VLOOKUP('Données projet'!$B$13,Paramètres!$A$1:$I$89,5,0)</f>
        <v>9.6096000000000004</v>
      </c>
      <c r="CV13" s="14">
        <f t="shared" si="41"/>
        <v>3.4030668246422207</v>
      </c>
      <c r="CW13" s="22">
        <f t="shared" si="13"/>
        <v>22.663728052918533</v>
      </c>
      <c r="CX13" s="62">
        <f t="shared" si="14"/>
        <v>291.5526169418074</v>
      </c>
      <c r="CY13" s="62">
        <f ca="1">AVERAGE(OFFSET($CX$3,0,0,'Données projet'!$E$13+1,1))-AVERAGE(OFFSET($H$3,0,0,'Données projet'!$E$13+1,1))</f>
        <v>383.46266660377637</v>
      </c>
      <c r="CZ13" s="62">
        <f t="shared" si="42"/>
        <v>373.1287543230714</v>
      </c>
      <c r="DA13" s="16">
        <f>IF(ISNA(VLOOKUP(A13,'Données projet'!$A$139:$I$159,3,0)),0,VLOOKUP(A13,'Données projet'!$A$139:$I$159,3,0))</f>
        <v>1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22.3125</v>
      </c>
      <c r="DO13" s="13">
        <f>IF('Données projet'!$A$166&gt;35,DO12+DN13-DW12,IF(A13&lt;'Données projet'!$A$166,$DL$205^A13,IF(A13='Données projet'!$A$166,'Données projet'!$B$166,DO12+DN13-DW12)))</f>
        <v>39.392871108965871</v>
      </c>
      <c r="DP13" s="18">
        <f>DO13*VLOOKUP('Données projet'!$B$14,Paramètres!$A$1:$I$89,3,0)*VLOOKUP('Données projet'!$B$14,Paramètres!$A$1:$I$89,5,0)</f>
        <v>22.614659446235127</v>
      </c>
      <c r="DQ13" s="14">
        <f t="shared" si="43"/>
        <v>7.2492172448619296</v>
      </c>
      <c r="DR13" s="22">
        <f t="shared" si="16"/>
        <v>52.012918570327365</v>
      </c>
      <c r="DS13" s="62">
        <f t="shared" si="17"/>
        <v>320.90180745921623</v>
      </c>
      <c r="DT13" s="62">
        <f ca="1">AVERAGE(OFFSET($DS$3,0,0,'Données projet'!$E$14+1,1))-AVERAGE(OFFSET($H$3,0,0,'Données projet'!$E$14+1,1))</f>
        <v>96.56611521638132</v>
      </c>
      <c r="DU13" s="62">
        <f t="shared" si="44"/>
        <v>465.03257878814094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>
        <f>VLOOKUP(A13,'Données projet'!$A$191:$I$211,2,0)</f>
        <v>11</v>
      </c>
      <c r="EH13" s="13">
        <f>VLOOKUP(A13,'Données projet'!$A$191:$I$211,9,0)</f>
        <v>1.1000000000000001</v>
      </c>
      <c r="EI13" s="13">
        <f t="array" ref="EI13">INDEX(EH:EH,MIN(IF(ISNUMBER(EH13:EH209),ROW(EH13:EH209),"")))</f>
        <v>1.1000000000000001</v>
      </c>
      <c r="EJ13" s="13">
        <f>IF('Données projet'!$A$192&gt;35,EJ12+EI13-ER12,IF(A13&lt;'Données projet'!$A$192,$EG$205^A13,IF(A13='Données projet'!$A$192,'Données projet'!$B$192,EJ12+EI13-ER12)))</f>
        <v>11</v>
      </c>
      <c r="EK13" s="18">
        <f>EJ13*VLOOKUP('Données projet'!$B$15,Paramètres!$A$1:$I$89,3,0)*VLOOKUP('Données projet'!$B$15,Paramètres!$A$1:$I$89,5,0)</f>
        <v>8.9232000000000014</v>
      </c>
      <c r="EL13" s="14">
        <f t="shared" si="45"/>
        <v>3.187367140202428</v>
      </c>
      <c r="EM13" s="22">
        <f t="shared" si="19"/>
        <v>21.092571102519226</v>
      </c>
      <c r="EN13" s="62">
        <f t="shared" si="20"/>
        <v>289.98145999140809</v>
      </c>
      <c r="EO13" s="62">
        <f ca="1">AVERAGE(OFFSET($EN$3,0,0,'Données projet'!$E$15+1,1))-AVERAGE(OFFSET($H$3,0,0,'Données projet'!$E$15+1,1))</f>
        <v>358.75637627589799</v>
      </c>
      <c r="EP13" s="62">
        <f t="shared" si="46"/>
        <v>349.64821164483607</v>
      </c>
      <c r="EQ13" s="16">
        <f>IF(ISNA(VLOOKUP(A13,'Données projet'!$A$191:$I$211,3,0)),0,VLOOKUP(A13,'Données projet'!$A$191:$I$211,3,0))</f>
        <v>1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30.0625</v>
      </c>
      <c r="FE13" s="13">
        <f>IF('Données projet'!$A$218&gt;35,FE12+FD13-FM12,IF(A13&lt;'Données projet'!$A$218,$FB$205^A13,IF(A13='Données projet'!$A$218,'Données projet'!$B$218,FE12+FD13-FM12)))</f>
        <v>47.461413987753836</v>
      </c>
      <c r="FF13" s="18">
        <f>FE13*VLOOKUP('Données projet'!$B$16,Paramètres!$A$1:$I$89,3,0)*VLOOKUP('Données projet'!$B$16,Paramètres!$A$1:$I$89,5,0)</f>
        <v>27.246648542089719</v>
      </c>
      <c r="FG13" s="14">
        <f t="shared" si="47"/>
        <v>8.5466262227016525</v>
      </c>
      <c r="FH13" s="22">
        <f t="shared" si="22"/>
        <v>62.339953548678302</v>
      </c>
      <c r="FI13" s="62">
        <f t="shared" si="23"/>
        <v>331.22884243756715</v>
      </c>
      <c r="FJ13" s="62">
        <f ca="1">AVERAGE(OFFSET($FI$3,0,0,'Données projet'!$E$16+1,1))-AVERAGE(OFFSET($H$3,0,0,'Données projet'!$E$16+1,1))</f>
        <v>121.28977654040114</v>
      </c>
      <c r="FK13" s="62">
        <f t="shared" si="48"/>
        <v>615.69585264342595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10.8</v>
      </c>
      <c r="N14" s="14">
        <f>IF('Données projet'!$A$36&gt;35,N13+M14-V13,IF(A14&lt;'Données projet'!$A$36,$K$205^A14,IF(A14='Données projet'!$A$36,'Données projet'!$B$36,N13+M14-V13)))</f>
        <v>21.8</v>
      </c>
      <c r="O14" s="14">
        <f>N14*VLOOKUP('Données projet'!$B$9,Paramètres!$A$1:$I$89,3,0)*VLOOKUP('Données projet'!$B$9,Paramètres!$A$1:$I$89,5,0)</f>
        <v>17.344080000000002</v>
      </c>
      <c r="P14" s="14">
        <f t="shared" si="33"/>
        <v>5.7341113912136308</v>
      </c>
      <c r="Q14" s="22">
        <f t="shared" si="2"/>
        <v>40.194516673030414</v>
      </c>
      <c r="R14" s="62">
        <f t="shared" si="0"/>
        <v>310.30562778414156</v>
      </c>
      <c r="S14" s="62">
        <f ca="1">AVERAGE(OFFSET($R$3,0,0,'Données projet'!$E$9+1,1))-AVERAGE(OFFSET($H$3,0,0,'Données projet'!$E$9+1,1))</f>
        <v>352.5736659365665</v>
      </c>
      <c r="T14" s="62">
        <f t="shared" si="34"/>
        <v>343.77208530767069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5.2</v>
      </c>
      <c r="AI14" s="14">
        <f>IF('Données projet'!$A$62&gt;35,AI13+AH14-AQ13,IF(A14&lt;'Données projet'!$A$62,$AF$205^A14,IF(A14='Données projet'!$A$62,'Données projet'!$B$62,AI13+AH14-AQ13)))</f>
        <v>12.2</v>
      </c>
      <c r="AJ14" s="14">
        <f>AI14*VLOOKUP('Données projet'!$B$10,Paramètres!$A$1:$I$89,3,0)*VLOOKUP('Données projet'!$B$10,Paramètres!$A$1:$I$89,5,0)</f>
        <v>7.9934399999999997</v>
      </c>
      <c r="AK14" s="14">
        <f t="shared" si="35"/>
        <v>2.8920618683587493</v>
      </c>
      <c r="AL14" s="22">
        <f t="shared" si="4"/>
        <v>18.958915754058154</v>
      </c>
      <c r="AM14" s="62">
        <f t="shared" si="5"/>
        <v>289.07002686516932</v>
      </c>
      <c r="AN14" s="62">
        <f ca="1">AVERAGE(OFFSET($AM$3,0,0,'Données projet'!$E$10+1,1))-AVERAGE(OFFSET($H$3,0,0,'Données projet'!$E$10+1,1))</f>
        <v>210.08998695869161</v>
      </c>
      <c r="AO14" s="62">
        <f t="shared" si="36"/>
        <v>207.30911916430881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0.43713258796082621</v>
      </c>
      <c r="AX14" s="23">
        <f t="shared" si="6"/>
        <v>0.43713258796082621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7.102653478531888</v>
      </c>
      <c r="BF14" s="14">
        <f t="shared" si="37"/>
        <v>2.6053575387934864</v>
      </c>
      <c r="BG14" s="22">
        <f t="shared" si="7"/>
        <v>16.908119188508362</v>
      </c>
      <c r="BH14" s="62">
        <f t="shared" si="8"/>
        <v>287.01923029961949</v>
      </c>
      <c r="BI14" s="62">
        <f ca="1">AVERAGE(OFFSET($BH$3,0,0,'Données projet'!$E$11+1,1))-AVERAGE(OFFSET($H$3,0,0,'Données projet'!$E$11+1,1))</f>
        <v>335.83558218229564</v>
      </c>
      <c r="BJ14" s="62">
        <f t="shared" si="38"/>
        <v>217.08423061559648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2.6666666666666665</v>
      </c>
      <c r="BY14" s="13">
        <f>IF('Données projet'!$A$114&gt;35,BY13+BX14-CG13,IF(A14&lt;'Données projet'!$A$114,$BV$205^A14,IF(A14='Données projet'!$A$114,'Données projet'!$B$114,BY13+BX14-CG13)))</f>
        <v>14.956982779612416</v>
      </c>
      <c r="BZ14" s="14">
        <f>BY14*VLOOKUP('Données projet'!$B$12,Paramètres!$A$1:$I$89,3,0)*VLOOKUP('Données projet'!$B$12,Paramètres!$A$1:$I$89,5,0)</f>
        <v>11.666446568097685</v>
      </c>
      <c r="CA14" s="14">
        <f t="shared" si="39"/>
        <v>4.0392339557111736</v>
      </c>
      <c r="CB14" s="22">
        <f t="shared" si="10"/>
        <v>27.354060245633761</v>
      </c>
      <c r="CC14" s="62">
        <f t="shared" si="11"/>
        <v>297.46517135674492</v>
      </c>
      <c r="CD14" s="62">
        <f ca="1">AVERAGE(OFFSET($CC$3,0,0,'Données projet'!$E$12+1,1))-AVERAGE(OFFSET($H$3,0,0,'Données projet'!$E$12+1,1))</f>
        <v>288.82868507674738</v>
      </c>
      <c r="CE14" s="62">
        <f t="shared" si="40"/>
        <v>283.48738729114024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10.8</v>
      </c>
      <c r="CT14" s="13">
        <f>IF('Données projet'!$A$140&gt;35,CT13+CS14-DB13,IF(A14&lt;'Données projet'!$A$140,$CQ$205^A14,IF(A14='Données projet'!$A$140,'Données projet'!$B$140,CT13+CS14-DB13)))</f>
        <v>21.8</v>
      </c>
      <c r="CU14" s="18">
        <f>CT14*VLOOKUP('Données projet'!$B$13,Paramètres!$A$1:$I$89,3,0)*VLOOKUP('Données projet'!$B$13,Paramètres!$A$1:$I$89,5,0)</f>
        <v>19.044480000000004</v>
      </c>
      <c r="CV14" s="14">
        <f t="shared" si="41"/>
        <v>6.2281069020478963</v>
      </c>
      <c r="CW14" s="22">
        <f t="shared" si="13"/>
        <v>44.016422187733419</v>
      </c>
      <c r="CX14" s="62">
        <f t="shared" si="14"/>
        <v>314.12753329884458</v>
      </c>
      <c r="CY14" s="62">
        <f ca="1">AVERAGE(OFFSET($CX$3,0,0,'Données projet'!$E$13+1,1))-AVERAGE(OFFSET($H$3,0,0,'Données projet'!$E$13+1,1))</f>
        <v>383.46266660377637</v>
      </c>
      <c r="CZ14" s="62">
        <f t="shared" si="42"/>
        <v>373.1287543230714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22.3125</v>
      </c>
      <c r="DO14" s="13">
        <f>IF('Données projet'!$A$166&gt;35,DO13+DN14-DW13,IF(A14&lt;'Données projet'!$A$166,$DL$205^A14,IF(A14='Données projet'!$A$166,'Données projet'!$B$166,DO13+DN14-DW13)))</f>
        <v>56.879975227543383</v>
      </c>
      <c r="DP14" s="18">
        <f>DO14*VLOOKUP('Données projet'!$B$14,Paramètres!$A$1:$I$89,3,0)*VLOOKUP('Données projet'!$B$14,Paramètres!$A$1:$I$89,5,0)</f>
        <v>32.653656178628111</v>
      </c>
      <c r="DQ14" s="14">
        <f t="shared" si="43"/>
        <v>10.029105899323284</v>
      </c>
      <c r="DR14" s="22">
        <f t="shared" si="16"/>
        <v>74.339143952432011</v>
      </c>
      <c r="DS14" s="62">
        <f t="shared" si="17"/>
        <v>344.45025506354318</v>
      </c>
      <c r="DT14" s="62">
        <f ca="1">AVERAGE(OFFSET($DS$3,0,0,'Données projet'!$E$14+1,1))-AVERAGE(OFFSET($H$3,0,0,'Données projet'!$E$14+1,1))</f>
        <v>96.56611521638132</v>
      </c>
      <c r="DU14" s="62">
        <f t="shared" si="44"/>
        <v>465.03257878814094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10.8</v>
      </c>
      <c r="EJ14" s="13">
        <f>IF('Données projet'!$A$192&gt;35,EJ13+EI14-ER13,IF(A14&lt;'Données projet'!$A$192,$EG$205^A14,IF(A14='Données projet'!$A$192,'Données projet'!$B$192,EJ13+EI14-ER13)))</f>
        <v>21.8</v>
      </c>
      <c r="EK14" s="18">
        <f>EJ14*VLOOKUP('Données projet'!$B$15,Paramètres!$A$1:$I$89,3,0)*VLOOKUP('Données projet'!$B$15,Paramètres!$A$1:$I$89,5,0)</f>
        <v>17.684160000000002</v>
      </c>
      <c r="EL14" s="14">
        <f t="shared" si="45"/>
        <v>5.8333451290197509</v>
      </c>
      <c r="EM14" s="22">
        <f t="shared" si="19"/>
        <v>40.959654766376069</v>
      </c>
      <c r="EN14" s="62">
        <f t="shared" si="20"/>
        <v>311.07076587748719</v>
      </c>
      <c r="EO14" s="62">
        <f ca="1">AVERAGE(OFFSET($EN$3,0,0,'Données projet'!$E$15+1,1))-AVERAGE(OFFSET($H$3,0,0,'Données projet'!$E$15+1,1))</f>
        <v>358.75637627589799</v>
      </c>
      <c r="EP14" s="62">
        <f t="shared" si="46"/>
        <v>349.64821164483607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30.0625</v>
      </c>
      <c r="FE14" s="13">
        <f>IF('Données projet'!$A$218&gt;35,FE13+FD14-FM13,IF(A14&lt;'Données projet'!$A$218,$FB$205^A14,IF(A14='Données projet'!$A$218,'Données projet'!$B$218,FE13+FD14-FM13)))</f>
        <v>69.819179376906291</v>
      </c>
      <c r="FF14" s="18">
        <f>FE14*VLOOKUP('Données projet'!$B$16,Paramètres!$A$1:$I$89,3,0)*VLOOKUP('Données projet'!$B$16,Paramètres!$A$1:$I$89,5,0)</f>
        <v>40.081794496694364</v>
      </c>
      <c r="FG14" s="14">
        <f t="shared" si="47"/>
        <v>12.020323968902298</v>
      </c>
      <c r="FH14" s="22">
        <f t="shared" si="22"/>
        <v>90.744522994247518</v>
      </c>
      <c r="FI14" s="62">
        <f t="shared" si="23"/>
        <v>360.85563410535866</v>
      </c>
      <c r="FJ14" s="62">
        <f ca="1">AVERAGE(OFFSET($FI$3,0,0,'Données projet'!$E$16+1,1))-AVERAGE(OFFSET($H$3,0,0,'Données projet'!$E$16+1,1))</f>
        <v>121.28977654040114</v>
      </c>
      <c r="FK14" s="62">
        <f t="shared" si="48"/>
        <v>615.69585264342595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10.8</v>
      </c>
      <c r="N15" s="14">
        <f>IF('Données projet'!$A$36&gt;35,N14+M15-V14,IF(A15&lt;'Données projet'!$A$36,$K$205^A15,IF(A15='Données projet'!$A$36,'Données projet'!$B$36,N14+M15-V14)))</f>
        <v>32.6</v>
      </c>
      <c r="O15" s="14">
        <f>N15*VLOOKUP('Données projet'!$B$9,Paramètres!$A$1:$I$89,3,0)*VLOOKUP('Données projet'!$B$9,Paramètres!$A$1:$I$89,5,0)</f>
        <v>25.936560000000004</v>
      </c>
      <c r="P15" s="14">
        <f t="shared" si="33"/>
        <v>8.1824816304360635</v>
      </c>
      <c r="Q15" s="22">
        <f t="shared" si="2"/>
        <v>59.423997506342801</v>
      </c>
      <c r="R15" s="62">
        <f t="shared" si="0"/>
        <v>330.75733083967611</v>
      </c>
      <c r="S15" s="62">
        <f ca="1">AVERAGE(OFFSET($R$3,0,0,'Données projet'!$E$9+1,1))-AVERAGE(OFFSET($H$3,0,0,'Données projet'!$E$9+1,1))</f>
        <v>352.5736659365665</v>
      </c>
      <c r="T15" s="62">
        <f t="shared" si="34"/>
        <v>343.77208530767069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5.2</v>
      </c>
      <c r="AI15" s="14">
        <f>IF('Données projet'!$A$62&gt;35,AI14+AH15-AQ14,IF(A15&lt;'Données projet'!$A$62,$AF$205^A15,IF(A15='Données projet'!$A$62,'Données projet'!$B$62,AI14+AH15-AQ14)))</f>
        <v>17.399999999999999</v>
      </c>
      <c r="AJ15" s="14">
        <f>AI15*VLOOKUP('Données projet'!$B$10,Paramètres!$A$1:$I$89,3,0)*VLOOKUP('Données projet'!$B$10,Paramètres!$A$1:$I$89,5,0)</f>
        <v>11.400479999999998</v>
      </c>
      <c r="AK15" s="14">
        <f t="shared" si="35"/>
        <v>3.9577590327332239</v>
      </c>
      <c r="AL15" s="22">
        <f t="shared" si="4"/>
        <v>26.748932982010359</v>
      </c>
      <c r="AM15" s="62">
        <f t="shared" si="5"/>
        <v>298.08226631534365</v>
      </c>
      <c r="AN15" s="62">
        <f ca="1">AVERAGE(OFFSET($AM$3,0,0,'Données projet'!$E$10+1,1))-AVERAGE(OFFSET($H$3,0,0,'Données projet'!$E$10+1,1))</f>
        <v>210.08998695869161</v>
      </c>
      <c r="AO15" s="62">
        <f t="shared" si="36"/>
        <v>207.30911916430881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0.30909941722472523</v>
      </c>
      <c r="AX15" s="23">
        <f t="shared" si="6"/>
        <v>0.30909941722472523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8.8021095615264606</v>
      </c>
      <c r="BF15" s="14">
        <f t="shared" si="37"/>
        <v>3.1491180039155391</v>
      </c>
      <c r="BG15" s="22">
        <f t="shared" si="7"/>
        <v>20.815054676478152</v>
      </c>
      <c r="BH15" s="62">
        <f t="shared" si="8"/>
        <v>292.14838800981147</v>
      </c>
      <c r="BI15" s="62">
        <f ca="1">AVERAGE(OFFSET($BH$3,0,0,'Données projet'!$E$11+1,1))-AVERAGE(OFFSET($H$3,0,0,'Données projet'!$E$11+1,1))</f>
        <v>335.83558218229564</v>
      </c>
      <c r="BJ15" s="62">
        <f t="shared" si="38"/>
        <v>217.08423061559648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2.6666666666666665</v>
      </c>
      <c r="BY15" s="13">
        <f>IF('Données projet'!$A$114&gt;35,BY14+BX15-CG14,IF(A15&lt;'Données projet'!$A$114,$BV$205^A15,IF(A15='Données projet'!$A$114,'Données projet'!$B$114,BY14+BX15-CG14)))</f>
        <v>19.127049995800721</v>
      </c>
      <c r="BZ15" s="14">
        <f>BY15*VLOOKUP('Données projet'!$B$12,Paramètres!$A$1:$I$89,3,0)*VLOOKUP('Données projet'!$B$12,Paramètres!$A$1:$I$89,5,0)</f>
        <v>14.919098996724562</v>
      </c>
      <c r="CA15" s="14">
        <f t="shared" si="39"/>
        <v>5.019622097301081</v>
      </c>
      <c r="CB15" s="22">
        <f t="shared" si="10"/>
        <v>34.726605905427995</v>
      </c>
      <c r="CC15" s="62">
        <f t="shared" si="11"/>
        <v>306.05993923876133</v>
      </c>
      <c r="CD15" s="62">
        <f ca="1">AVERAGE(OFFSET($CC$3,0,0,'Données projet'!$E$12+1,1))-AVERAGE(OFFSET($H$3,0,0,'Données projet'!$E$12+1,1))</f>
        <v>288.82868507674738</v>
      </c>
      <c r="CE15" s="62">
        <f t="shared" si="40"/>
        <v>283.48738729114024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10.8</v>
      </c>
      <c r="CT15" s="13">
        <f>IF('Données projet'!$A$140&gt;35,CT14+CS15-DB14,IF(A15&lt;'Données projet'!$A$140,$CQ$205^A15,IF(A15='Données projet'!$A$140,'Données projet'!$B$140,CT14+CS15-DB14)))</f>
        <v>32.6</v>
      </c>
      <c r="CU15" s="18">
        <f>CT15*VLOOKUP('Données projet'!$B$13,Paramètres!$A$1:$I$89,3,0)*VLOOKUP('Données projet'!$B$13,Paramètres!$A$1:$I$89,5,0)</f>
        <v>28.479360000000007</v>
      </c>
      <c r="CV15" s="14">
        <f t="shared" si="41"/>
        <v>8.8874050121326551</v>
      </c>
      <c r="CW15" s="22">
        <f t="shared" si="13"/>
        <v>65.080449062797712</v>
      </c>
      <c r="CX15" s="62">
        <f t="shared" si="14"/>
        <v>336.41378239613101</v>
      </c>
      <c r="CY15" s="62">
        <f ca="1">AVERAGE(OFFSET($CX$3,0,0,'Données projet'!$E$13+1,1))-AVERAGE(OFFSET($H$3,0,0,'Données projet'!$E$13+1,1))</f>
        <v>383.46266660377637</v>
      </c>
      <c r="CZ15" s="62">
        <f t="shared" si="42"/>
        <v>373.1287543230714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22.3125</v>
      </c>
      <c r="DO15" s="13">
        <f>IF('Données projet'!$A$166&gt;35,DO14+DN15-DW14,IF(A15&lt;'Données projet'!$A$166,$DL$205^A15,IF(A15='Données projet'!$A$166,'Données projet'!$B$166,DO14+DN15-DW14)))</f>
        <v>82.129875046086283</v>
      </c>
      <c r="DP15" s="18">
        <f>DO15*VLOOKUP('Données projet'!$B$14,Paramètres!$A$1:$I$89,3,0)*VLOOKUP('Données projet'!$B$14,Paramètres!$A$1:$I$89,5,0)</f>
        <v>47.149118666457213</v>
      </c>
      <c r="DQ15" s="14">
        <f t="shared" si="43"/>
        <v>13.875010465596391</v>
      </c>
      <c r="DR15" s="22">
        <f t="shared" si="16"/>
        <v>106.28369157166001</v>
      </c>
      <c r="DS15" s="62">
        <f t="shared" si="17"/>
        <v>377.61702490499334</v>
      </c>
      <c r="DT15" s="62">
        <f ca="1">AVERAGE(OFFSET($DS$3,0,0,'Données projet'!$E$14+1,1))-AVERAGE(OFFSET($H$3,0,0,'Données projet'!$E$14+1,1))</f>
        <v>96.56611521638132</v>
      </c>
      <c r="DU15" s="62">
        <f t="shared" si="44"/>
        <v>465.03257878814094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10.8</v>
      </c>
      <c r="EJ15" s="13">
        <f>IF('Données projet'!$A$192&gt;35,EJ14+EI15-ER14,IF(A15&lt;'Données projet'!$A$192,$EG$205^A15,IF(A15='Données projet'!$A$192,'Données projet'!$B$192,EJ14+EI15-ER14)))</f>
        <v>32.6</v>
      </c>
      <c r="EK15" s="18">
        <f>EJ15*VLOOKUP('Données projet'!$B$15,Paramètres!$A$1:$I$89,3,0)*VLOOKUP('Données projet'!$B$15,Paramètres!$A$1:$I$89,5,0)</f>
        <v>26.445120000000003</v>
      </c>
      <c r="EL15" s="14">
        <f t="shared" si="45"/>
        <v>8.3240865246071554</v>
      </c>
      <c r="EM15" s="22">
        <f t="shared" si="19"/>
        <v>60.556368030357454</v>
      </c>
      <c r="EN15" s="62">
        <f t="shared" si="20"/>
        <v>331.88970136369079</v>
      </c>
      <c r="EO15" s="62">
        <f ca="1">AVERAGE(OFFSET($EN$3,0,0,'Données projet'!$E$15+1,1))-AVERAGE(OFFSET($H$3,0,0,'Données projet'!$E$15+1,1))</f>
        <v>358.75637627589799</v>
      </c>
      <c r="EP15" s="62">
        <f t="shared" si="46"/>
        <v>349.64821164483607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30.0625</v>
      </c>
      <c r="FE15" s="13">
        <f>IF('Données projet'!$A$218&gt;35,FE14+FD15-FM14,IF(A15&lt;'Données projet'!$A$218,$FB$205^A15,IF(A15='Données projet'!$A$218,'Données projet'!$B$218,FE14+FD15-FM14)))</f>
        <v>102.70907247142721</v>
      </c>
      <c r="FF15" s="18">
        <f>FE15*VLOOKUP('Données projet'!$B$16,Paramètres!$A$1:$I$89,3,0)*VLOOKUP('Données projet'!$B$16,Paramètres!$A$1:$I$89,5,0)</f>
        <v>58.963224324396926</v>
      </c>
      <c r="FG15" s="14">
        <f t="shared" si="47"/>
        <v>16.905874265751294</v>
      </c>
      <c r="FH15" s="22">
        <f t="shared" si="22"/>
        <v>132.13868004450811</v>
      </c>
      <c r="FI15" s="62">
        <f t="shared" si="23"/>
        <v>403.47201337784145</v>
      </c>
      <c r="FJ15" s="62">
        <f ca="1">AVERAGE(OFFSET($FI$3,0,0,'Données projet'!$E$16+1,1))-AVERAGE(OFFSET($H$3,0,0,'Données projet'!$E$16+1,1))</f>
        <v>121.28977654040114</v>
      </c>
      <c r="FK15" s="62">
        <f t="shared" si="48"/>
        <v>615.69585264342595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10.8</v>
      </c>
      <c r="N16" s="14">
        <f>IF('Données projet'!$A$36&gt;35,N15+M16-V15,IF(A16&lt;'Données projet'!$A$36,$K$205^A16,IF(A16='Données projet'!$A$36,'Données projet'!$B$36,N15+M16-V15)))</f>
        <v>43.400000000000006</v>
      </c>
      <c r="O16" s="14">
        <f>N16*VLOOKUP('Données projet'!$B$9,Paramètres!$A$1:$I$89,3,0)*VLOOKUP('Données projet'!$B$9,Paramètres!$A$1:$I$89,5,0)</f>
        <v>34.529040000000009</v>
      </c>
      <c r="P16" s="14">
        <f t="shared" si="33"/>
        <v>10.536391336679102</v>
      </c>
      <c r="Q16" s="22">
        <f t="shared" si="2"/>
        <v>78.488959578049446</v>
      </c>
      <c r="R16" s="62">
        <f t="shared" si="0"/>
        <v>351.04451513360499</v>
      </c>
      <c r="S16" s="62">
        <f ca="1">AVERAGE(OFFSET($R$3,0,0,'Données projet'!$E$9+1,1))-AVERAGE(OFFSET($H$3,0,0,'Données projet'!$E$9+1,1))</f>
        <v>352.5736659365665</v>
      </c>
      <c r="T16" s="62">
        <f t="shared" si="34"/>
        <v>343.77208530767069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5.2</v>
      </c>
      <c r="AI16" s="14">
        <f>IF('Données projet'!$A$62&gt;35,AI15+AH16-AQ15,IF(A16&lt;'Données projet'!$A$62,$AF$205^A16,IF(A16='Données projet'!$A$62,'Données projet'!$B$62,AI15+AH16-AQ15)))</f>
        <v>22.599999999999998</v>
      </c>
      <c r="AJ16" s="14">
        <f>AI16*VLOOKUP('Données projet'!$B$10,Paramètres!$A$1:$I$89,3,0)*VLOOKUP('Données projet'!$B$10,Paramètres!$A$1:$I$89,5,0)</f>
        <v>14.807519999999998</v>
      </c>
      <c r="AK16" s="14">
        <f t="shared" si="35"/>
        <v>4.9864360055165786</v>
      </c>
      <c r="AL16" s="22">
        <f t="shared" si="4"/>
        <v>34.474473376274702</v>
      </c>
      <c r="AM16" s="62">
        <f t="shared" si="5"/>
        <v>307.03002893183026</v>
      </c>
      <c r="AN16" s="62">
        <f ca="1">AVERAGE(OFFSET($AM$3,0,0,'Données projet'!$E$10+1,1))-AVERAGE(OFFSET($H$3,0,0,'Données projet'!$E$10+1,1))</f>
        <v>210.08998695869161</v>
      </c>
      <c r="AO16" s="62">
        <f t="shared" si="36"/>
        <v>207.30911916430881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0.21856629398041316</v>
      </c>
      <c r="AX16" s="23">
        <f t="shared" si="6"/>
        <v>0.21856629398041316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10.908195502891123</v>
      </c>
      <c r="BF16" s="14">
        <f t="shared" si="37"/>
        <v>3.8063659420723552</v>
      </c>
      <c r="BG16" s="22">
        <f t="shared" si="7"/>
        <v>25.627861183311392</v>
      </c>
      <c r="BH16" s="62">
        <f t="shared" si="8"/>
        <v>298.18341673886692</v>
      </c>
      <c r="BI16" s="62">
        <f ca="1">AVERAGE(OFFSET($BH$3,0,0,'Données projet'!$E$11+1,1))-AVERAGE(OFFSET($H$3,0,0,'Données projet'!$E$11+1,1))</f>
        <v>335.83558218229564</v>
      </c>
      <c r="BJ16" s="62">
        <f t="shared" si="38"/>
        <v>217.08423061559648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2.6666666666666665</v>
      </c>
      <c r="BY16" s="13">
        <f>IF('Données projet'!$A$114&gt;35,BY15+BX16-CG15,IF(A16&lt;'Données projet'!$A$114,$BV$205^A16,IF(A16='Données projet'!$A$114,'Données projet'!$B$114,BY15+BX16-CG15)))</f>
        <v>24.459748796430759</v>
      </c>
      <c r="BZ16" s="14">
        <f>BY16*VLOOKUP('Données projet'!$B$12,Paramètres!$A$1:$I$89,3,0)*VLOOKUP('Données projet'!$B$12,Paramètres!$A$1:$I$89,5,0)</f>
        <v>19.078604061215994</v>
      </c>
      <c r="CA16" s="14">
        <f t="shared" si="39"/>
        <v>6.2379664748280286</v>
      </c>
      <c r="CB16" s="22">
        <f t="shared" si="10"/>
        <v>44.093027016943331</v>
      </c>
      <c r="CC16" s="62">
        <f t="shared" si="11"/>
        <v>316.64858257249887</v>
      </c>
      <c r="CD16" s="62">
        <f ca="1">AVERAGE(OFFSET($CC$3,0,0,'Données projet'!$E$12+1,1))-AVERAGE(OFFSET($H$3,0,0,'Données projet'!$E$12+1,1))</f>
        <v>288.82868507674738</v>
      </c>
      <c r="CE16" s="62">
        <f t="shared" si="40"/>
        <v>283.48738729114024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10.8</v>
      </c>
      <c r="CT16" s="13">
        <f>IF('Données projet'!$A$140&gt;35,CT15+CS16-DB15,IF(A16&lt;'Données projet'!$A$140,$CQ$205^A16,IF(A16='Données projet'!$A$140,'Données projet'!$B$140,CT15+CS16-DB15)))</f>
        <v>43.400000000000006</v>
      </c>
      <c r="CU16" s="18">
        <f>CT16*VLOOKUP('Données projet'!$B$13,Paramètres!$A$1:$I$89,3,0)*VLOOKUP('Données projet'!$B$13,Paramètres!$A$1:$I$89,5,0)</f>
        <v>37.914240000000007</v>
      </c>
      <c r="CV16" s="14">
        <f t="shared" si="41"/>
        <v>11.444104784431099</v>
      </c>
      <c r="CW16" s="22">
        <f t="shared" si="13"/>
        <v>85.965783832884156</v>
      </c>
      <c r="CX16" s="62">
        <f t="shared" si="14"/>
        <v>358.52133938843969</v>
      </c>
      <c r="CY16" s="62">
        <f ca="1">AVERAGE(OFFSET($CX$3,0,0,'Données projet'!$E$13+1,1))-AVERAGE(OFFSET($H$3,0,0,'Données projet'!$E$13+1,1))</f>
        <v>383.46266660377637</v>
      </c>
      <c r="CZ16" s="62">
        <f t="shared" si="42"/>
        <v>373.1287543230714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22.3125</v>
      </c>
      <c r="DO16" s="13">
        <f>IF('Données projet'!$A$166&gt;35,DO15+DN16-DW15,IF(A16&lt;'Données projet'!$A$166,$DL$205^A16,IF(A16='Données projet'!$A$166,'Données projet'!$B$166,DO15+DN16-DW15)))</f>
        <v>118.58859551365303</v>
      </c>
      <c r="DP16" s="18">
        <f>DO16*VLOOKUP('Données projet'!$B$14,Paramètres!$A$1:$I$89,3,0)*VLOOKUP('Données projet'!$B$14,Paramètres!$A$1:$I$89,5,0)</f>
        <v>68.079340912477932</v>
      </c>
      <c r="DQ16" s="14">
        <f t="shared" si="43"/>
        <v>19.195720670712973</v>
      </c>
      <c r="DR16" s="22">
        <f t="shared" si="16"/>
        <v>152.00406559072414</v>
      </c>
      <c r="DS16" s="62">
        <f t="shared" si="17"/>
        <v>424.55962114627971</v>
      </c>
      <c r="DT16" s="62">
        <f ca="1">AVERAGE(OFFSET($DS$3,0,0,'Données projet'!$E$14+1,1))-AVERAGE(OFFSET($H$3,0,0,'Données projet'!$E$14+1,1))</f>
        <v>96.56611521638132</v>
      </c>
      <c r="DU16" s="62">
        <f t="shared" si="44"/>
        <v>465.03257878814094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10.8</v>
      </c>
      <c r="EJ16" s="13">
        <f>IF('Données projet'!$A$192&gt;35,EJ15+EI16-ER15,IF(A16&lt;'Données projet'!$A$192,$EG$205^A16,IF(A16='Données projet'!$A$192,'Données projet'!$B$192,EJ15+EI16-ER15)))</f>
        <v>43.400000000000006</v>
      </c>
      <c r="EK16" s="18">
        <f>EJ16*VLOOKUP('Données projet'!$B$15,Paramètres!$A$1:$I$89,3,0)*VLOOKUP('Données projet'!$B$15,Paramètres!$A$1:$I$89,5,0)</f>
        <v>35.206080000000007</v>
      </c>
      <c r="EL16" s="14">
        <f t="shared" si="45"/>
        <v>10.718732666310196</v>
      </c>
      <c r="EM16" s="22">
        <f t="shared" si="19"/>
        <v>79.985715393823597</v>
      </c>
      <c r="EN16" s="62">
        <f t="shared" si="20"/>
        <v>352.54127094937917</v>
      </c>
      <c r="EO16" s="62">
        <f ca="1">AVERAGE(OFFSET($EN$3,0,0,'Données projet'!$E$15+1,1))-AVERAGE(OFFSET($H$3,0,0,'Données projet'!$E$15+1,1))</f>
        <v>358.75637627589799</v>
      </c>
      <c r="EP16" s="62">
        <f t="shared" si="46"/>
        <v>349.64821164483607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30.0625</v>
      </c>
      <c r="FE16" s="13">
        <f>IF('Données projet'!$A$218&gt;35,FE15+FD16-FM15,IF(A16&lt;'Données projet'!$A$218,$FB$205^A16,IF(A16='Données projet'!$A$218,'Données projet'!$B$218,FE15+FD16-FM15)))</f>
        <v>151.09248865549071</v>
      </c>
      <c r="FF16" s="18">
        <f>FE16*VLOOKUP('Données projet'!$B$16,Paramètres!$A$1:$I$89,3,0)*VLOOKUP('Données projet'!$B$16,Paramètres!$A$1:$I$89,5,0)</f>
        <v>86.739175887344118</v>
      </c>
      <c r="FG16" s="14">
        <f t="shared" si="47"/>
        <v>23.777111617690622</v>
      </c>
      <c r="FH16" s="22">
        <f t="shared" si="22"/>
        <v>192.48253407126882</v>
      </c>
      <c r="FI16" s="62">
        <f t="shared" si="23"/>
        <v>465.03808962682433</v>
      </c>
      <c r="FJ16" s="62">
        <f ca="1">AVERAGE(OFFSET($FI$3,0,0,'Données projet'!$E$16+1,1))-AVERAGE(OFFSET($H$3,0,0,'Données projet'!$E$16+1,1))</f>
        <v>121.28977654040114</v>
      </c>
      <c r="FK16" s="62">
        <f t="shared" si="48"/>
        <v>615.69585264342595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10.8</v>
      </c>
      <c r="N17" s="14">
        <f>IF('Données projet'!$A$36&gt;35,N16+M17-V16,IF(A17&lt;'Données projet'!$A$36,$K$205^A17,IF(A17='Données projet'!$A$36,'Données projet'!$B$36,N16+M17-V16)))</f>
        <v>54.2</v>
      </c>
      <c r="O17" s="14">
        <f>N17*VLOOKUP('Données projet'!$B$9,Paramètres!$A$1:$I$89,3,0)*VLOOKUP('Données projet'!$B$9,Paramètres!$A$1:$I$89,5,0)</f>
        <v>43.121520000000004</v>
      </c>
      <c r="P17" s="14">
        <f t="shared" si="33"/>
        <v>12.822353245070515</v>
      </c>
      <c r="Q17" s="22">
        <f t="shared" si="2"/>
        <v>97.435579235164482</v>
      </c>
      <c r="R17" s="62">
        <f t="shared" si="0"/>
        <v>371.21335701294225</v>
      </c>
      <c r="S17" s="62">
        <f ca="1">AVERAGE(OFFSET($R$3,0,0,'Données projet'!$E$9+1,1))-AVERAGE(OFFSET($H$3,0,0,'Données projet'!$E$9+1,1))</f>
        <v>352.5736659365665</v>
      </c>
      <c r="T17" s="62">
        <f t="shared" si="34"/>
        <v>343.77208530767069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5.2</v>
      </c>
      <c r="AI17" s="14">
        <f>IF('Données projet'!$A$62&gt;35,AI16+AH17-AQ16,IF(A17&lt;'Données projet'!$A$62,$AF$205^A17,IF(A17='Données projet'!$A$62,'Données projet'!$B$62,AI16+AH17-AQ16)))</f>
        <v>27.799999999999997</v>
      </c>
      <c r="AJ17" s="14">
        <f>AI17*VLOOKUP('Données projet'!$B$10,Paramètres!$A$1:$I$89,3,0)*VLOOKUP('Données projet'!$B$10,Paramètres!$A$1:$I$89,5,0)</f>
        <v>18.214559999999999</v>
      </c>
      <c r="AK17" s="14">
        <f t="shared" si="35"/>
        <v>5.9876721741946906</v>
      </c>
      <c r="AL17" s="22">
        <f t="shared" si="4"/>
        <v>42.152221036722416</v>
      </c>
      <c r="AM17" s="62">
        <f t="shared" si="5"/>
        <v>315.92999881450021</v>
      </c>
      <c r="AN17" s="62">
        <f ca="1">AVERAGE(OFFSET($AM$3,0,0,'Données projet'!$E$10+1,1))-AVERAGE(OFFSET($H$3,0,0,'Données projet'!$E$10+1,1))</f>
        <v>210.08998695869161</v>
      </c>
      <c r="AO17" s="62">
        <f t="shared" si="36"/>
        <v>207.30911916430881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0.15454970861236264</v>
      </c>
      <c r="AX17" s="23">
        <f t="shared" si="6"/>
        <v>0.15454970861236264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13.518205868441742</v>
      </c>
      <c r="BF17" s="14">
        <f t="shared" si="37"/>
        <v>4.6007871622955445</v>
      </c>
      <c r="BG17" s="22">
        <f t="shared" si="7"/>
        <v>31.557246195200772</v>
      </c>
      <c r="BH17" s="62">
        <f t="shared" si="8"/>
        <v>305.33502397297855</v>
      </c>
      <c r="BI17" s="62">
        <f ca="1">AVERAGE(OFFSET($BH$3,0,0,'Données projet'!$E$11+1,1))-AVERAGE(OFFSET($H$3,0,0,'Données projet'!$E$11+1,1))</f>
        <v>335.83558218229564</v>
      </c>
      <c r="BJ17" s="62">
        <f t="shared" si="38"/>
        <v>217.08423061559648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2.6666666666666665</v>
      </c>
      <c r="BY17" s="13">
        <f>IF('Données projet'!$A$114&gt;35,BY16+BX17-CG16,IF(A17&lt;'Données projet'!$A$114,$BV$205^A17,IF(A17='Données projet'!$A$114,'Données projet'!$B$114,BY16+BX17-CG16)))</f>
        <v>31.279225563578599</v>
      </c>
      <c r="BZ17" s="14">
        <f>BY17*VLOOKUP('Données projet'!$B$12,Paramètres!$A$1:$I$89,3,0)*VLOOKUP('Données projet'!$B$12,Paramètres!$A$1:$I$89,5,0)</f>
        <v>24.397795939591308</v>
      </c>
      <c r="CA17" s="14">
        <f t="shared" si="39"/>
        <v>7.75202295846145</v>
      </c>
      <c r="CB17" s="22">
        <f t="shared" si="10"/>
        <v>55.994267914108548</v>
      </c>
      <c r="CC17" s="62">
        <f t="shared" si="11"/>
        <v>329.77204569188632</v>
      </c>
      <c r="CD17" s="62">
        <f ca="1">AVERAGE(OFFSET($CC$3,0,0,'Données projet'!$E$12+1,1))-AVERAGE(OFFSET($H$3,0,0,'Données projet'!$E$12+1,1))</f>
        <v>288.82868507674738</v>
      </c>
      <c r="CE17" s="62">
        <f t="shared" si="40"/>
        <v>283.48738729114024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10.8</v>
      </c>
      <c r="CT17" s="13">
        <f>IF('Données projet'!$A$140&gt;35,CT16+CS17-DB16,IF(A17&lt;'Données projet'!$A$140,$CQ$205^A17,IF(A17='Données projet'!$A$140,'Données projet'!$B$140,CT16+CS17-DB16)))</f>
        <v>54.2</v>
      </c>
      <c r="CU17" s="18">
        <f>CT17*VLOOKUP('Données projet'!$B$13,Paramètres!$A$1:$I$89,3,0)*VLOOKUP('Données projet'!$B$13,Paramètres!$A$1:$I$89,5,0)</f>
        <v>47.349120000000006</v>
      </c>
      <c r="CV17" s="14">
        <f t="shared" si="41"/>
        <v>13.927003034591849</v>
      </c>
      <c r="CW17" s="22">
        <f t="shared" si="13"/>
        <v>106.72258095191415</v>
      </c>
      <c r="CX17" s="62">
        <f t="shared" si="14"/>
        <v>380.50035872969192</v>
      </c>
      <c r="CY17" s="62">
        <f ca="1">AVERAGE(OFFSET($CX$3,0,0,'Données projet'!$E$13+1,1))-AVERAGE(OFFSET($H$3,0,0,'Données projet'!$E$13+1,1))</f>
        <v>383.46266660377637</v>
      </c>
      <c r="CZ17" s="62">
        <f t="shared" si="42"/>
        <v>373.1287543230714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22.3125</v>
      </c>
      <c r="DO17" s="13">
        <f>IF('Données projet'!$A$166&gt;35,DO16+DN17-DW16,IF(A17&lt;'Données projet'!$A$166,$DL$205^A17,IF(A17='Données projet'!$A$166,'Données projet'!$B$166,DO16+DN17-DW16)))</f>
        <v>171.23190529645109</v>
      </c>
      <c r="DP17" s="18">
        <f>DO17*VLOOKUP('Données projet'!$B$14,Paramètres!$A$1:$I$89,3,0)*VLOOKUP('Données projet'!$B$14,Paramètres!$A$1:$I$89,5,0)</f>
        <v>98.300812192586633</v>
      </c>
      <c r="DQ17" s="14">
        <f t="shared" si="43"/>
        <v>26.556786604355118</v>
      </c>
      <c r="DR17" s="22">
        <f t="shared" si="16"/>
        <v>217.46031790467353</v>
      </c>
      <c r="DS17" s="62">
        <f t="shared" si="17"/>
        <v>491.23809568245133</v>
      </c>
      <c r="DT17" s="62">
        <f ca="1">AVERAGE(OFFSET($DS$3,0,0,'Données projet'!$E$14+1,1))-AVERAGE(OFFSET($H$3,0,0,'Données projet'!$E$14+1,1))</f>
        <v>96.56611521638132</v>
      </c>
      <c r="DU17" s="62">
        <f t="shared" si="44"/>
        <v>465.03257878814094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10.8</v>
      </c>
      <c r="EJ17" s="13">
        <f>IF('Données projet'!$A$192&gt;35,EJ16+EI17-ER16,IF(A17&lt;'Données projet'!$A$192,$EG$205^A17,IF(A17='Données projet'!$A$192,'Données projet'!$B$192,EJ16+EI17-ER16)))</f>
        <v>54.2</v>
      </c>
      <c r="EK17" s="18">
        <f>EJ17*VLOOKUP('Données projet'!$B$15,Paramètres!$A$1:$I$89,3,0)*VLOOKUP('Données projet'!$B$15,Paramètres!$A$1:$I$89,5,0)</f>
        <v>43.967040000000004</v>
      </c>
      <c r="EL17" s="14">
        <f t="shared" si="45"/>
        <v>13.04425511497986</v>
      </c>
      <c r="EM17" s="22">
        <f t="shared" si="19"/>
        <v>99.294672325256599</v>
      </c>
      <c r="EN17" s="62">
        <f t="shared" si="20"/>
        <v>373.07245010303438</v>
      </c>
      <c r="EO17" s="62">
        <f ca="1">AVERAGE(OFFSET($EN$3,0,0,'Données projet'!$E$15+1,1))-AVERAGE(OFFSET($H$3,0,0,'Données projet'!$E$15+1,1))</f>
        <v>358.75637627589799</v>
      </c>
      <c r="EP17" s="62">
        <f t="shared" si="46"/>
        <v>349.64821164483607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30.0625</v>
      </c>
      <c r="FE17" s="13">
        <f>IF('Données projet'!$A$218&gt;35,FE16+FD17-FM16,IF(A17&lt;'Données projet'!$A$218,$FB$205^A17,IF(A17='Données projet'!$A$218,'Données projet'!$B$218,FE16+FD17-FM16)))</f>
        <v>222.26800007818593</v>
      </c>
      <c r="FF17" s="18">
        <f>FE17*VLOOKUP('Données projet'!$B$16,Paramètres!$A$1:$I$89,3,0)*VLOOKUP('Données projet'!$B$16,Paramètres!$A$1:$I$89,5,0)</f>
        <v>127.59961348488498</v>
      </c>
      <c r="FG17" s="14">
        <f t="shared" si="47"/>
        <v>33.441100294081402</v>
      </c>
      <c r="FH17" s="22">
        <f t="shared" si="22"/>
        <v>280.4792431650331</v>
      </c>
      <c r="FI17" s="62">
        <f t="shared" si="23"/>
        <v>554.25702094281087</v>
      </c>
      <c r="FJ17" s="62">
        <f ca="1">AVERAGE(OFFSET($FI$3,0,0,'Données projet'!$E$16+1,1))-AVERAGE(OFFSET($H$3,0,0,'Données projet'!$E$16+1,1))</f>
        <v>121.28977654040114</v>
      </c>
      <c r="FK17" s="62">
        <f t="shared" si="48"/>
        <v>615.69585264342595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65</v>
      </c>
      <c r="L18" s="13">
        <f>VLOOKUP(A18,'Données projet'!$A$35:$I$55,9,0)</f>
        <v>10.8</v>
      </c>
      <c r="M18" s="13">
        <f t="array" ref="M18">INDEX(L:L,MIN(IF(ISNUMBER(L18:L214),ROW(L18:L214),"")))</f>
        <v>10.8</v>
      </c>
      <c r="N18" s="14">
        <f>IF('Données projet'!$A$36&gt;35,N17+M18-V17,IF(A18&lt;'Données projet'!$A$36,$K$205^A18,IF(A18='Données projet'!$A$36,'Données projet'!$B$36,N17+M18-V17)))</f>
        <v>65</v>
      </c>
      <c r="O18" s="14">
        <f>N18*VLOOKUP('Données projet'!$B$9,Paramètres!$A$1:$I$89,3,0)*VLOOKUP('Données projet'!$B$9,Paramètres!$A$1:$I$89,5,0)</f>
        <v>51.713999999999999</v>
      </c>
      <c r="P18" s="14">
        <f t="shared" si="33"/>
        <v>15.055535578337075</v>
      </c>
      <c r="Q18" s="22">
        <f t="shared" si="2"/>
        <v>116.29027446560372</v>
      </c>
      <c r="R18" s="62">
        <f t="shared" si="0"/>
        <v>391.29027446560372</v>
      </c>
      <c r="S18" s="62">
        <f ca="1">AVERAGE(OFFSET($R$3,0,0,'Données projet'!$E$9+1,1))-AVERAGE(OFFSET($H$3,0,0,'Données projet'!$E$9+1,1))</f>
        <v>352.5736659365665</v>
      </c>
      <c r="T18" s="62">
        <f t="shared" si="34"/>
        <v>343.77208530767069</v>
      </c>
      <c r="U18" s="16">
        <f>IF(ISNA(VLOOKUP(A18,'Données projet'!$A$35:$I$55,3,0)),0,VLOOKUP(A18,'Données projet'!$A$35:$I$55,3,0))</f>
        <v>2</v>
      </c>
      <c r="V18" s="16">
        <f>IF(ISNA(VLOOKUP(A18,'Données projet'!$A$35:$I$55,4,0)),0,VLOOKUP(A18,'Données projet'!$A$35:$I$55,4,0))</f>
        <v>32</v>
      </c>
      <c r="W18" s="17">
        <f>IF(ISNA(VLOOKUP(A18,'Données projet'!$A$35:$I$55,5,0)),0%,VLOOKUP(A18,'Données projet'!$A$35:$I$55,5,0)*VLOOKUP('Données projet'!$B$9,Paramètres!$A$1:$I$89,7,0))</f>
        <v>0.10600000000000001</v>
      </c>
      <c r="X18" s="17">
        <f>IF(ISNA(VLOOKUP(A18,'Données projet'!$A$35:$I$55,6,0)),0%,VLOOKUP(A18,'Données projet'!$A$35:$I$55,6,0)*VLOOKUP('Données projet'!$B$9,Paramètres!$A$1:$I$89,7,0))</f>
        <v>0.42400000000000004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2.9833054975801603</v>
      </c>
      <c r="AA18" s="23">
        <f>EXP(-LN(2)/25)*AA17+(1-EXP(-LN(2)/25))/(LN(2)/25)*Calculateur!V18*Calculateur!X18*VLOOKUP('Données projet'!$B$9,Paramètres!$A$1:$I$89,3,0)*0.475*44/12</f>
        <v>11.8862363484307</v>
      </c>
      <c r="AB18" s="23">
        <f>EXP(-LN(2)/2)*AB17+(1-EXP(-LN(2)/2))/(LN(2)/2)*V18*Y18*VLOOKUP('Données projet'!$B$9,Paramètres!$A$1:$I$89,3,0)*0.475*44/12</f>
        <v>0</v>
      </c>
      <c r="AC18" s="24">
        <f t="shared" si="3"/>
        <v>14.869541846010859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33</v>
      </c>
      <c r="AG18" s="13">
        <f>VLOOKUP(A18,'Données projet'!$A$61:$I$81,9,0)</f>
        <v>5.2</v>
      </c>
      <c r="AH18" s="13">
        <f t="array" ref="AH18">INDEX(AG:AG,MIN(IF(ISNUMBER(AG18:AG214),ROW(AG18:AG214),"")))</f>
        <v>5.2</v>
      </c>
      <c r="AI18" s="14">
        <f>IF('Données projet'!$A$62&gt;35,AI17+AH18-AQ17,IF(A18&lt;'Données projet'!$A$62,$AF$205^A18,IF(A18='Données projet'!$A$62,'Données projet'!$B$62,AI17+AH18-AQ17)))</f>
        <v>33</v>
      </c>
      <c r="AJ18" s="14">
        <f>AI18*VLOOKUP('Données projet'!$B$10,Paramètres!$A$1:$I$89,3,0)*VLOOKUP('Données projet'!$B$10,Paramètres!$A$1:$I$89,5,0)</f>
        <v>21.621600000000001</v>
      </c>
      <c r="AK18" s="14">
        <f t="shared" si="35"/>
        <v>6.9672107919092996</v>
      </c>
      <c r="AL18" s="22">
        <f t="shared" si="4"/>
        <v>49.792178795908704</v>
      </c>
      <c r="AM18" s="62">
        <f t="shared" si="5"/>
        <v>324.79217879590868</v>
      </c>
      <c r="AN18" s="62">
        <f ca="1">AVERAGE(OFFSET($AM$3,0,0,'Données projet'!$E$10+1,1))-AVERAGE(OFFSET($H$3,0,0,'Données projet'!$E$10+1,1))</f>
        <v>210.08998695869161</v>
      </c>
      <c r="AO18" s="62">
        <f t="shared" si="36"/>
        <v>207.30911916430881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3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1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1.9638796503385578</v>
      </c>
      <c r="AX18" s="23">
        <f t="shared" si="6"/>
        <v>1.9638796503385578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16.75271495208704</v>
      </c>
      <c r="BF18" s="14">
        <f t="shared" si="37"/>
        <v>5.561010905120459</v>
      </c>
      <c r="BG18" s="22">
        <f t="shared" si="7"/>
        <v>38.863072534636395</v>
      </c>
      <c r="BH18" s="62">
        <f t="shared" si="8"/>
        <v>313.86307253463639</v>
      </c>
      <c r="BI18" s="62">
        <f ca="1">AVERAGE(OFFSET($BH$3,0,0,'Données projet'!$E$11+1,1))-AVERAGE(OFFSET($H$3,0,0,'Données projet'!$E$11+1,1))</f>
        <v>335.83558218229564</v>
      </c>
      <c r="BJ18" s="62">
        <f t="shared" si="38"/>
        <v>217.08423061559648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40</v>
      </c>
      <c r="BW18" s="13">
        <f>VLOOKUP(A18,'Données projet'!$A$113:$I$133,9,0)</f>
        <v>2.6666666666666665</v>
      </c>
      <c r="BX18" s="13">
        <f t="array" ref="BX18">INDEX(BW:BW,MIN(IF(ISNUMBER(BW18:BW214),ROW(BW18:BW214),"")))</f>
        <v>2.6666666666666665</v>
      </c>
      <c r="BY18" s="13">
        <f>IF('Données projet'!$A$114&gt;35,BY17+BX18-CG17,IF(A18&lt;'Données projet'!$A$114,$BV$205^A18,IF(A18='Données projet'!$A$114,'Données projet'!$B$114,BY17+BX18-CG17)))</f>
        <v>40</v>
      </c>
      <c r="BZ18" s="14">
        <f>BY18*VLOOKUP('Données projet'!$B$12,Paramètres!$A$1:$I$89,3,0)*VLOOKUP('Données projet'!$B$12,Paramètres!$A$1:$I$89,5,0)</f>
        <v>31.200000000000003</v>
      </c>
      <c r="CA18" s="14">
        <f t="shared" si="39"/>
        <v>9.6335657126419925</v>
      </c>
      <c r="CB18" s="22">
        <f t="shared" si="10"/>
        <v>71.118460282851473</v>
      </c>
      <c r="CC18" s="62">
        <f t="shared" si="11"/>
        <v>346.11846028285146</v>
      </c>
      <c r="CD18" s="62">
        <f ca="1">AVERAGE(OFFSET($CC$3,0,0,'Données projet'!$E$12+1,1))-AVERAGE(OFFSET($H$3,0,0,'Données projet'!$E$12+1,1))</f>
        <v>288.82868507674738</v>
      </c>
      <c r="CE18" s="62">
        <f t="shared" si="40"/>
        <v>283.48738729114024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3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1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2.2078529801766082</v>
      </c>
      <c r="CN18" s="24">
        <f t="shared" si="12"/>
        <v>2.2078529801766082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65</v>
      </c>
      <c r="CR18" s="13">
        <f>VLOOKUP(A18,'Données projet'!$A$139:$I$159,9,0)</f>
        <v>10.8</v>
      </c>
      <c r="CS18" s="13">
        <f t="array" ref="CS18">INDEX(CR:CR,MIN(IF(ISNUMBER(CR18:CR214),ROW(CR18:CR214),"")))</f>
        <v>10.8</v>
      </c>
      <c r="CT18" s="13">
        <f>IF('Données projet'!$A$140&gt;35,CT17+CS18-DB17,IF(A18&lt;'Données projet'!$A$140,$CQ$205^A18,IF(A18='Données projet'!$A$140,'Données projet'!$B$140,CT17+CS18-DB17)))</f>
        <v>65</v>
      </c>
      <c r="CU18" s="18">
        <f>CT18*VLOOKUP('Données projet'!$B$13,Paramètres!$A$1:$I$89,3,0)*VLOOKUP('Données projet'!$B$13,Paramètres!$A$1:$I$89,5,0)</f>
        <v>56.784000000000013</v>
      </c>
      <c r="CV18" s="14">
        <f t="shared" si="41"/>
        <v>16.352574732529362</v>
      </c>
      <c r="CW18" s="22">
        <f t="shared" si="13"/>
        <v>127.37953432582198</v>
      </c>
      <c r="CX18" s="62">
        <f t="shared" si="14"/>
        <v>402.37953432582196</v>
      </c>
      <c r="CY18" s="62">
        <f ca="1">AVERAGE(OFFSET($CX$3,0,0,'Données projet'!$E$13+1,1))-AVERAGE(OFFSET($H$3,0,0,'Données projet'!$E$13+1,1))</f>
        <v>383.46266660377637</v>
      </c>
      <c r="CZ18" s="62">
        <f t="shared" si="42"/>
        <v>373.1287543230714</v>
      </c>
      <c r="DA18" s="16">
        <f>IF(ISNA(VLOOKUP(A18,'Données projet'!$A$139:$I$159,3,0)),0,VLOOKUP(A18,'Données projet'!$A$139:$I$159,3,0))</f>
        <v>2</v>
      </c>
      <c r="DB18" s="16">
        <f>IF(ISNA(VLOOKUP(A18,'Données projet'!$A$139:$I$159,4,0)),0,VLOOKUP(A18,'Données projet'!$A$139:$I$159,4,0))</f>
        <v>32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1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26.376483603176553</v>
      </c>
      <c r="DI18" s="24">
        <f t="shared" si="15"/>
        <v>26.376483603176553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22.3125</v>
      </c>
      <c r="DO18" s="13">
        <f>IF('Données projet'!$A$166&gt;35,DO17+DN18-DW17,IF(A18&lt;'Données projet'!$A$166,$DL$205^A18,IF(A18='Données projet'!$A$166,'Données projet'!$B$166,DO17+DN18-DW17)))</f>
        <v>247.24439364894201</v>
      </c>
      <c r="DP18" s="18">
        <f>DO18*VLOOKUP('Données projet'!$B$14,Paramètres!$A$1:$I$89,3,0)*VLOOKUP('Données projet'!$B$14,Paramètres!$A$1:$I$89,5,0)</f>
        <v>141.93806150598465</v>
      </c>
      <c r="DQ18" s="14">
        <f t="shared" si="43"/>
        <v>36.740632292346248</v>
      </c>
      <c r="DR18" s="22">
        <f t="shared" si="16"/>
        <v>311.19872503209297</v>
      </c>
      <c r="DS18" s="62">
        <f t="shared" si="17"/>
        <v>586.19872503209297</v>
      </c>
      <c r="DT18" s="62">
        <f ca="1">AVERAGE(OFFSET($DS$3,0,0,'Données projet'!$E$14+1,1))-AVERAGE(OFFSET($H$3,0,0,'Données projet'!$E$14+1,1))</f>
        <v>96.56611521638132</v>
      </c>
      <c r="DU18" s="62">
        <f t="shared" si="44"/>
        <v>465.03257878814094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65</v>
      </c>
      <c r="EH18" s="13">
        <f>VLOOKUP(A18,'Données projet'!$A$191:$I$211,9,0)</f>
        <v>10.8</v>
      </c>
      <c r="EI18" s="13">
        <f t="array" ref="EI18">INDEX(EH:EH,MIN(IF(ISNUMBER(EH18:EH214),ROW(EH18:EH214),"")))</f>
        <v>10.8</v>
      </c>
      <c r="EJ18" s="13">
        <f>IF('Données projet'!$A$192&gt;35,EJ17+EI18-ER17,IF(A18&lt;'Données projet'!$A$192,$EG$205^A18,IF(A18='Données projet'!$A$192,'Données projet'!$B$192,EJ17+EI18-ER17)))</f>
        <v>65</v>
      </c>
      <c r="EK18" s="18">
        <f>EJ18*VLOOKUP('Données projet'!$B$15,Paramètres!$A$1:$I$89,3,0)*VLOOKUP('Données projet'!$B$15,Paramètres!$A$1:$I$89,5,0)</f>
        <v>52.728000000000009</v>
      </c>
      <c r="EL18" s="14">
        <f t="shared" si="45"/>
        <v>15.316084592505286</v>
      </c>
      <c r="EM18" s="22">
        <f t="shared" si="19"/>
        <v>118.51011399861339</v>
      </c>
      <c r="EN18" s="62">
        <f t="shared" si="20"/>
        <v>393.51011399861341</v>
      </c>
      <c r="EO18" s="62">
        <f ca="1">AVERAGE(OFFSET($EN$3,0,0,'Données projet'!$E$15+1,1))-AVERAGE(OFFSET($H$3,0,0,'Données projet'!$E$15+1,1))</f>
        <v>358.75637627589799</v>
      </c>
      <c r="EP18" s="62">
        <f t="shared" si="46"/>
        <v>349.64821164483607</v>
      </c>
      <c r="EQ18" s="16">
        <f>IF(ISNA(VLOOKUP(A18,'Données projet'!$A$191:$I$211,3,0)),0,VLOOKUP(A18,'Données projet'!$A$191:$I$211,3,0))</f>
        <v>2</v>
      </c>
      <c r="ER18" s="16">
        <f>IF(ISNA(VLOOKUP(A18,'Données projet'!$A$191:$I$211,4,0)),0,VLOOKUP(A18,'Données projet'!$A$191:$I$211,4,0))</f>
        <v>32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1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24.492449060092511</v>
      </c>
      <c r="EY18" s="24">
        <f t="shared" si="21"/>
        <v>24.492449060092511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30.0625</v>
      </c>
      <c r="FE18" s="13">
        <f>IF('Données projet'!$A$218&gt;35,FE17+FD18-FM17,IF(A18&lt;'Données projet'!$A$218,$FB$205^A18,IF(A18='Données projet'!$A$218,'Données projet'!$B$218,FE17+FD18-FM17)))</f>
        <v>326.97233527870122</v>
      </c>
      <c r="FF18" s="18">
        <f>FE18*VLOOKUP('Données projet'!$B$16,Paramètres!$A$1:$I$89,3,0)*VLOOKUP('Données projet'!$B$16,Paramètres!$A$1:$I$89,5,0)</f>
        <v>187.70827823679679</v>
      </c>
      <c r="FG18" s="14">
        <f t="shared" si="47"/>
        <v>47.032928425451303</v>
      </c>
      <c r="FH18" s="22">
        <f t="shared" si="22"/>
        <v>408.84093493674874</v>
      </c>
      <c r="FI18" s="62">
        <f t="shared" si="23"/>
        <v>683.84093493674868</v>
      </c>
      <c r="FJ18" s="62">
        <f ca="1">AVERAGE(OFFSET($FI$3,0,0,'Données projet'!$E$16+1,1))-AVERAGE(OFFSET($H$3,0,0,'Données projet'!$E$16+1,1))</f>
        <v>121.28977654040114</v>
      </c>
      <c r="FK18" s="62">
        <f t="shared" si="48"/>
        <v>615.69585264342595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13.6</v>
      </c>
      <c r="N19" s="14">
        <f>IF('Données projet'!$A$36&gt;35,N18+M19-V18,IF(A19&lt;'Données projet'!$A$36,$K$205^A19,IF(A19='Données projet'!$A$36,'Données projet'!$B$36,N18+M19-V18)))</f>
        <v>46.599999999999994</v>
      </c>
      <c r="O19" s="14">
        <f>N19*VLOOKUP('Données projet'!$B$9,Paramètres!$A$1:$I$89,3,0)*VLOOKUP('Données projet'!$B$9,Paramètres!$A$1:$I$89,5,0)</f>
        <v>37.074959999999997</v>
      </c>
      <c r="P19" s="14">
        <f t="shared" si="33"/>
        <v>11.219971753147911</v>
      </c>
      <c r="Q19" s="22">
        <f t="shared" si="2"/>
        <v>84.113672803399268</v>
      </c>
      <c r="R19" s="62">
        <f t="shared" si="0"/>
        <v>360.33589502562148</v>
      </c>
      <c r="S19" s="62">
        <f ca="1">AVERAGE(OFFSET($R$3,0,0,'Données projet'!$E$9+1,1))-AVERAGE(OFFSET($H$3,0,0,'Données projet'!$E$9+1,1))</f>
        <v>352.5736659365665</v>
      </c>
      <c r="T19" s="62">
        <f t="shared" si="34"/>
        <v>343.77208530767069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2.9248046964092929</v>
      </c>
      <c r="AA19" s="23">
        <f>EXP(-LN(2)/25)*AA18+(1-EXP(-LN(2)/25))/(LN(2)/25)*Calculateur!V19*Calculateur!X19*VLOOKUP('Données projet'!$B$9,Paramètres!$A$1:$I$89,3,0)*0.475*44/12</f>
        <v>11.561206590412858</v>
      </c>
      <c r="AB19" s="23">
        <f>EXP(-LN(2)/2)*AB18+(1-EXP(-LN(2)/2))/(LN(2)/2)*V19*Y19*VLOOKUP('Données projet'!$B$9,Paramètres!$A$1:$I$89,3,0)*0.475*44/12</f>
        <v>0</v>
      </c>
      <c r="AC19" s="24">
        <f t="shared" si="3"/>
        <v>14.486011286822151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</v>
      </c>
      <c r="AI19" s="14">
        <f>IF('Données projet'!$A$62&gt;35,AI18+AH19-AQ18,IF(A19&lt;'Données projet'!$A$62,$AF$205^A19,IF(A19='Données projet'!$A$62,'Données projet'!$B$62,AI18+AH19-AQ18)))</f>
        <v>39</v>
      </c>
      <c r="AJ19" s="14">
        <f>AI19*VLOOKUP('Données projet'!$B$10,Paramètres!$A$1:$I$89,3,0)*VLOOKUP('Données projet'!$B$10,Paramètres!$A$1:$I$89,5,0)</f>
        <v>25.552799999999998</v>
      </c>
      <c r="AK19" s="14">
        <f t="shared" si="35"/>
        <v>8.0754125740317182</v>
      </c>
      <c r="AL19" s="22">
        <f t="shared" si="4"/>
        <v>58.569136899771898</v>
      </c>
      <c r="AM19" s="62">
        <f t="shared" si="5"/>
        <v>334.79135912199411</v>
      </c>
      <c r="AN19" s="62">
        <f ca="1">AVERAGE(OFFSET($AM$3,0,0,'Données projet'!$E$10+1,1))-AVERAGE(OFFSET($H$3,0,0,'Données projet'!$E$10+1,1))</f>
        <v>210.08998695869161</v>
      </c>
      <c r="AO19" s="62">
        <f t="shared" si="36"/>
        <v>207.30911916430881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1.3886726181886602</v>
      </c>
      <c r="AX19" s="23">
        <f t="shared" si="6"/>
        <v>1.3886726181886602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20.761146930086799</v>
      </c>
      <c r="BF19" s="14">
        <f t="shared" si="37"/>
        <v>6.7216415791420445</v>
      </c>
      <c r="BG19" s="22">
        <f t="shared" si="7"/>
        <v>47.865856653573566</v>
      </c>
      <c r="BH19" s="62">
        <f t="shared" si="8"/>
        <v>324.08807887579582</v>
      </c>
      <c r="BI19" s="62">
        <f ca="1">AVERAGE(OFFSET($BH$3,0,0,'Données projet'!$E$11+1,1))-AVERAGE(OFFSET($H$3,0,0,'Données projet'!$E$11+1,1))</f>
        <v>335.83558218229564</v>
      </c>
      <c r="BJ19" s="62">
        <f t="shared" si="38"/>
        <v>217.08423061559648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9.6</v>
      </c>
      <c r="BY19" s="13">
        <f>IF('Données projet'!$A$114&gt;35,BY18+BX19-CG18,IF(A19&lt;'Données projet'!$A$114,$BV$205^A19,IF(A19='Données projet'!$A$114,'Données projet'!$B$114,BY18+BX19-CG18)))</f>
        <v>46.6</v>
      </c>
      <c r="BZ19" s="14">
        <f>BY19*VLOOKUP('Données projet'!$B$12,Paramètres!$A$1:$I$89,3,0)*VLOOKUP('Données projet'!$B$12,Paramètres!$A$1:$I$89,5,0)</f>
        <v>36.347999999999999</v>
      </c>
      <c r="CA19" s="14">
        <f t="shared" si="39"/>
        <v>11.025356771848859</v>
      </c>
      <c r="CB19" s="22">
        <f t="shared" si="10"/>
        <v>82.508596377636763</v>
      </c>
      <c r="CC19" s="62">
        <f t="shared" si="11"/>
        <v>358.73081859985899</v>
      </c>
      <c r="CD19" s="62">
        <f ca="1">AVERAGE(OFFSET($CC$3,0,0,'Données projet'!$E$12+1,1))-AVERAGE(OFFSET($H$3,0,0,'Données projet'!$E$12+1,1))</f>
        <v>288.82868507674738</v>
      </c>
      <c r="CE19" s="62">
        <f t="shared" si="40"/>
        <v>283.48738729114024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1.561187814145808</v>
      </c>
      <c r="CN19" s="24">
        <f t="shared" si="12"/>
        <v>1.561187814145808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13.6</v>
      </c>
      <c r="CT19" s="13">
        <f>IF('Données projet'!$A$140&gt;35,CT18+CS19-DB18,IF(A19&lt;'Données projet'!$A$140,$CQ$205^A19,IF(A19='Données projet'!$A$140,'Données projet'!$B$140,CT18+CS19-DB18)))</f>
        <v>46.599999999999994</v>
      </c>
      <c r="CU19" s="18">
        <f>CT19*VLOOKUP('Données projet'!$B$13,Paramètres!$A$1:$I$89,3,0)*VLOOKUP('Données projet'!$B$13,Paramètres!$A$1:$I$89,5,0)</f>
        <v>40.709760000000003</v>
      </c>
      <c r="CV19" s="14">
        <f t="shared" si="41"/>
        <v>12.186575870088381</v>
      </c>
      <c r="CW19" s="22">
        <f t="shared" si="13"/>
        <v>92.127784973737278</v>
      </c>
      <c r="CX19" s="62">
        <f t="shared" si="14"/>
        <v>368.35000719595951</v>
      </c>
      <c r="CY19" s="62">
        <f ca="1">AVERAGE(OFFSET($CX$3,0,0,'Données projet'!$E$13+1,1))-AVERAGE(OFFSET($H$3,0,0,'Données projet'!$E$13+1,1))</f>
        <v>383.46266660377637</v>
      </c>
      <c r="CZ19" s="62">
        <f t="shared" si="42"/>
        <v>373.1287543230714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18.650990419661923</v>
      </c>
      <c r="DI19" s="24">
        <f t="shared" si="15"/>
        <v>18.650990419661923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>
        <f>VLOOKUP(A19,'Données projet'!$A$165:$I$185,2,0)</f>
        <v>357</v>
      </c>
      <c r="DM19" s="13">
        <f>VLOOKUP(A19,'Données projet'!$A$165:$I$185,9,0)</f>
        <v>22.3125</v>
      </c>
      <c r="DN19" s="13">
        <f t="array" ref="DN19">INDEX(DM:DM,MIN(IF(ISNUMBER(DM19:DM215),ROW(DM19:DM215),"")))</f>
        <v>22.3125</v>
      </c>
      <c r="DO19" s="13">
        <f>IF('Données projet'!$A$166&gt;35,DO18+DN19-DW18,IF(A19&lt;'Données projet'!$A$166,$DL$205^A19,IF(A19='Données projet'!$A$166,'Données projet'!$B$166,DO18+DN19-DW18)))</f>
        <v>357</v>
      </c>
      <c r="DP19" s="18">
        <f>DO19*VLOOKUP('Données projet'!$B$14,Paramètres!$A$1:$I$89,3,0)*VLOOKUP('Données projet'!$B$14,Paramètres!$A$1:$I$89,5,0)</f>
        <v>204.94656000000001</v>
      </c>
      <c r="DQ19" s="14">
        <f t="shared" si="43"/>
        <v>50.829721281867236</v>
      </c>
      <c r="DR19" s="22">
        <f t="shared" si="16"/>
        <v>445.4770232325854</v>
      </c>
      <c r="DS19" s="62">
        <f t="shared" si="17"/>
        <v>721.69924545480762</v>
      </c>
      <c r="DT19" s="62">
        <f ca="1">AVERAGE(OFFSET($DS$3,0,0,'Données projet'!$E$14+1,1))-AVERAGE(OFFSET($H$3,0,0,'Données projet'!$E$14+1,1))</f>
        <v>96.56611521638132</v>
      </c>
      <c r="DU19" s="62">
        <f t="shared" si="44"/>
        <v>465.03257878814094</v>
      </c>
      <c r="DV19" s="16">
        <f>IF(ISNA(VLOOKUP(A19,'Données projet'!$A$165:$I$185,3,0)),0,VLOOKUP(A19,'Données projet'!$A$165:$I$185,3,0))</f>
        <v>1</v>
      </c>
      <c r="DW19" s="16">
        <f>IF(ISNA(VLOOKUP(A19,'Données projet'!$A$165:$I$185,4,0)),0,VLOOKUP(A19,'Données projet'!$A$165:$I$185,4,0))</f>
        <v>357</v>
      </c>
      <c r="DX19" s="17">
        <f>IF(ISNA(VLOOKUP(A19,'Données projet'!$A$165:$I$185,5,0)),0%,VLOOKUP(A19,'Données projet'!$A$165:$I$185,5,0)*VLOOKUP('Données projet'!$B$14,Paramètres!$A$1:$I$89,7,0))</f>
        <v>0.48</v>
      </c>
      <c r="DY19" s="17">
        <f>IF(ISNA(VLOOKUP(A19,'Données projet'!$A$165:$I$185,6,0)),0%,VLOOKUP(A19,'Données projet'!$A$165:$I$185,6,0)*VLOOKUP('Données projet'!$B$14,Paramètres!$A$1:$I$89,7,0))</f>
        <v>0.12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108.74992870424283</v>
      </c>
      <c r="EB19" s="23">
        <f>EXP(-LN(2)/25)*EB18+(1-EXP(-LN(2)/25))/(LN(2)/25)*Calculateur!DW19*Calculateur!DY19*VLOOKUP('Données projet'!$B$14,Paramètres!$A$1:$I$89,3,0)*0.475*44/12</f>
        <v>27.080434699490695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135.83036340373354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13.6</v>
      </c>
      <c r="EJ19" s="13">
        <f>IF('Données projet'!$A$192&gt;35,EJ18+EI19-ER18,IF(A19&lt;'Données projet'!$A$192,$EG$205^A19,IF(A19='Données projet'!$A$192,'Données projet'!$B$192,EJ18+EI19-ER18)))</f>
        <v>46.599999999999994</v>
      </c>
      <c r="EK19" s="18">
        <f>EJ19*VLOOKUP('Données projet'!$B$15,Paramètres!$A$1:$I$89,3,0)*VLOOKUP('Données projet'!$B$15,Paramètres!$A$1:$I$89,5,0)</f>
        <v>37.801920000000003</v>
      </c>
      <c r="EL19" s="14">
        <f t="shared" si="45"/>
        <v>11.414143030819638</v>
      </c>
      <c r="EM19" s="22">
        <f t="shared" si="19"/>
        <v>85.717976445344206</v>
      </c>
      <c r="EN19" s="62">
        <f t="shared" si="20"/>
        <v>361.94019866756645</v>
      </c>
      <c r="EO19" s="62">
        <f ca="1">AVERAGE(OFFSET($EN$3,0,0,'Données projet'!$E$15+1,1))-AVERAGE(OFFSET($H$3,0,0,'Données projet'!$E$15+1,1))</f>
        <v>358.75637627589799</v>
      </c>
      <c r="EP19" s="62">
        <f t="shared" si="46"/>
        <v>349.64821164483607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17.318776818257497</v>
      </c>
      <c r="EY19" s="24">
        <f t="shared" si="21"/>
        <v>17.318776818257497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>
        <f>VLOOKUP(A19,'Données projet'!$A$217:$I$237,2,0)</f>
        <v>481</v>
      </c>
      <c r="FC19" s="13">
        <f>VLOOKUP(A19,'Données projet'!$A$217:$I$237,9,0)</f>
        <v>30.0625</v>
      </c>
      <c r="FD19" s="13">
        <f t="array" ref="FD19">INDEX(FC:FC,MIN(IF(ISNUMBER(FC19:FC215),ROW(FC19:FC215),"")))</f>
        <v>30.0625</v>
      </c>
      <c r="FE19" s="13">
        <f>IF('Données projet'!$A$218&gt;35,FE18+FD19-FM18,IF(A19&lt;'Données projet'!$A$218,$FB$205^A19,IF(A19='Données projet'!$A$218,'Données projet'!$B$218,FE18+FD19-FM18)))</f>
        <v>481</v>
      </c>
      <c r="FF19" s="18">
        <f>FE19*VLOOKUP('Données projet'!$B$16,Paramètres!$A$1:$I$89,3,0)*VLOOKUP('Données projet'!$B$16,Paramètres!$A$1:$I$89,5,0)</f>
        <v>276.13248000000004</v>
      </c>
      <c r="FG19" s="14">
        <f t="shared" si="47"/>
        <v>66.149030289686323</v>
      </c>
      <c r="FH19" s="22">
        <f t="shared" si="22"/>
        <v>596.14029708787041</v>
      </c>
      <c r="FI19" s="62">
        <f t="shared" si="23"/>
        <v>872.36251931009269</v>
      </c>
      <c r="FJ19" s="62">
        <f ca="1">AVERAGE(OFFSET($FI$3,0,0,'Données projet'!$E$16+1,1))-AVERAGE(OFFSET($H$3,0,0,'Données projet'!$E$16+1,1))</f>
        <v>121.28977654040114</v>
      </c>
      <c r="FK19" s="62">
        <f t="shared" si="48"/>
        <v>615.69585264342595</v>
      </c>
      <c r="FL19" s="16">
        <f>IF(ISNA(VLOOKUP(A19,'Données projet'!$A$217:$I$237,3,0)),0,VLOOKUP(A19,'Données projet'!$A$217:$I$237,3,0))</f>
        <v>1</v>
      </c>
      <c r="FM19" s="16">
        <f>IF(ISNA(VLOOKUP(A19,'Données projet'!$A$217:$I$237,4,0)),0,VLOOKUP(A19,'Données projet'!$A$217:$I$237,4,0))</f>
        <v>481</v>
      </c>
      <c r="FN19" s="17">
        <f>IF(ISNA(VLOOKUP(A19,'Données projet'!$A$217:$I$237,5,0)),0%,VLOOKUP(A19,'Données projet'!$A$217:$I$237,5,0)*VLOOKUP('Données projet'!$B$16,Paramètres!$A$1:$I$89,7,0))</f>
        <v>0.48</v>
      </c>
      <c r="FO19" s="17">
        <f>IF(ISNA(VLOOKUP(A19,'Données projet'!$A$217:$I$237,6,0)),0%,VLOOKUP(A19,'Données projet'!$A$217:$I$237,6,0)*VLOOKUP('Données projet'!$B$16,Paramètres!$A$1:$I$89,7,0))</f>
        <v>0.12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146.52301318414789</v>
      </c>
      <c r="FR19" s="23">
        <f>EXP(-LN(2)/25)*FR18+(1-EXP(-LN(2)/25))/(LN(2)/25)*Calculateur!FM19*Calculateur!FO19*VLOOKUP('Données projet'!$B$16,Paramètres!$A$1:$I$89,3,0)*0.475*44/12</f>
        <v>36.486524062899221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183.00953724704709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13.6</v>
      </c>
      <c r="N20" s="14">
        <f>IF('Données projet'!$A$36&gt;35,N19+M20-V19,IF(A20&lt;'Données projet'!$A$36,$K$205^A20,IF(A20='Données projet'!$A$36,'Données projet'!$B$36,N19+M20-V19)))</f>
        <v>60.199999999999996</v>
      </c>
      <c r="O20" s="14">
        <f>N20*VLOOKUP('Données projet'!$B$9,Paramètres!$A$1:$I$89,3,0)*VLOOKUP('Données projet'!$B$9,Paramètres!$A$1:$I$89,5,0)</f>
        <v>47.895119999999999</v>
      </c>
      <c r="P20" s="14">
        <f t="shared" si="33"/>
        <v>14.068812032564205</v>
      </c>
      <c r="Q20" s="22">
        <f t="shared" si="2"/>
        <v>107.92051495671598</v>
      </c>
      <c r="R20" s="62">
        <f t="shared" si="0"/>
        <v>385.36495940116043</v>
      </c>
      <c r="S20" s="62">
        <f ca="1">AVERAGE(OFFSET($R$3,0,0,'Données projet'!$E$9+1,1))-AVERAGE(OFFSET($H$3,0,0,'Données projet'!$E$9+1,1))</f>
        <v>352.5736659365665</v>
      </c>
      <c r="T20" s="62">
        <f t="shared" si="34"/>
        <v>343.77208530767069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2.8674510602674204</v>
      </c>
      <c r="AA20" s="23">
        <f>EXP(-LN(2)/25)*AA19+(1-EXP(-LN(2)/25))/(LN(2)/25)*Calculateur!V20*Calculateur!X20*VLOOKUP('Données projet'!$B$9,Paramètres!$A$1:$I$89,3,0)*0.475*44/12</f>
        <v>11.245064788220589</v>
      </c>
      <c r="AB20" s="23">
        <f>EXP(-LN(2)/2)*AB19+(1-EXP(-LN(2)/2))/(LN(2)/2)*V20*Y20*VLOOKUP('Données projet'!$B$9,Paramètres!$A$1:$I$89,3,0)*0.475*44/12</f>
        <v>0</v>
      </c>
      <c r="AC20" s="24">
        <f t="shared" si="3"/>
        <v>14.112515848488009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</v>
      </c>
      <c r="AI20" s="14">
        <f>IF('Données projet'!$A$62&gt;35,AI19+AH20-AQ19,IF(A20&lt;'Données projet'!$A$62,$AF$205^A20,IF(A20='Données projet'!$A$62,'Données projet'!$B$62,AI19+AH20-AQ19)))</f>
        <v>48</v>
      </c>
      <c r="AJ20" s="14">
        <f>AI20*VLOOKUP('Données projet'!$B$10,Paramètres!$A$1:$I$89,3,0)*VLOOKUP('Données projet'!$B$10,Paramètres!$A$1:$I$89,5,0)</f>
        <v>31.4496</v>
      </c>
      <c r="AK20" s="14">
        <f t="shared" si="35"/>
        <v>9.7016318496336797</v>
      </c>
      <c r="AL20" s="22">
        <f t="shared" si="4"/>
        <v>71.671728804778667</v>
      </c>
      <c r="AM20" s="62">
        <f t="shared" si="5"/>
        <v>349.11617324922315</v>
      </c>
      <c r="AN20" s="62">
        <f ca="1">AVERAGE(OFFSET($AM$3,0,0,'Données projet'!$E$10+1,1))-AVERAGE(OFFSET($H$3,0,0,'Données projet'!$E$10+1,1))</f>
        <v>210.08998695869161</v>
      </c>
      <c r="AO20" s="62">
        <f t="shared" si="36"/>
        <v>207.30911916430881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0.98193982516927902</v>
      </c>
      <c r="AX20" s="23">
        <f t="shared" si="6"/>
        <v>0.98193982516927902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25.728678789401581</v>
      </c>
      <c r="BF20" s="14">
        <f t="shared" si="37"/>
        <v>8.1245058298393111</v>
      </c>
      <c r="BG20" s="22">
        <f t="shared" si="7"/>
        <v>58.960963211844557</v>
      </c>
      <c r="BH20" s="62">
        <f t="shared" si="8"/>
        <v>336.40540765628901</v>
      </c>
      <c r="BI20" s="62">
        <f ca="1">AVERAGE(OFFSET($BH$3,0,0,'Données projet'!$E$11+1,1))-AVERAGE(OFFSET($H$3,0,0,'Données projet'!$E$11+1,1))</f>
        <v>335.83558218229564</v>
      </c>
      <c r="BJ20" s="62">
        <f t="shared" si="38"/>
        <v>217.08423061559648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9.6</v>
      </c>
      <c r="BY20" s="13">
        <f>IF('Données projet'!$A$114&gt;35,BY19+BX20-CG19,IF(A20&lt;'Données projet'!$A$114,$BV$205^A20,IF(A20='Données projet'!$A$114,'Données projet'!$B$114,BY19+BX20-CG19)))</f>
        <v>56.2</v>
      </c>
      <c r="BZ20" s="14">
        <f>BY20*VLOOKUP('Données projet'!$B$12,Paramètres!$A$1:$I$89,3,0)*VLOOKUP('Données projet'!$B$12,Paramètres!$A$1:$I$89,5,0)</f>
        <v>43.836000000000006</v>
      </c>
      <c r="CA20" s="14">
        <f t="shared" si="39"/>
        <v>13.009897179721728</v>
      </c>
      <c r="CB20" s="22">
        <f t="shared" si="10"/>
        <v>99.006604254682017</v>
      </c>
      <c r="CC20" s="62">
        <f t="shared" si="11"/>
        <v>376.45104869912649</v>
      </c>
      <c r="CD20" s="62">
        <f ca="1">AVERAGE(OFFSET($CC$3,0,0,'Données projet'!$E$12+1,1))-AVERAGE(OFFSET($H$3,0,0,'Données projet'!$E$12+1,1))</f>
        <v>288.82868507674738</v>
      </c>
      <c r="CE20" s="62">
        <f t="shared" si="40"/>
        <v>283.48738729114024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1.1039264900883043</v>
      </c>
      <c r="CN20" s="24">
        <f t="shared" si="12"/>
        <v>1.1039264900883043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13.6</v>
      </c>
      <c r="CT20" s="13">
        <f>IF('Données projet'!$A$140&gt;35,CT19+CS20-DB19,IF(A20&lt;'Données projet'!$A$140,$CQ$205^A20,IF(A20='Données projet'!$A$140,'Données projet'!$B$140,CT19+CS20-DB19)))</f>
        <v>60.199999999999996</v>
      </c>
      <c r="CU20" s="18">
        <f>CT20*VLOOKUP('Données projet'!$B$13,Paramètres!$A$1:$I$89,3,0)*VLOOKUP('Données projet'!$B$13,Paramètres!$A$1:$I$89,5,0)</f>
        <v>52.590720000000005</v>
      </c>
      <c r="CV20" s="14">
        <f t="shared" si="41"/>
        <v>15.280844641052973</v>
      </c>
      <c r="CW20" s="22">
        <f t="shared" si="13"/>
        <v>118.20964174983392</v>
      </c>
      <c r="CX20" s="62">
        <f t="shared" si="14"/>
        <v>395.65408619427836</v>
      </c>
      <c r="CY20" s="62">
        <f ca="1">AVERAGE(OFFSET($CX$3,0,0,'Données projet'!$E$13+1,1))-AVERAGE(OFFSET($H$3,0,0,'Données projet'!$E$13+1,1))</f>
        <v>383.46266660377637</v>
      </c>
      <c r="CZ20" s="62">
        <f t="shared" si="42"/>
        <v>373.1287543230714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13.188241801588278</v>
      </c>
      <c r="DI20" s="24">
        <f t="shared" si="15"/>
        <v>13.188241801588278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>
        <f>DO20*VLOOKUP('Données projet'!$B$14,Paramètres!$A$1:$I$89,3,0)*VLOOKUP('Données projet'!$B$14,Paramètres!$A$1:$I$89,5,0)</f>
        <v>0</v>
      </c>
      <c r="DQ20" s="14" t="e">
        <f t="shared" si="43"/>
        <v>#NUM!</v>
      </c>
      <c r="DR20" s="22" t="e">
        <f t="shared" si="16"/>
        <v>#NUM!</v>
      </c>
      <c r="DS20" s="62" t="e">
        <f t="shared" si="17"/>
        <v>#NUM!</v>
      </c>
      <c r="DT20" s="62">
        <f ca="1">AVERAGE(OFFSET($DS$3,0,0,'Données projet'!$E$14+1,1))-AVERAGE(OFFSET($H$3,0,0,'Données projet'!$E$14+1,1))</f>
        <v>96.56611521638132</v>
      </c>
      <c r="DU20" s="62">
        <f t="shared" si="44"/>
        <v>465.03257878814094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106.61740893325951</v>
      </c>
      <c r="EB20" s="23">
        <f>EXP(-LN(2)/25)*EB19+(1-EXP(-LN(2)/25))/(LN(2)/25)*Calculateur!DW20*Calculateur!DY20*VLOOKUP('Données projet'!$B$14,Paramètres!$A$1:$I$89,3,0)*0.475*44/12</f>
        <v>26.339918788534955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132.95732772179446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13.6</v>
      </c>
      <c r="EJ20" s="13">
        <f>IF('Données projet'!$A$192&gt;35,EJ19+EI20-ER19,IF(A20&lt;'Données projet'!$A$192,$EG$205^A20,IF(A20='Données projet'!$A$192,'Données projet'!$B$192,EJ19+EI20-ER19)))</f>
        <v>60.199999999999996</v>
      </c>
      <c r="EK20" s="18">
        <f>EJ20*VLOOKUP('Données projet'!$B$15,Paramètres!$A$1:$I$89,3,0)*VLOOKUP('Données projet'!$B$15,Paramètres!$A$1:$I$89,5,0)</f>
        <v>48.834240000000001</v>
      </c>
      <c r="EL20" s="14">
        <f t="shared" si="45"/>
        <v>14.312284945668457</v>
      </c>
      <c r="EM20" s="22">
        <f t="shared" si="19"/>
        <v>109.9801976137059</v>
      </c>
      <c r="EN20" s="62">
        <f t="shared" si="20"/>
        <v>387.42464205815037</v>
      </c>
      <c r="EO20" s="62">
        <f ca="1">AVERAGE(OFFSET($EN$3,0,0,'Données projet'!$E$15+1,1))-AVERAGE(OFFSET($H$3,0,0,'Données projet'!$E$15+1,1))</f>
        <v>358.75637627589799</v>
      </c>
      <c r="EP20" s="62">
        <f t="shared" si="46"/>
        <v>349.64821164483607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12.246224530046257</v>
      </c>
      <c r="EY20" s="24">
        <f t="shared" si="21"/>
        <v>12.246224530046257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>
        <f>FE20*VLOOKUP('Données projet'!$B$16,Paramètres!$A$1:$I$89,3,0)*VLOOKUP('Données projet'!$B$16,Paramètres!$A$1:$I$89,5,0)</f>
        <v>0</v>
      </c>
      <c r="FG20" s="14" t="e">
        <f t="shared" si="47"/>
        <v>#NUM!</v>
      </c>
      <c r="FH20" s="22" t="e">
        <f t="shared" si="22"/>
        <v>#NUM!</v>
      </c>
      <c r="FI20" s="62" t="e">
        <f t="shared" si="23"/>
        <v>#NUM!</v>
      </c>
      <c r="FJ20" s="62">
        <f ca="1">AVERAGE(OFFSET($FI$3,0,0,'Données projet'!$E$16+1,1))-AVERAGE(OFFSET($H$3,0,0,'Données projet'!$E$16+1,1))</f>
        <v>121.28977654040114</v>
      </c>
      <c r="FK20" s="62">
        <f t="shared" si="48"/>
        <v>615.69585264342595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143.64978626582021</v>
      </c>
      <c r="FR20" s="23">
        <f>EXP(-LN(2)/25)*FR19+(1-EXP(-LN(2)/25))/(LN(2)/25)*Calculateur!FM20*Calculateur!FO20*VLOOKUP('Données projet'!$B$16,Paramètres!$A$1:$I$89,3,0)*0.475*44/12</f>
        <v>35.488798143656332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179.13858440947655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13.6</v>
      </c>
      <c r="N21" s="14">
        <f>IF('Données projet'!$A$36&gt;35,N20+M21-V20,IF(A21&lt;'Données projet'!$A$36,$K$205^A21,IF(A21='Données projet'!$A$36,'Données projet'!$B$36,N20+M21-V20)))</f>
        <v>73.8</v>
      </c>
      <c r="O21" s="14">
        <f>N21*VLOOKUP('Données projet'!$B$9,Paramètres!$A$1:$I$89,3,0)*VLOOKUP('Données projet'!$B$9,Paramètres!$A$1:$I$89,5,0)</f>
        <v>58.71528</v>
      </c>
      <c r="P21" s="14">
        <f t="shared" si="33"/>
        <v>16.843043445461888</v>
      </c>
      <c r="Q21" s="22">
        <f t="shared" si="2"/>
        <v>131.59741333417946</v>
      </c>
      <c r="R21" s="62">
        <f t="shared" si="0"/>
        <v>410.26408000084615</v>
      </c>
      <c r="S21" s="62">
        <f ca="1">AVERAGE(OFFSET($R$3,0,0,'Données projet'!$E$9+1,1))-AVERAGE(OFFSET($H$3,0,0,'Données projet'!$E$9+1,1))</f>
        <v>352.5736659365665</v>
      </c>
      <c r="T21" s="62">
        <f t="shared" si="34"/>
        <v>343.77208530767069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2.8112220939480261</v>
      </c>
      <c r="AA21" s="23">
        <f>EXP(-LN(2)/25)*AA20+(1-EXP(-LN(2)/25))/(LN(2)/25)*Calculateur!V21*Calculateur!X21*VLOOKUP('Données projet'!$B$9,Paramètres!$A$1:$I$89,3,0)*0.475*44/12</f>
        <v>10.937567900234439</v>
      </c>
      <c r="AB21" s="23">
        <f>EXP(-LN(2)/2)*AB20+(1-EXP(-LN(2)/2))/(LN(2)/2)*V21*Y21*VLOOKUP('Données projet'!$B$9,Paramètres!$A$1:$I$89,3,0)*0.475*44/12</f>
        <v>0</v>
      </c>
      <c r="AC21" s="24">
        <f t="shared" si="3"/>
        <v>13.748789994182467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9</v>
      </c>
      <c r="AI21" s="14">
        <f>IF('Données projet'!$A$62&gt;35,AI20+AH21-AQ20,IF(A21&lt;'Données projet'!$A$62,$AF$205^A21,IF(A21='Données projet'!$A$62,'Données projet'!$B$62,AI20+AH21-AQ20)))</f>
        <v>57</v>
      </c>
      <c r="AJ21" s="14">
        <f>AI21*VLOOKUP('Données projet'!$B$10,Paramètres!$A$1:$I$89,3,0)*VLOOKUP('Données projet'!$B$10,Paramètres!$A$1:$I$89,5,0)</f>
        <v>37.346399999999996</v>
      </c>
      <c r="AK21" s="14">
        <f t="shared" si="35"/>
        <v>11.292524863342392</v>
      </c>
      <c r="AL21" s="22">
        <f t="shared" si="4"/>
        <v>84.712794136987995</v>
      </c>
      <c r="AM21" s="62">
        <f t="shared" si="5"/>
        <v>363.37946080365469</v>
      </c>
      <c r="AN21" s="62">
        <f ca="1">AVERAGE(OFFSET($AM$3,0,0,'Données projet'!$E$10+1,1))-AVERAGE(OFFSET($H$3,0,0,'Données projet'!$E$10+1,1))</f>
        <v>210.08998695869161</v>
      </c>
      <c r="AO21" s="62">
        <f t="shared" si="36"/>
        <v>207.30911916430881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0.6943363090943302</v>
      </c>
      <c r="AX21" s="23">
        <f t="shared" si="6"/>
        <v>0.6943363090943302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31.884794923776177</v>
      </c>
      <c r="BF21" s="14">
        <f t="shared" si="37"/>
        <v>9.820159882359901</v>
      </c>
      <c r="BG21" s="22">
        <f t="shared" si="7"/>
        <v>72.636129620687001</v>
      </c>
      <c r="BH21" s="62">
        <f t="shared" si="8"/>
        <v>351.30279628735366</v>
      </c>
      <c r="BI21" s="62">
        <f ca="1">AVERAGE(OFFSET($BH$3,0,0,'Données projet'!$E$11+1,1))-AVERAGE(OFFSET($H$3,0,0,'Données projet'!$E$11+1,1))</f>
        <v>335.83558218229564</v>
      </c>
      <c r="BJ21" s="62">
        <f t="shared" si="38"/>
        <v>217.08423061559648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9.6</v>
      </c>
      <c r="BY21" s="13">
        <f>IF('Données projet'!$A$114&gt;35,BY20+BX21-CG20,IF(A21&lt;'Données projet'!$A$114,$BV$205^A21,IF(A21='Données projet'!$A$114,'Données projet'!$B$114,BY20+BX21-CG20)))</f>
        <v>65.8</v>
      </c>
      <c r="BZ21" s="14">
        <f>BY21*VLOOKUP('Données projet'!$B$12,Paramètres!$A$1:$I$89,3,0)*VLOOKUP('Données projet'!$B$12,Paramètres!$A$1:$I$89,5,0)</f>
        <v>51.323999999999998</v>
      </c>
      <c r="CA21" s="14">
        <f t="shared" si="39"/>
        <v>14.95516659950003</v>
      </c>
      <c r="CB21" s="22">
        <f t="shared" si="10"/>
        <v>115.43621516079588</v>
      </c>
      <c r="CC21" s="62">
        <f t="shared" si="11"/>
        <v>394.10288182746257</v>
      </c>
      <c r="CD21" s="62">
        <f ca="1">AVERAGE(OFFSET($CC$3,0,0,'Données projet'!$E$12+1,1))-AVERAGE(OFFSET($H$3,0,0,'Données projet'!$E$12+1,1))</f>
        <v>288.82868507674738</v>
      </c>
      <c r="CE21" s="62">
        <f t="shared" si="40"/>
        <v>283.48738729114024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0.7805939070729041</v>
      </c>
      <c r="CN21" s="24">
        <f t="shared" si="12"/>
        <v>0.7805939070729041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13.6</v>
      </c>
      <c r="CT21" s="13">
        <f>IF('Données projet'!$A$140&gt;35,CT20+CS21-DB20,IF(A21&lt;'Données projet'!$A$140,$CQ$205^A21,IF(A21='Données projet'!$A$140,'Données projet'!$B$140,CT20+CS21-DB20)))</f>
        <v>73.8</v>
      </c>
      <c r="CU21" s="18">
        <f>CT21*VLOOKUP('Données projet'!$B$13,Paramètres!$A$1:$I$89,3,0)*VLOOKUP('Données projet'!$B$13,Paramètres!$A$1:$I$89,5,0)</f>
        <v>64.471680000000006</v>
      </c>
      <c r="CV21" s="14">
        <f t="shared" si="41"/>
        <v>18.29407696803942</v>
      </c>
      <c r="CW21" s="22">
        <f t="shared" si="13"/>
        <v>144.15036005266867</v>
      </c>
      <c r="CX21" s="62">
        <f t="shared" si="14"/>
        <v>422.81702671933533</v>
      </c>
      <c r="CY21" s="62">
        <f ca="1">AVERAGE(OFFSET($CX$3,0,0,'Données projet'!$E$13+1,1))-AVERAGE(OFFSET($H$3,0,0,'Données projet'!$E$13+1,1))</f>
        <v>383.46266660377637</v>
      </c>
      <c r="CZ21" s="62">
        <f t="shared" si="42"/>
        <v>373.1287543230714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9.3254952098309634</v>
      </c>
      <c r="DI21" s="24">
        <f t="shared" si="15"/>
        <v>9.3254952098309634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>
        <f>DO21*VLOOKUP('Données projet'!$B$14,Paramètres!$A$1:$I$89,3,0)*VLOOKUP('Données projet'!$B$14,Paramètres!$A$1:$I$89,5,0)</f>
        <v>0</v>
      </c>
      <c r="DQ21" s="14" t="e">
        <f t="shared" si="43"/>
        <v>#NUM!</v>
      </c>
      <c r="DR21" s="22" t="e">
        <f t="shared" si="16"/>
        <v>#NUM!</v>
      </c>
      <c r="DS21" s="62" t="e">
        <f t="shared" si="17"/>
        <v>#NUM!</v>
      </c>
      <c r="DT21" s="62">
        <f ca="1">AVERAGE(OFFSET($DS$3,0,0,'Données projet'!$E$14+1,1))-AVERAGE(OFFSET($H$3,0,0,'Données projet'!$E$14+1,1))</f>
        <v>96.56611521638132</v>
      </c>
      <c r="DU21" s="62">
        <f t="shared" si="44"/>
        <v>465.03257878814094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104.52670657427655</v>
      </c>
      <c r="EB21" s="23">
        <f>EXP(-LN(2)/25)*EB20+(1-EXP(-LN(2)/25))/(LN(2)/25)*Calculateur!DW21*Calculateur!DY21*VLOOKUP('Données projet'!$B$14,Paramètres!$A$1:$I$89,3,0)*0.475*44/12</f>
        <v>25.61965232410634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130.14635889838289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13.6</v>
      </c>
      <c r="EJ21" s="13">
        <f>IF('Données projet'!$A$192&gt;35,EJ20+EI21-ER20,IF(A21&lt;'Données projet'!$A$192,$EG$205^A21,IF(A21='Données projet'!$A$192,'Données projet'!$B$192,EJ20+EI21-ER20)))</f>
        <v>73.8</v>
      </c>
      <c r="EK21" s="18">
        <f>EJ21*VLOOKUP('Données projet'!$B$15,Paramètres!$A$1:$I$89,3,0)*VLOOKUP('Données projet'!$B$15,Paramètres!$A$1:$I$89,5,0)</f>
        <v>59.86656</v>
      </c>
      <c r="EL21" s="14">
        <f t="shared" si="45"/>
        <v>17.13452682328483</v>
      </c>
      <c r="EM21" s="22">
        <f t="shared" si="19"/>
        <v>134.11022621722108</v>
      </c>
      <c r="EN21" s="62">
        <f t="shared" si="20"/>
        <v>412.77689288388774</v>
      </c>
      <c r="EO21" s="62">
        <f ca="1">AVERAGE(OFFSET($EN$3,0,0,'Données projet'!$E$15+1,1))-AVERAGE(OFFSET($H$3,0,0,'Données projet'!$E$15+1,1))</f>
        <v>358.75637627589799</v>
      </c>
      <c r="EP21" s="62">
        <f t="shared" si="46"/>
        <v>349.64821164483607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8.6593884091287503</v>
      </c>
      <c r="EY21" s="24">
        <f t="shared" si="21"/>
        <v>8.6593884091287503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>
        <f>FE21*VLOOKUP('Données projet'!$B$16,Paramètres!$A$1:$I$89,3,0)*VLOOKUP('Données projet'!$B$16,Paramètres!$A$1:$I$89,5,0)</f>
        <v>0</v>
      </c>
      <c r="FG21" s="14" t="e">
        <f t="shared" si="47"/>
        <v>#NUM!</v>
      </c>
      <c r="FH21" s="22" t="e">
        <f t="shared" si="22"/>
        <v>#NUM!</v>
      </c>
      <c r="FI21" s="62" t="e">
        <f t="shared" si="23"/>
        <v>#NUM!</v>
      </c>
      <c r="FJ21" s="62">
        <f ca="1">AVERAGE(OFFSET($FI$3,0,0,'Données projet'!$E$16+1,1))-AVERAGE(OFFSET($H$3,0,0,'Données projet'!$E$16+1,1))</f>
        <v>121.28977654040114</v>
      </c>
      <c r="FK21" s="62">
        <f t="shared" si="48"/>
        <v>615.69585264342595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140.83290157486556</v>
      </c>
      <c r="FR21" s="23">
        <f>EXP(-LN(2)/25)*FR20+(1-EXP(-LN(2)/25))/(LN(2)/25)*Calculateur!FM21*Calculateur!FO21*VLOOKUP('Données projet'!$B$16,Paramètres!$A$1:$I$89,3,0)*0.475*44/12</f>
        <v>34.518355092143267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175.35125666700884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13.6</v>
      </c>
      <c r="N22" s="14">
        <f>IF('Données projet'!$A$36&gt;35,N21+M22-V21,IF(A22&lt;'Données projet'!$A$36,$K$205^A22,IF(A22='Données projet'!$A$36,'Données projet'!$B$36,N21+M22-V21)))</f>
        <v>87.399999999999991</v>
      </c>
      <c r="O22" s="14">
        <f>N22*VLOOKUP('Données projet'!$B$9,Paramètres!$A$1:$I$89,3,0)*VLOOKUP('Données projet'!$B$9,Paramètres!$A$1:$I$89,5,0)</f>
        <v>69.535439999999994</v>
      </c>
      <c r="P22" s="14">
        <f t="shared" si="33"/>
        <v>19.558046279609563</v>
      </c>
      <c r="Q22" s="22">
        <f t="shared" si="2"/>
        <v>155.17115527031999</v>
      </c>
      <c r="R22" s="62">
        <f t="shared" si="0"/>
        <v>435.06004415920881</v>
      </c>
      <c r="S22" s="62">
        <f ca="1">AVERAGE(OFFSET($R$3,0,0,'Données projet'!$E$9+1,1))-AVERAGE(OFFSET($H$3,0,0,'Données projet'!$E$9+1,1))</f>
        <v>352.5736659365665</v>
      </c>
      <c r="T22" s="62">
        <f t="shared" si="34"/>
        <v>343.77208530767069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2.7560957433618722</v>
      </c>
      <c r="AA22" s="23">
        <f>EXP(-LN(2)/25)*AA21+(1-EXP(-LN(2)/25))/(LN(2)/25)*Calculateur!V22*Calculateur!X22*VLOOKUP('Données projet'!$B$9,Paramètres!$A$1:$I$89,3,0)*0.475*44/12</f>
        <v>10.638479530820831</v>
      </c>
      <c r="AB22" s="23">
        <f>EXP(-LN(2)/2)*AB21+(1-EXP(-LN(2)/2))/(LN(2)/2)*V22*Y22*VLOOKUP('Données projet'!$B$9,Paramètres!$A$1:$I$89,3,0)*0.475*44/12</f>
        <v>0</v>
      </c>
      <c r="AC22" s="24">
        <f t="shared" si="3"/>
        <v>13.394575274182703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9</v>
      </c>
      <c r="AI22" s="14">
        <f>IF('Données projet'!$A$62&gt;35,AI21+AH22-AQ21,IF(A22&lt;'Données projet'!$A$62,$AF$205^A22,IF(A22='Données projet'!$A$62,'Données projet'!$B$62,AI21+AH22-AQ21)))</f>
        <v>66</v>
      </c>
      <c r="AJ22" s="14">
        <f>AI22*VLOOKUP('Données projet'!$B$10,Paramètres!$A$1:$I$89,3,0)*VLOOKUP('Données projet'!$B$10,Paramètres!$A$1:$I$89,5,0)</f>
        <v>43.243200000000002</v>
      </c>
      <c r="AK22" s="14">
        <f t="shared" si="35"/>
        <v>12.854318437990987</v>
      </c>
      <c r="AL22" s="22">
        <f t="shared" si="4"/>
        <v>97.703177946167628</v>
      </c>
      <c r="AM22" s="62">
        <f t="shared" si="5"/>
        <v>377.59206683505647</v>
      </c>
      <c r="AN22" s="62">
        <f ca="1">AVERAGE(OFFSET($AM$3,0,0,'Données projet'!$E$10+1,1))-AVERAGE(OFFSET($H$3,0,0,'Données projet'!$E$10+1,1))</f>
        <v>210.08998695869161</v>
      </c>
      <c r="AO22" s="62">
        <f t="shared" si="36"/>
        <v>207.30911916430881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0.49096991258463962</v>
      </c>
      <c r="AX22" s="23">
        <f t="shared" si="6"/>
        <v>0.49096991258463962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39.513888593068664</v>
      </c>
      <c r="BF22" s="14">
        <f t="shared" si="37"/>
        <v>11.869711479672622</v>
      </c>
      <c r="BG22" s="22">
        <f t="shared" si="7"/>
        <v>89.493103460024415</v>
      </c>
      <c r="BH22" s="62">
        <f t="shared" si="8"/>
        <v>369.38199234891329</v>
      </c>
      <c r="BI22" s="62">
        <f ca="1">AVERAGE(OFFSET($BH$3,0,0,'Données projet'!$E$11+1,1))-AVERAGE(OFFSET($H$3,0,0,'Données projet'!$E$11+1,1))</f>
        <v>335.83558218229564</v>
      </c>
      <c r="BJ22" s="62">
        <f t="shared" si="38"/>
        <v>217.08423061559648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9.6</v>
      </c>
      <c r="BY22" s="13">
        <f>IF('Données projet'!$A$114&gt;35,BY21+BX22-CG21,IF(A22&lt;'Données projet'!$A$114,$BV$205^A22,IF(A22='Données projet'!$A$114,'Données projet'!$B$114,BY21+BX22-CG21)))</f>
        <v>75.399999999999991</v>
      </c>
      <c r="BZ22" s="14">
        <f>BY22*VLOOKUP('Données projet'!$B$12,Paramètres!$A$1:$I$89,3,0)*VLOOKUP('Données projet'!$B$12,Paramètres!$A$1:$I$89,5,0)</f>
        <v>58.811999999999998</v>
      </c>
      <c r="CA22" s="14">
        <f t="shared" si="39"/>
        <v>16.86755663452599</v>
      </c>
      <c r="CB22" s="22">
        <f t="shared" si="10"/>
        <v>131.8085611384661</v>
      </c>
      <c r="CC22" s="62">
        <f t="shared" si="11"/>
        <v>411.69745002735499</v>
      </c>
      <c r="CD22" s="62">
        <f ca="1">AVERAGE(OFFSET($CC$3,0,0,'Données projet'!$E$12+1,1))-AVERAGE(OFFSET($H$3,0,0,'Données projet'!$E$12+1,1))</f>
        <v>288.82868507674738</v>
      </c>
      <c r="CE22" s="62">
        <f t="shared" si="40"/>
        <v>283.48738729114024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0.55196324504415228</v>
      </c>
      <c r="CN22" s="24">
        <f t="shared" si="12"/>
        <v>0.55196324504415228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13.6</v>
      </c>
      <c r="CT22" s="13">
        <f>IF('Données projet'!$A$140&gt;35,CT21+CS22-DB21,IF(A22&lt;'Données projet'!$A$140,$CQ$205^A22,IF(A22='Données projet'!$A$140,'Données projet'!$B$140,CT21+CS22-DB21)))</f>
        <v>87.399999999999991</v>
      </c>
      <c r="CU22" s="18">
        <f>CT22*VLOOKUP('Données projet'!$B$13,Paramètres!$A$1:$I$89,3,0)*VLOOKUP('Données projet'!$B$13,Paramètres!$A$1:$I$89,5,0)</f>
        <v>76.352640000000008</v>
      </c>
      <c r="CV22" s="14">
        <f t="shared" si="41"/>
        <v>21.242978155474471</v>
      </c>
      <c r="CW22" s="22">
        <f t="shared" si="13"/>
        <v>169.97903495411802</v>
      </c>
      <c r="CX22" s="62">
        <f t="shared" si="14"/>
        <v>449.86792384300691</v>
      </c>
      <c r="CY22" s="62">
        <f ca="1">AVERAGE(OFFSET($CX$3,0,0,'Données projet'!$E$13+1,1))-AVERAGE(OFFSET($H$3,0,0,'Données projet'!$E$13+1,1))</f>
        <v>383.46266660377637</v>
      </c>
      <c r="CZ22" s="62">
        <f t="shared" si="42"/>
        <v>373.1287543230714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6.5941209007941408</v>
      </c>
      <c r="DI22" s="24">
        <f t="shared" si="15"/>
        <v>6.5941209007941408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>
        <f>DO22*VLOOKUP('Données projet'!$B$14,Paramètres!$A$1:$I$89,3,0)*VLOOKUP('Données projet'!$B$14,Paramètres!$A$1:$I$89,5,0)</f>
        <v>0</v>
      </c>
      <c r="DQ22" s="14" t="e">
        <f t="shared" si="43"/>
        <v>#NUM!</v>
      </c>
      <c r="DR22" s="22" t="e">
        <f t="shared" si="16"/>
        <v>#NUM!</v>
      </c>
      <c r="DS22" s="62" t="e">
        <f t="shared" si="17"/>
        <v>#NUM!</v>
      </c>
      <c r="DT22" s="62">
        <f ca="1">AVERAGE(OFFSET($DS$3,0,0,'Données projet'!$E$14+1,1))-AVERAGE(OFFSET($H$3,0,0,'Données projet'!$E$14+1,1))</f>
        <v>96.56611521638132</v>
      </c>
      <c r="DU22" s="62">
        <f t="shared" si="44"/>
        <v>465.03257878814094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102.47700161335071</v>
      </c>
      <c r="EB22" s="23">
        <f>EXP(-LN(2)/25)*EB21+(1-EXP(-LN(2)/25))/(LN(2)/25)*Calculateur!DW22*Calculateur!DY22*VLOOKUP('Données projet'!$B$14,Paramètres!$A$1:$I$89,3,0)*0.475*44/12</f>
        <v>24.919081584024692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127.3960831973754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13.6</v>
      </c>
      <c r="EJ22" s="13">
        <f>IF('Données projet'!$A$192&gt;35,EJ21+EI22-ER21,IF(A22&lt;'Données projet'!$A$192,$EG$205^A22,IF(A22='Données projet'!$A$192,'Données projet'!$B$192,EJ21+EI22-ER21)))</f>
        <v>87.399999999999991</v>
      </c>
      <c r="EK22" s="18">
        <f>EJ22*VLOOKUP('Données projet'!$B$15,Paramètres!$A$1:$I$89,3,0)*VLOOKUP('Données projet'!$B$15,Paramètres!$A$1:$I$89,5,0)</f>
        <v>70.898880000000005</v>
      </c>
      <c r="EL22" s="14">
        <f t="shared" si="45"/>
        <v>19.896515120568015</v>
      </c>
      <c r="EM22" s="22">
        <f t="shared" si="19"/>
        <v>158.13531316832263</v>
      </c>
      <c r="EN22" s="62">
        <f t="shared" si="20"/>
        <v>438.02420205721148</v>
      </c>
      <c r="EO22" s="62">
        <f ca="1">AVERAGE(OFFSET($EN$3,0,0,'Données projet'!$E$15+1,1))-AVERAGE(OFFSET($H$3,0,0,'Données projet'!$E$15+1,1))</f>
        <v>358.75637627589799</v>
      </c>
      <c r="EP22" s="62">
        <f t="shared" si="46"/>
        <v>349.64821164483607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6.1231122650231296</v>
      </c>
      <c r="EY22" s="24">
        <f t="shared" si="21"/>
        <v>6.1231122650231296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>
        <f>FE22*VLOOKUP('Données projet'!$B$16,Paramètres!$A$1:$I$89,3,0)*VLOOKUP('Données projet'!$B$16,Paramètres!$A$1:$I$89,5,0)</f>
        <v>0</v>
      </c>
      <c r="FG22" s="14" t="e">
        <f t="shared" si="47"/>
        <v>#NUM!</v>
      </c>
      <c r="FH22" s="22" t="e">
        <f t="shared" si="22"/>
        <v>#NUM!</v>
      </c>
      <c r="FI22" s="62" t="e">
        <f t="shared" si="23"/>
        <v>#NUM!</v>
      </c>
      <c r="FJ22" s="62">
        <f ca="1">AVERAGE(OFFSET($FI$3,0,0,'Données projet'!$E$16+1,1))-AVERAGE(OFFSET($H$3,0,0,'Données projet'!$E$16+1,1))</f>
        <v>121.28977654040114</v>
      </c>
      <c r="FK22" s="62">
        <f t="shared" si="48"/>
        <v>615.69585264342595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138.07125427457052</v>
      </c>
      <c r="FR22" s="23">
        <f>EXP(-LN(2)/25)*FR21+(1-EXP(-LN(2)/25))/(LN(2)/25)*Calculateur!FM22*Calculateur!FO22*VLOOKUP('Données projet'!$B$16,Paramètres!$A$1:$I$89,3,0)*0.475*44/12</f>
        <v>33.57444885690721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171.64570313147772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101</v>
      </c>
      <c r="L23" s="13">
        <f>VLOOKUP(A23,'Données projet'!$A$35:$I$55,9,0)</f>
        <v>13.6</v>
      </c>
      <c r="M23" s="13">
        <f t="array" ref="M23">INDEX(L:L,MIN(IF(ISNUMBER(L23:L219),ROW(L23:L219),"")))</f>
        <v>13.6</v>
      </c>
      <c r="N23" s="14">
        <f>IF('Données projet'!$A$36&gt;35,N22+M23-V22,IF(A23&lt;'Données projet'!$A$36,$K$205^A23,IF(A23='Données projet'!$A$36,'Données projet'!$B$36,N22+M23-V22)))</f>
        <v>100.99999999999999</v>
      </c>
      <c r="O23" s="14">
        <f>N23*VLOOKUP('Données projet'!$B$9,Paramètres!$A$1:$I$89,3,0)*VLOOKUP('Données projet'!$B$9,Paramètres!$A$1:$I$89,5,0)</f>
        <v>80.355599999999995</v>
      </c>
      <c r="P23" s="14">
        <f t="shared" si="33"/>
        <v>22.224107721582499</v>
      </c>
      <c r="Q23" s="22">
        <f t="shared" si="2"/>
        <v>178.65965761508951</v>
      </c>
      <c r="R23" s="62">
        <f t="shared" si="0"/>
        <v>459.77076872620069</v>
      </c>
      <c r="S23" s="62">
        <f ca="1">AVERAGE(OFFSET($R$3,0,0,'Données projet'!$E$9+1,1))-AVERAGE(OFFSET($H$3,0,0,'Données projet'!$E$9+1,1))</f>
        <v>352.5736659365665</v>
      </c>
      <c r="T23" s="62">
        <f t="shared" si="34"/>
        <v>343.77208530767069</v>
      </c>
      <c r="U23" s="16">
        <f>IF(ISNA(VLOOKUP(A23,'Données projet'!$A$35:$I$55,3,0)),0,VLOOKUP(A23,'Données projet'!$A$35:$I$55,3,0))</f>
        <v>3</v>
      </c>
      <c r="V23" s="16">
        <f>IF(ISNA(VLOOKUP(A23,'Données projet'!$A$35:$I$55,4,0)),0,VLOOKUP(A23,'Données projet'!$A$35:$I$55,4,0))</f>
        <v>35</v>
      </c>
      <c r="W23" s="17">
        <f>IF(ISNA(VLOOKUP(A23,'Données projet'!$A$35:$I$55,5,0)),0%,VLOOKUP(A23,'Données projet'!$A$35:$I$55,5,0)*VLOOKUP('Données projet'!$B$9,Paramètres!$A$1:$I$89,7,0))</f>
        <v>0.21200000000000002</v>
      </c>
      <c r="X23" s="78">
        <f>IF(ISNA(VLOOKUP(A23,'Données projet'!$A$35:$I$55,6,0)),0%,VLOOKUP(A23,'Données projet'!$A$35:$I$55,6,0)*VLOOKUP('Données projet'!$B$9,Paramètres!$A$1:$I$89,7,0))</f>
        <v>0.318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9.2280311628435605</v>
      </c>
      <c r="AA23" s="23">
        <f>EXP(-LN(2)/25)*AA22+(1-EXP(-LN(2)/25))/(LN(2)/25)*Calculateur!V23*Calculateur!X23*VLOOKUP('Données projet'!$B$9,Paramètres!$A$1:$I$89,3,0)*0.475*44/12</f>
        <v>20.097998003169266</v>
      </c>
      <c r="AB23" s="23">
        <f>EXP(-LN(2)/2)*AB22+(1-EXP(-LN(2)/2))/(LN(2)/2)*V23*Y23*VLOOKUP('Données projet'!$B$9,Paramètres!$A$1:$I$89,3,0)*0.475*44/12</f>
        <v>0</v>
      </c>
      <c r="AC23" s="24">
        <f t="shared" si="3"/>
        <v>29.326029166012827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75</v>
      </c>
      <c r="AG23" s="13">
        <f>VLOOKUP(A23,'Données projet'!$A$61:$I$81,9,0)</f>
        <v>9</v>
      </c>
      <c r="AH23" s="13">
        <f t="array" ref="AH23">INDEX(AG:AG,MIN(IF(ISNUMBER(AG23:AG219),ROW(AG23:AG219),"")))</f>
        <v>9</v>
      </c>
      <c r="AI23" s="14">
        <f>IF('Données projet'!$A$62&gt;35,AI22+AH23-AQ22,IF(A23&lt;'Données projet'!$A$62,$AF$205^A23,IF(A23='Données projet'!$A$62,'Données projet'!$B$62,AI22+AH23-AQ22)))</f>
        <v>75</v>
      </c>
      <c r="AJ23" s="14">
        <f>AI23*VLOOKUP('Données projet'!$B$10,Paramètres!$A$1:$I$89,3,0)*VLOOKUP('Données projet'!$B$10,Paramètres!$A$1:$I$89,5,0)</f>
        <v>49.14</v>
      </c>
      <c r="AK23" s="14">
        <f t="shared" si="35"/>
        <v>14.391437147300868</v>
      </c>
      <c r="AL23" s="22">
        <f t="shared" si="4"/>
        <v>110.65058636488233</v>
      </c>
      <c r="AM23" s="62">
        <f t="shared" si="5"/>
        <v>391.76169747599346</v>
      </c>
      <c r="AN23" s="62">
        <f ca="1">AVERAGE(OFFSET($AM$3,0,0,'Données projet'!$E$10+1,1))-AVERAGE(OFFSET($H$3,0,0,'Données projet'!$E$10+1,1))</f>
        <v>210.08998695869161</v>
      </c>
      <c r="AO23" s="62">
        <f t="shared" si="36"/>
        <v>207.30911916430881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9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1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5.9109576645922175</v>
      </c>
      <c r="AX23" s="23">
        <f t="shared" si="6"/>
        <v>5.9109576645922175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48.968400000000003</v>
      </c>
      <c r="BF23" s="14">
        <f t="shared" si="37"/>
        <v>14.347022074839625</v>
      </c>
      <c r="BG23" s="22">
        <f t="shared" si="7"/>
        <v>110.27436011367904</v>
      </c>
      <c r="BH23" s="62">
        <f t="shared" si="8"/>
        <v>391.38547122479019</v>
      </c>
      <c r="BI23" s="62">
        <f ca="1">AVERAGE(OFFSET($BH$3,0,0,'Données projet'!$E$11+1,1))-AVERAGE(OFFSET($H$3,0,0,'Données projet'!$E$11+1,1))</f>
        <v>335.83558218229564</v>
      </c>
      <c r="BJ23" s="62">
        <f t="shared" si="38"/>
        <v>217.08423061559648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1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3.7975071259037656</v>
      </c>
      <c r="BS23" s="24">
        <f t="shared" si="9"/>
        <v>3.7975071259037656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85</v>
      </c>
      <c r="BW23" s="13">
        <f>VLOOKUP(A23,'Données projet'!$A$113:$I$133,9,0)</f>
        <v>9.6</v>
      </c>
      <c r="BX23" s="13">
        <f t="array" ref="BX23">INDEX(BW:BW,MIN(IF(ISNUMBER(BW23:BW219),ROW(BW23:BW219),"")))</f>
        <v>9.6</v>
      </c>
      <c r="BY23" s="13">
        <f>IF('Données projet'!$A$114&gt;35,BY22+BX23-CG22,IF(A23&lt;'Données projet'!$A$114,$BV$205^A23,IF(A23='Données projet'!$A$114,'Données projet'!$B$114,BY22+BX23-CG22)))</f>
        <v>84.999999999999986</v>
      </c>
      <c r="BZ23" s="14">
        <f>BY23*VLOOKUP('Données projet'!$B$12,Paramètres!$A$1:$I$89,3,0)*VLOOKUP('Données projet'!$B$12,Paramètres!$A$1:$I$89,5,0)</f>
        <v>66.3</v>
      </c>
      <c r="CA23" s="14">
        <f t="shared" si="39"/>
        <v>18.751733344032118</v>
      </c>
      <c r="CB23" s="22">
        <f t="shared" si="10"/>
        <v>148.13176890752257</v>
      </c>
      <c r="CC23" s="62">
        <f t="shared" si="11"/>
        <v>429.24288001863374</v>
      </c>
      <c r="CD23" s="62">
        <f ca="1">AVERAGE(OFFSET($CC$3,0,0,'Données projet'!$E$12+1,1))-AVERAGE(OFFSET($H$3,0,0,'Données projet'!$E$12+1,1))</f>
        <v>288.82868507674738</v>
      </c>
      <c r="CE23" s="62">
        <f t="shared" si="40"/>
        <v>283.48738729114024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25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8.6000000000000007E-2</v>
      </c>
      <c r="CJ23" s="17">
        <f>IF(ISNA(VLOOKUP(A23,'Données projet'!$A$113:$I$133,7,0)),0%,VLOOKUP(A23,'Données projet'!$A$113:$I$133,7,0))</f>
        <v>0.8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1.8465744188406115</v>
      </c>
      <c r="CM23" s="23">
        <f>EXP(-LN(2)/2)*CM22+(1-EXP(-LN(2)/2))/(LN(2)/2)*CG23*CJ23*VLOOKUP('Données projet'!$B$12,Paramètres!$A$1:$I$89,3,0)*0.475*44/12</f>
        <v>15.109316821380512</v>
      </c>
      <c r="CN23" s="24">
        <f t="shared" si="12"/>
        <v>16.955891240221124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101</v>
      </c>
      <c r="CR23" s="13">
        <f>VLOOKUP(A23,'Données projet'!$A$139:$I$159,9,0)</f>
        <v>13.6</v>
      </c>
      <c r="CS23" s="13">
        <f t="array" ref="CS23">INDEX(CR:CR,MIN(IF(ISNUMBER(CR23:CR219),ROW(CR23:CR219),"")))</f>
        <v>13.6</v>
      </c>
      <c r="CT23" s="13">
        <f>IF('Données projet'!$A$140&gt;35,CT22+CS23-DB22,IF(A23&lt;'Données projet'!$A$140,$CQ$205^A23,IF(A23='Données projet'!$A$140,'Données projet'!$B$140,CT22+CS23-DB22)))</f>
        <v>100.99999999999999</v>
      </c>
      <c r="CU23" s="18">
        <f>CT23*VLOOKUP('Données projet'!$B$13,Paramètres!$A$1:$I$89,3,0)*VLOOKUP('Données projet'!$B$13,Paramètres!$A$1:$I$89,5,0)</f>
        <v>88.233599999999996</v>
      </c>
      <c r="CV23" s="14">
        <f t="shared" si="41"/>
        <v>24.138721634312098</v>
      </c>
      <c r="CW23" s="22">
        <f t="shared" si="13"/>
        <v>195.7151268464269</v>
      </c>
      <c r="CX23" s="62">
        <f t="shared" si="14"/>
        <v>476.82623795753807</v>
      </c>
      <c r="CY23" s="62">
        <f ca="1">AVERAGE(OFFSET($CX$3,0,0,'Données projet'!$E$13+1,1))-AVERAGE(OFFSET($H$3,0,0,'Données projet'!$E$13+1,1))</f>
        <v>383.46266660377637</v>
      </c>
      <c r="CZ23" s="62">
        <f t="shared" si="42"/>
        <v>373.1287543230714</v>
      </c>
      <c r="DA23" s="16">
        <f>IF(ISNA(VLOOKUP(A23,'Données projet'!$A$139:$I$159,3,0)),0,VLOOKUP(A23,'Données projet'!$A$139:$I$159,3,0))</f>
        <v>3</v>
      </c>
      <c r="DB23" s="16">
        <f>IF(ISNA(VLOOKUP(A23,'Données projet'!$A$139:$I$159,4,0)),0,VLOOKUP(A23,'Données projet'!$A$139:$I$159,4,0))</f>
        <v>35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0.10600000000000001</v>
      </c>
      <c r="DE23" s="17">
        <f>IF(ISNA(VLOOKUP(A23,'Données projet'!$A$139:$I$159,7,0)),0%,VLOOKUP(A23,'Données projet'!$A$139:$I$159,7,0))</f>
        <v>0.8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3.5687841977518651</v>
      </c>
      <c r="DH23" s="23">
        <f>EXP(-LN(2)/2)*DH22+(1-EXP(-LN(2)/2))/(LN(2)/2)*DB23*DE23*VLOOKUP('Données projet'!$B$13,Paramètres!$A$1:$I$89,3,0)*0.475*44/12</f>
        <v>27.742170757694964</v>
      </c>
      <c r="DI23" s="24">
        <f t="shared" si="15"/>
        <v>31.310954955446828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>
        <f>DO23*VLOOKUP('Données projet'!$B$14,Paramètres!$A$1:$I$89,3,0)*VLOOKUP('Données projet'!$B$14,Paramètres!$A$1:$I$89,5,0)</f>
        <v>0</v>
      </c>
      <c r="DQ23" s="14" t="e">
        <f t="shared" si="43"/>
        <v>#NUM!</v>
      </c>
      <c r="DR23" s="22" t="e">
        <f t="shared" si="16"/>
        <v>#NUM!</v>
      </c>
      <c r="DS23" s="62" t="e">
        <f t="shared" si="17"/>
        <v>#NUM!</v>
      </c>
      <c r="DT23" s="62">
        <f ca="1">AVERAGE(OFFSET($DS$3,0,0,'Données projet'!$E$14+1,1))-AVERAGE(OFFSET($H$3,0,0,'Données projet'!$E$14+1,1))</f>
        <v>96.56611521638132</v>
      </c>
      <c r="DU23" s="62">
        <f t="shared" si="44"/>
        <v>465.03257878814094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100.46749011651205</v>
      </c>
      <c r="EB23" s="23">
        <f>EXP(-LN(2)/25)*EB22+(1-EXP(-LN(2)/25))/(LN(2)/25)*Calculateur!DW23*Calculateur!DY23*VLOOKUP('Données projet'!$B$14,Paramètres!$A$1:$I$89,3,0)*0.475*44/12</f>
        <v>24.23766798767199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124.70515810418405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101</v>
      </c>
      <c r="EH23" s="13">
        <f>VLOOKUP(A23,'Données projet'!$A$191:$I$211,9,0)</f>
        <v>13.6</v>
      </c>
      <c r="EI23" s="13">
        <f t="array" ref="EI23">INDEX(EH:EH,MIN(IF(ISNUMBER(EH23:EH219),ROW(EH23:EH219),"")))</f>
        <v>13.6</v>
      </c>
      <c r="EJ23" s="13">
        <f>IF('Données projet'!$A$192&gt;35,EJ22+EI23-ER22,IF(A23&lt;'Données projet'!$A$192,$EG$205^A23,IF(A23='Données projet'!$A$192,'Données projet'!$B$192,EJ22+EI23-ER22)))</f>
        <v>100.99999999999999</v>
      </c>
      <c r="EK23" s="18">
        <f>EJ23*VLOOKUP('Données projet'!$B$15,Paramètres!$A$1:$I$89,3,0)*VLOOKUP('Données projet'!$B$15,Paramètres!$A$1:$I$89,5,0)</f>
        <v>81.93119999999999</v>
      </c>
      <c r="EL23" s="14">
        <f t="shared" si="45"/>
        <v>22.608715052719766</v>
      </c>
      <c r="EM23" s="22">
        <f t="shared" si="19"/>
        <v>182.07368538348692</v>
      </c>
      <c r="EN23" s="62">
        <f t="shared" si="20"/>
        <v>463.18479649459806</v>
      </c>
      <c r="EO23" s="62">
        <f ca="1">AVERAGE(OFFSET($EN$3,0,0,'Données projet'!$E$15+1,1))-AVERAGE(OFFSET($H$3,0,0,'Données projet'!$E$15+1,1))</f>
        <v>358.75637627589799</v>
      </c>
      <c r="EP23" s="62">
        <f t="shared" si="46"/>
        <v>349.64821164483607</v>
      </c>
      <c r="EQ23" s="16">
        <f>IF(ISNA(VLOOKUP(A23,'Données projet'!$A$191:$I$211,3,0)),0,VLOOKUP(A23,'Données projet'!$A$191:$I$211,3,0))</f>
        <v>3</v>
      </c>
      <c r="ER23" s="16">
        <f>IF(ISNA(VLOOKUP(A23,'Données projet'!$A$191:$I$211,4,0)),0,VLOOKUP(A23,'Données projet'!$A$191:$I$211,4,0))</f>
        <v>35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0.10600000000000001</v>
      </c>
      <c r="EU23" s="17">
        <f>IF(ISNA(VLOOKUP(A23,'Données projet'!$A$191:$I$211,7,0)),0%,VLOOKUP(A23,'Données projet'!$A$191:$I$211,7,0))</f>
        <v>0.8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3.3138710407695879</v>
      </c>
      <c r="EX23" s="23">
        <f>EXP(-LN(2)/2)*EX22+(1-EXP(-LN(2)/2))/(LN(2)/2)*ER23*EU23*VLOOKUP('Données projet'!$B$15,Paramètres!$A$1:$I$89,3,0)*0.475*44/12</f>
        <v>25.760587132145321</v>
      </c>
      <c r="EY23" s="24">
        <f t="shared" si="21"/>
        <v>29.074458172914909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>
        <f>FE23*VLOOKUP('Données projet'!$B$16,Paramètres!$A$1:$I$89,3,0)*VLOOKUP('Données projet'!$B$16,Paramètres!$A$1:$I$89,5,0)</f>
        <v>0</v>
      </c>
      <c r="FG23" s="14" t="e">
        <f t="shared" si="47"/>
        <v>#NUM!</v>
      </c>
      <c r="FH23" s="22" t="e">
        <f t="shared" si="22"/>
        <v>#NUM!</v>
      </c>
      <c r="FI23" s="62" t="e">
        <f t="shared" si="23"/>
        <v>#NUM!</v>
      </c>
      <c r="FJ23" s="62">
        <f ca="1">AVERAGE(OFFSET($FI$3,0,0,'Données projet'!$E$16+1,1))-AVERAGE(OFFSET($H$3,0,0,'Données projet'!$E$16+1,1))</f>
        <v>121.28977654040114</v>
      </c>
      <c r="FK23" s="62">
        <f t="shared" si="48"/>
        <v>615.69585264342595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135.36376119339573</v>
      </c>
      <c r="FR23" s="23">
        <f>EXP(-LN(2)/25)*FR22+(1-EXP(-LN(2)/25))/(LN(2)/25)*Calculateur!FM23*Calculateur!FO23*VLOOKUP('Données projet'!$B$16,Paramètres!$A$1:$I$89,3,0)*0.475*44/12</f>
        <v>32.656353787311552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168.02011498070729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14.8</v>
      </c>
      <c r="N24" s="14">
        <f>IF('Données projet'!$A$36&gt;35,N23+M24-V23,IF(A24&lt;'Données projet'!$A$36,$K$205^A24,IF(A24='Données projet'!$A$36,'Données projet'!$B$36,N23+M24-V23)))</f>
        <v>80.799999999999983</v>
      </c>
      <c r="O24" s="14">
        <f>N24*VLOOKUP('Données projet'!$B$9,Paramètres!$A$1:$I$89,3,0)*VLOOKUP('Données projet'!$B$9,Paramètres!$A$1:$I$89,5,0)</f>
        <v>64.284479999999988</v>
      </c>
      <c r="P24" s="14">
        <f t="shared" si="33"/>
        <v>18.247133352994688</v>
      </c>
      <c r="Q24" s="22">
        <f t="shared" si="2"/>
        <v>143.74255992313238</v>
      </c>
      <c r="R24" s="62">
        <f t="shared" si="0"/>
        <v>426.07589325646569</v>
      </c>
      <c r="S24" s="62">
        <f ca="1">AVERAGE(OFFSET($R$3,0,0,'Données projet'!$E$9+1,1))-AVERAGE(OFFSET($H$3,0,0,'Données projet'!$E$9+1,1))</f>
        <v>352.5736659365665</v>
      </c>
      <c r="T24" s="62">
        <f t="shared" si="34"/>
        <v>343.77208530767069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9.0470751002834344</v>
      </c>
      <c r="AA24" s="23">
        <f>EXP(-LN(2)/25)*AA23+(1-EXP(-LN(2)/25))/(LN(2)/25)*Calculateur!V24*Calculateur!X24*VLOOKUP('Données projet'!$B$9,Paramètres!$A$1:$I$89,3,0)*0.475*44/12</f>
        <v>19.548417190864821</v>
      </c>
      <c r="AB24" s="23">
        <f>EXP(-LN(2)/2)*AB23+(1-EXP(-LN(2)/2))/(LN(2)/2)*V24*Y24*VLOOKUP('Données projet'!$B$9,Paramètres!$A$1:$I$89,3,0)*0.475*44/12</f>
        <v>0</v>
      </c>
      <c r="AC24" s="24">
        <f t="shared" si="3"/>
        <v>28.595492291148254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6.4</v>
      </c>
      <c r="AI24" s="14">
        <f>IF('Données projet'!$A$62&gt;35,AI23+AH24-AQ23,IF(A24&lt;'Données projet'!$A$62,$AF$205^A24,IF(A24='Données projet'!$A$62,'Données projet'!$B$62,AI23+AH24-AQ23)))</f>
        <v>72.400000000000006</v>
      </c>
      <c r="AJ24" s="14">
        <f>AI24*VLOOKUP('Données projet'!$B$10,Paramètres!$A$1:$I$89,3,0)*VLOOKUP('Données projet'!$B$10,Paramètres!$A$1:$I$89,5,0)</f>
        <v>47.436480000000003</v>
      </c>
      <c r="AK24" s="14">
        <f t="shared" si="35"/>
        <v>13.949705210568435</v>
      </c>
      <c r="AL24" s="22">
        <f t="shared" si="4"/>
        <v>106.91427257507337</v>
      </c>
      <c r="AM24" s="62">
        <f t="shared" si="5"/>
        <v>389.24760590840668</v>
      </c>
      <c r="AN24" s="62">
        <f ca="1">AVERAGE(OFFSET($AM$3,0,0,'Données projet'!$E$10+1,1))-AVERAGE(OFFSET($H$3,0,0,'Données projet'!$E$10+1,1))</f>
        <v>210.08998695869161</v>
      </c>
      <c r="AO24" s="62">
        <f t="shared" si="36"/>
        <v>207.30911916430881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4.179678247939755</v>
      </c>
      <c r="AX24" s="23">
        <f t="shared" si="6"/>
        <v>4.179678247939755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74.2</v>
      </c>
      <c r="BE24" s="14">
        <f>BD24*VLOOKUP('Données projet'!$B$11,Paramètres!$A$1:$I$89,3,0)*VLOOKUP('Données projet'!$B$11,Paramètres!$A$1:$I$89,5,0)</f>
        <v>49.773360000000004</v>
      </c>
      <c r="BF24" s="14">
        <f t="shared" si="37"/>
        <v>14.555213428078664</v>
      </c>
      <c r="BG24" s="22">
        <f t="shared" si="7"/>
        <v>112.03893205390368</v>
      </c>
      <c r="BH24" s="62">
        <f t="shared" si="8"/>
        <v>394.37226538723701</v>
      </c>
      <c r="BI24" s="62">
        <f ca="1">AVERAGE(OFFSET($BH$3,0,0,'Données projet'!$E$11+1,1))-AVERAGE(OFFSET($H$3,0,0,'Données projet'!$E$11+1,1))</f>
        <v>335.83558218229564</v>
      </c>
      <c r="BJ24" s="62">
        <f t="shared" si="38"/>
        <v>217.08423061559648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2.6852430403307892</v>
      </c>
      <c r="BS24" s="24">
        <f t="shared" si="9"/>
        <v>2.6852430403307892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10.6</v>
      </c>
      <c r="BY24" s="13">
        <f>IF('Données projet'!$A$114&gt;35,BY23+BX24-CG23,IF(A24&lt;'Données projet'!$A$114,$BV$205^A24,IF(A24='Données projet'!$A$114,'Données projet'!$B$114,BY23+BX24-CG23)))</f>
        <v>70.59999999999998</v>
      </c>
      <c r="BZ24" s="14">
        <f>BY24*VLOOKUP('Données projet'!$B$12,Paramètres!$A$1:$I$89,3,0)*VLOOKUP('Données projet'!$B$12,Paramètres!$A$1:$I$89,5,0)</f>
        <v>55.067999999999984</v>
      </c>
      <c r="CA24" s="14">
        <f t="shared" si="39"/>
        <v>15.915148294580479</v>
      </c>
      <c r="CB24" s="22">
        <f t="shared" si="10"/>
        <v>123.62898327972762</v>
      </c>
      <c r="CC24" s="62">
        <f t="shared" si="11"/>
        <v>405.96231661306092</v>
      </c>
      <c r="CD24" s="62">
        <f ca="1">AVERAGE(OFFSET($CC$3,0,0,'Données projet'!$E$12+1,1))-AVERAGE(OFFSET($H$3,0,0,'Données projet'!$E$12+1,1))</f>
        <v>288.82868507674738</v>
      </c>
      <c r="CE24" s="62">
        <f t="shared" si="40"/>
        <v>283.48738729114024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1.7960797442502867</v>
      </c>
      <c r="CM24" s="23">
        <f>EXP(-LN(2)/2)*CM23+(1-EXP(-LN(2)/2))/(LN(2)/2)*CG24*CJ24*VLOOKUP('Données projet'!$B$12,Paramètres!$A$1:$I$89,3,0)*0.475*44/12</f>
        <v>10.683900383494132</v>
      </c>
      <c r="CN24" s="24">
        <f t="shared" si="12"/>
        <v>12.479980127744419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14.8</v>
      </c>
      <c r="CT24" s="13">
        <f>IF('Données projet'!$A$140&gt;35,CT23+CS24-DB23,IF(A24&lt;'Données projet'!$A$140,$CQ$205^A24,IF(A24='Données projet'!$A$140,'Données projet'!$B$140,CT23+CS24-DB23)))</f>
        <v>80.799999999999983</v>
      </c>
      <c r="CU24" s="18">
        <f>CT24*VLOOKUP('Données projet'!$B$13,Paramètres!$A$1:$I$89,3,0)*VLOOKUP('Données projet'!$B$13,Paramètres!$A$1:$I$89,5,0)</f>
        <v>70.586879999999994</v>
      </c>
      <c r="CV24" s="14">
        <f t="shared" si="41"/>
        <v>19.819129665411243</v>
      </c>
      <c r="CW24" s="22">
        <f t="shared" si="13"/>
        <v>157.45713350059123</v>
      </c>
      <c r="CX24" s="62">
        <f t="shared" si="14"/>
        <v>439.79046683392454</v>
      </c>
      <c r="CY24" s="62">
        <f ca="1">AVERAGE(OFFSET($CX$3,0,0,'Données projet'!$E$13+1,1))-AVERAGE(OFFSET($H$3,0,0,'Données projet'!$E$13+1,1))</f>
        <v>383.46266660377637</v>
      </c>
      <c r="CZ24" s="62">
        <f t="shared" si="42"/>
        <v>373.1287543230714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3.4711956061901361</v>
      </c>
      <c r="DH24" s="23">
        <f>EXP(-LN(2)/2)*DH23+(1-EXP(-LN(2)/2))/(LN(2)/2)*DB24*DE24*VLOOKUP('Données projet'!$B$13,Paramètres!$A$1:$I$89,3,0)*0.475*44/12</f>
        <v>19.616677067601252</v>
      </c>
      <c r="DI24" s="24">
        <f t="shared" si="15"/>
        <v>23.087872673791388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>
        <f>DO24*VLOOKUP('Données projet'!$B$14,Paramètres!$A$1:$I$89,3,0)*VLOOKUP('Données projet'!$B$14,Paramètres!$A$1:$I$89,5,0)</f>
        <v>0</v>
      </c>
      <c r="DQ24" s="14" t="e">
        <f t="shared" si="43"/>
        <v>#NUM!</v>
      </c>
      <c r="DR24" s="22" t="e">
        <f t="shared" si="16"/>
        <v>#NUM!</v>
      </c>
      <c r="DS24" s="62" t="e">
        <f t="shared" si="17"/>
        <v>#NUM!</v>
      </c>
      <c r="DT24" s="62">
        <f ca="1">AVERAGE(OFFSET($DS$3,0,0,'Données projet'!$E$14+1,1))-AVERAGE(OFFSET($H$3,0,0,'Données projet'!$E$14+1,1))</f>
        <v>96.56611521638132</v>
      </c>
      <c r="DU24" s="62">
        <f t="shared" si="44"/>
        <v>465.03257878814094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98.497383914445408</v>
      </c>
      <c r="EB24" s="23">
        <f>EXP(-LN(2)/25)*EB23+(1-EXP(-LN(2)/25))/(LN(2)/25)*Calculateur!DW24*Calculateur!DY24*VLOOKUP('Données projet'!$B$14,Paramètres!$A$1:$I$89,3,0)*0.475*44/12</f>
        <v>23.574887681945537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122.07227159639095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14.8</v>
      </c>
      <c r="EJ24" s="13">
        <f>IF('Données projet'!$A$192&gt;35,EJ23+EI24-ER23,IF(A24&lt;'Données projet'!$A$192,$EG$205^A24,IF(A24='Données projet'!$A$192,'Données projet'!$B$192,EJ23+EI24-ER23)))</f>
        <v>80.799999999999983</v>
      </c>
      <c r="EK24" s="18">
        <f>EJ24*VLOOKUP('Données projet'!$B$15,Paramètres!$A$1:$I$89,3,0)*VLOOKUP('Données projet'!$B$15,Paramètres!$A$1:$I$89,5,0)</f>
        <v>65.544959999999989</v>
      </c>
      <c r="EL24" s="14">
        <f t="shared" si="45"/>
        <v>18.562915716350755</v>
      </c>
      <c r="EM24" s="22">
        <f t="shared" si="19"/>
        <v>146.4878835393109</v>
      </c>
      <c r="EN24" s="62">
        <f t="shared" si="20"/>
        <v>428.82121687264419</v>
      </c>
      <c r="EO24" s="62">
        <f ca="1">AVERAGE(OFFSET($EN$3,0,0,'Données projet'!$E$15+1,1))-AVERAGE(OFFSET($H$3,0,0,'Données projet'!$E$15+1,1))</f>
        <v>358.75637627589799</v>
      </c>
      <c r="EP24" s="62">
        <f t="shared" si="46"/>
        <v>349.64821164483607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3.2232530628908393</v>
      </c>
      <c r="EX24" s="23">
        <f>EXP(-LN(2)/2)*EX23+(1-EXP(-LN(2)/2))/(LN(2)/2)*ER24*EU24*VLOOKUP('Données projet'!$B$15,Paramètres!$A$1:$I$89,3,0)*0.475*44/12</f>
        <v>18.215485848486875</v>
      </c>
      <c r="EY24" s="24">
        <f t="shared" si="21"/>
        <v>21.438738911377715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>
        <f>FE24*VLOOKUP('Données projet'!$B$16,Paramètres!$A$1:$I$89,3,0)*VLOOKUP('Données projet'!$B$16,Paramètres!$A$1:$I$89,5,0)</f>
        <v>0</v>
      </c>
      <c r="FG24" s="14" t="e">
        <f t="shared" si="47"/>
        <v>#NUM!</v>
      </c>
      <c r="FH24" s="22" t="e">
        <f t="shared" si="22"/>
        <v>#NUM!</v>
      </c>
      <c r="FI24" s="62" t="e">
        <f t="shared" si="23"/>
        <v>#NUM!</v>
      </c>
      <c r="FJ24" s="62">
        <f ca="1">AVERAGE(OFFSET($FI$3,0,0,'Données projet'!$E$16+1,1))-AVERAGE(OFFSET($H$3,0,0,'Données projet'!$E$16+1,1))</f>
        <v>121.28977654040114</v>
      </c>
      <c r="FK24" s="62">
        <f t="shared" si="48"/>
        <v>615.69585264342595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132.70936040013507</v>
      </c>
      <c r="FR24" s="23">
        <f>EXP(-LN(2)/25)*FR23+(1-EXP(-LN(2)/25))/(LN(2)/25)*Calculateur!FM24*Calculateur!FO24*VLOOKUP('Données projet'!$B$16,Paramètres!$A$1:$I$89,3,0)*0.475*44/12</f>
        <v>31.763364075674509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164.47272447580957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14.8</v>
      </c>
      <c r="N25" s="14">
        <f>IF('Données projet'!$A$36&gt;35,N24+M25-V24,IF(A25&lt;'Données projet'!$A$36,$K$205^A25,IF(A25='Données projet'!$A$36,'Données projet'!$B$36,N24+M25-V24)))</f>
        <v>95.59999999999998</v>
      </c>
      <c r="O25" s="14">
        <f>N25*VLOOKUP('Données projet'!$B$9,Paramètres!$A$1:$I$89,3,0)*VLOOKUP('Données projet'!$B$9,Paramètres!$A$1:$I$89,5,0)</f>
        <v>76.059359999999998</v>
      </c>
      <c r="P25" s="14">
        <f t="shared" si="33"/>
        <v>21.170862971540299</v>
      </c>
      <c r="Q25" s="22">
        <f t="shared" si="2"/>
        <v>169.34263834209935</v>
      </c>
      <c r="R25" s="62">
        <f t="shared" si="0"/>
        <v>452.89819389765489</v>
      </c>
      <c r="S25" s="62">
        <f ca="1">AVERAGE(OFFSET($R$3,0,0,'Données projet'!$E$9+1,1))-AVERAGE(OFFSET($H$3,0,0,'Données projet'!$E$9+1,1))</f>
        <v>352.5736659365665</v>
      </c>
      <c r="T25" s="62">
        <f t="shared" si="34"/>
        <v>343.77208530767069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8.8696674757378133</v>
      </c>
      <c r="AA25" s="23">
        <f>EXP(-LN(2)/25)*AA24+(1-EXP(-LN(2)/25))/(LN(2)/25)*Calculateur!V25*Calculateur!X25*VLOOKUP('Données projet'!$B$9,Paramètres!$A$1:$I$89,3,0)*0.475*44/12</f>
        <v>19.013864694774043</v>
      </c>
      <c r="AB25" s="23">
        <f>EXP(-LN(2)/2)*AB24+(1-EXP(-LN(2)/2))/(LN(2)/2)*V25*Y25*VLOOKUP('Données projet'!$B$9,Paramètres!$A$1:$I$89,3,0)*0.475*44/12</f>
        <v>0</v>
      </c>
      <c r="AC25" s="24">
        <f t="shared" si="3"/>
        <v>27.883532170511856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6.4</v>
      </c>
      <c r="AI25" s="14">
        <f>IF('Données projet'!$A$62&gt;35,AI24+AH25-AQ24,IF(A25&lt;'Données projet'!$A$62,$AF$205^A25,IF(A25='Données projet'!$A$62,'Données projet'!$B$62,AI24+AH25-AQ24)))</f>
        <v>78.800000000000011</v>
      </c>
      <c r="AJ25" s="14">
        <f>AI25*VLOOKUP('Données projet'!$B$10,Paramètres!$A$1:$I$89,3,0)*VLOOKUP('Données projet'!$B$10,Paramètres!$A$1:$I$89,5,0)</f>
        <v>51.629760000000005</v>
      </c>
      <c r="AK25" s="14">
        <f t="shared" si="35"/>
        <v>15.033863361350585</v>
      </c>
      <c r="AL25" s="22">
        <f t="shared" si="4"/>
        <v>116.1058106876856</v>
      </c>
      <c r="AM25" s="62">
        <f t="shared" si="5"/>
        <v>399.66136624324116</v>
      </c>
      <c r="AN25" s="62">
        <f ca="1">AVERAGE(OFFSET($AM$3,0,0,'Données projet'!$E$10+1,1))-AVERAGE(OFFSET($H$3,0,0,'Données projet'!$E$10+1,1))</f>
        <v>210.08998695869161</v>
      </c>
      <c r="AO25" s="62">
        <f t="shared" si="36"/>
        <v>207.30911916430881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2.9554788322961087</v>
      </c>
      <c r="AX25" s="23">
        <f t="shared" si="6"/>
        <v>2.9554788322961087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81.400000000000006</v>
      </c>
      <c r="BE25" s="14">
        <f>BD25*VLOOKUP('Données projet'!$B$11,Paramètres!$A$1:$I$89,3,0)*VLOOKUP('Données projet'!$B$11,Paramètres!$A$1:$I$89,5,0)</f>
        <v>54.603120000000004</v>
      </c>
      <c r="BF25" s="14">
        <f t="shared" si="37"/>
        <v>15.796374138381612</v>
      </c>
      <c r="BG25" s="22">
        <f t="shared" si="7"/>
        <v>122.61245229101463</v>
      </c>
      <c r="BH25" s="62">
        <f t="shared" si="8"/>
        <v>406.16800784657016</v>
      </c>
      <c r="BI25" s="62">
        <f ca="1">AVERAGE(OFFSET($BH$3,0,0,'Données projet'!$E$11+1,1))-AVERAGE(OFFSET($H$3,0,0,'Données projet'!$E$11+1,1))</f>
        <v>335.83558218229564</v>
      </c>
      <c r="BJ25" s="62">
        <f t="shared" si="38"/>
        <v>217.08423061559648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1.898753562951883</v>
      </c>
      <c r="BS25" s="24">
        <f t="shared" si="9"/>
        <v>1.898753562951883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10.6</v>
      </c>
      <c r="BY25" s="13">
        <f>IF('Données projet'!$A$114&gt;35,BY24+BX25-CG24,IF(A25&lt;'Données projet'!$A$114,$BV$205^A25,IF(A25='Données projet'!$A$114,'Données projet'!$B$114,BY24+BX25-CG24)))</f>
        <v>81.199999999999974</v>
      </c>
      <c r="BZ25" s="14">
        <f>BY25*VLOOKUP('Données projet'!$B$12,Paramètres!$A$1:$I$89,3,0)*VLOOKUP('Données projet'!$B$12,Paramètres!$A$1:$I$89,5,0)</f>
        <v>63.335999999999984</v>
      </c>
      <c r="CA25" s="14">
        <f t="shared" si="39"/>
        <v>18.009040022946227</v>
      </c>
      <c r="CB25" s="22">
        <f t="shared" si="10"/>
        <v>141.67594470663133</v>
      </c>
      <c r="CC25" s="62">
        <f t="shared" si="11"/>
        <v>425.23150026218684</v>
      </c>
      <c r="CD25" s="62">
        <f ca="1">AVERAGE(OFFSET($CC$3,0,0,'Données projet'!$E$12+1,1))-AVERAGE(OFFSET($H$3,0,0,'Données projet'!$E$12+1,1))</f>
        <v>288.82868507674738</v>
      </c>
      <c r="CE25" s="62">
        <f t="shared" si="40"/>
        <v>283.48738729114024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1.7469658491920339</v>
      </c>
      <c r="CM25" s="23">
        <f>EXP(-LN(2)/2)*CM24+(1-EXP(-LN(2)/2))/(LN(2)/2)*CG25*CJ25*VLOOKUP('Données projet'!$B$12,Paramètres!$A$1:$I$89,3,0)*0.475*44/12</f>
        <v>7.5546584106902568</v>
      </c>
      <c r="CN25" s="24">
        <f t="shared" si="12"/>
        <v>9.3016242598822902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14.8</v>
      </c>
      <c r="CT25" s="13">
        <f>IF('Données projet'!$A$140&gt;35,CT24+CS25-DB24,IF(A25&lt;'Données projet'!$A$140,$CQ$205^A25,IF(A25='Données projet'!$A$140,'Données projet'!$B$140,CT24+CS25-DB24)))</f>
        <v>95.59999999999998</v>
      </c>
      <c r="CU25" s="18">
        <f>CT25*VLOOKUP('Données projet'!$B$13,Paramètres!$A$1:$I$89,3,0)*VLOOKUP('Données projet'!$B$13,Paramètres!$A$1:$I$89,5,0)</f>
        <v>83.516159999999999</v>
      </c>
      <c r="CV25" s="14">
        <f t="shared" si="41"/>
        <v>22.994739515768853</v>
      </c>
      <c r="CW25" s="22">
        <f t="shared" si="13"/>
        <v>185.5064833232974</v>
      </c>
      <c r="CX25" s="62">
        <f t="shared" si="14"/>
        <v>469.06203887885295</v>
      </c>
      <c r="CY25" s="62">
        <f ca="1">AVERAGE(OFFSET($CX$3,0,0,'Données projet'!$E$13+1,1))-AVERAGE(OFFSET($H$3,0,0,'Données projet'!$E$13+1,1))</f>
        <v>383.46266660377637</v>
      </c>
      <c r="CZ25" s="62">
        <f t="shared" si="42"/>
        <v>373.1287543230714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3.3762755797966233</v>
      </c>
      <c r="DH25" s="23">
        <f>EXP(-LN(2)/2)*DH24+(1-EXP(-LN(2)/2))/(LN(2)/2)*DB25*DE25*VLOOKUP('Données projet'!$B$13,Paramètres!$A$1:$I$89,3,0)*0.475*44/12</f>
        <v>13.871085378847484</v>
      </c>
      <c r="DI25" s="24">
        <f t="shared" si="15"/>
        <v>17.247360958644109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>
        <f>DO25*VLOOKUP('Données projet'!$B$14,Paramètres!$A$1:$I$89,3,0)*VLOOKUP('Données projet'!$B$14,Paramètres!$A$1:$I$89,5,0)</f>
        <v>0</v>
      </c>
      <c r="DQ25" s="14" t="e">
        <f t="shared" si="43"/>
        <v>#NUM!</v>
      </c>
      <c r="DR25" s="22" t="e">
        <f t="shared" si="16"/>
        <v>#NUM!</v>
      </c>
      <c r="DS25" s="62" t="e">
        <f t="shared" si="17"/>
        <v>#NUM!</v>
      </c>
      <c r="DT25" s="62">
        <f ca="1">AVERAGE(OFFSET($DS$3,0,0,'Données projet'!$E$14+1,1))-AVERAGE(OFFSET($H$3,0,0,'Données projet'!$E$14+1,1))</f>
        <v>96.56611521638132</v>
      </c>
      <c r="DU25" s="62">
        <f t="shared" si="44"/>
        <v>465.03257878814094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96.565910293355159</v>
      </c>
      <c r="EB25" s="23">
        <f>EXP(-LN(2)/25)*EB24+(1-EXP(-LN(2)/25))/(LN(2)/25)*Calculateur!DW25*Calculateur!DY25*VLOOKUP('Données projet'!$B$14,Paramètres!$A$1:$I$89,3,0)*0.475*44/12</f>
        <v>22.930231138533273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119.49614143188843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14.8</v>
      </c>
      <c r="EJ25" s="13">
        <f>IF('Données projet'!$A$192&gt;35,EJ24+EI25-ER24,IF(A25&lt;'Données projet'!$A$192,$EG$205^A25,IF(A25='Données projet'!$A$192,'Données projet'!$B$192,EJ24+EI25-ER24)))</f>
        <v>95.59999999999998</v>
      </c>
      <c r="EK25" s="18">
        <f>EJ25*VLOOKUP('Données projet'!$B$15,Paramètres!$A$1:$I$89,3,0)*VLOOKUP('Données projet'!$B$15,Paramètres!$A$1:$I$89,5,0)</f>
        <v>77.550719999999984</v>
      </c>
      <c r="EL25" s="14">
        <f t="shared" si="45"/>
        <v>21.537242994862879</v>
      </c>
      <c r="EM25" s="22">
        <f t="shared" si="19"/>
        <v>172.5782022160528</v>
      </c>
      <c r="EN25" s="62">
        <f t="shared" si="20"/>
        <v>456.13375777160832</v>
      </c>
      <c r="EO25" s="62">
        <f ca="1">AVERAGE(OFFSET($EN$3,0,0,'Données projet'!$E$15+1,1))-AVERAGE(OFFSET($H$3,0,0,'Données projet'!$E$15+1,1))</f>
        <v>358.75637627589799</v>
      </c>
      <c r="EP25" s="62">
        <f t="shared" si="46"/>
        <v>349.64821164483607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3.1351130383825776</v>
      </c>
      <c r="EX25" s="23">
        <f>EXP(-LN(2)/2)*EX24+(1-EXP(-LN(2)/2))/(LN(2)/2)*ER25*EU25*VLOOKUP('Données projet'!$B$15,Paramètres!$A$1:$I$89,3,0)*0.475*44/12</f>
        <v>12.880293566072663</v>
      </c>
      <c r="EY25" s="24">
        <f t="shared" si="21"/>
        <v>16.01540660445524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>
        <f>FE25*VLOOKUP('Données projet'!$B$16,Paramètres!$A$1:$I$89,3,0)*VLOOKUP('Données projet'!$B$16,Paramètres!$A$1:$I$89,5,0)</f>
        <v>0</v>
      </c>
      <c r="FG25" s="14" t="e">
        <f t="shared" si="47"/>
        <v>#NUM!</v>
      </c>
      <c r="FH25" s="22" t="e">
        <f t="shared" si="22"/>
        <v>#NUM!</v>
      </c>
      <c r="FI25" s="62" t="e">
        <f t="shared" si="23"/>
        <v>#NUM!</v>
      </c>
      <c r="FJ25" s="62">
        <f ca="1">AVERAGE(OFFSET($FI$3,0,0,'Données projet'!$E$16+1,1))-AVERAGE(OFFSET($H$3,0,0,'Données projet'!$E$16+1,1))</f>
        <v>121.28977654040114</v>
      </c>
      <c r="FK25" s="62">
        <f t="shared" si="48"/>
        <v>615.69585264342595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130.10701078740564</v>
      </c>
      <c r="FR25" s="23">
        <f>EXP(-LN(2)/25)*FR24+(1-EXP(-LN(2)/25))/(LN(2)/25)*Calculateur!FM25*Calculateur!FO25*VLOOKUP('Données projet'!$B$16,Paramètres!$A$1:$I$89,3,0)*0.475*44/12</f>
        <v>30.894793214662471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161.00180400206813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14.8</v>
      </c>
      <c r="N26" s="14">
        <f>IF('Données projet'!$A$36&gt;35,N25+M26-V25,IF(A26&lt;'Données projet'!$A$36,$K$205^A26,IF(A26='Données projet'!$A$36,'Données projet'!$B$36,N25+M26-V25)))</f>
        <v>110.39999999999998</v>
      </c>
      <c r="O26" s="14">
        <f>N26*VLOOKUP('Données projet'!$B$9,Paramètres!$A$1:$I$89,3,0)*VLOOKUP('Données projet'!$B$9,Paramètres!$A$1:$I$89,5,0)</f>
        <v>87.83423999999998</v>
      </c>
      <c r="P26" s="14">
        <f t="shared" si="33"/>
        <v>24.042157662768496</v>
      </c>
      <c r="Q26" s="22">
        <f t="shared" si="2"/>
        <v>194.85139259598841</v>
      </c>
      <c r="R26" s="62">
        <f t="shared" si="0"/>
        <v>479.62917037376621</v>
      </c>
      <c r="S26" s="62">
        <f ca="1">AVERAGE(OFFSET($R$3,0,0,'Données projet'!$E$9+1,1))-AVERAGE(OFFSET($H$3,0,0,'Données projet'!$E$9+1,1))</f>
        <v>352.5736659365665</v>
      </c>
      <c r="T26" s="62">
        <f t="shared" si="34"/>
        <v>343.77208530767069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8.6957387065015652</v>
      </c>
      <c r="AA26" s="23">
        <f>EXP(-LN(2)/25)*AA25+(1-EXP(-LN(2)/25))/(LN(2)/25)*Calculateur!V26*Calculateur!X26*VLOOKUP('Données projet'!$B$9,Paramètres!$A$1:$I$89,3,0)*0.475*44/12</f>
        <v>18.49392956479976</v>
      </c>
      <c r="AB26" s="23">
        <f>EXP(-LN(2)/2)*AB25+(1-EXP(-LN(2)/2))/(LN(2)/2)*V26*Y26*VLOOKUP('Données projet'!$B$9,Paramètres!$A$1:$I$89,3,0)*0.475*44/12</f>
        <v>0</v>
      </c>
      <c r="AC26" s="24">
        <f t="shared" si="3"/>
        <v>27.189668271301326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6.4</v>
      </c>
      <c r="AI26" s="14">
        <f>IF('Données projet'!$A$62&gt;35,AI25+AH26-AQ25,IF(A26&lt;'Données projet'!$A$62,$AF$205^A26,IF(A26='Données projet'!$A$62,'Données projet'!$B$62,AI25+AH26-AQ25)))</f>
        <v>85.200000000000017</v>
      </c>
      <c r="AJ26" s="14">
        <f>AI26*VLOOKUP('Données projet'!$B$10,Paramètres!$A$1:$I$89,3,0)*VLOOKUP('Données projet'!$B$10,Paramètres!$A$1:$I$89,5,0)</f>
        <v>55.823040000000013</v>
      </c>
      <c r="AK26" s="14">
        <f t="shared" si="35"/>
        <v>16.107808541294514</v>
      </c>
      <c r="AL26" s="22">
        <f t="shared" si="4"/>
        <v>125.27956120942127</v>
      </c>
      <c r="AM26" s="62">
        <f t="shared" si="5"/>
        <v>410.05733898719905</v>
      </c>
      <c r="AN26" s="62">
        <f ca="1">AVERAGE(OFFSET($AM$3,0,0,'Données projet'!$E$10+1,1))-AVERAGE(OFFSET($H$3,0,0,'Données projet'!$E$10+1,1))</f>
        <v>210.08998695869161</v>
      </c>
      <c r="AO26" s="62">
        <f t="shared" si="36"/>
        <v>207.30911916430881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2.0898391239698775</v>
      </c>
      <c r="AX26" s="23">
        <f t="shared" si="6"/>
        <v>2.0898391239698775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88.600000000000009</v>
      </c>
      <c r="BE26" s="14">
        <f>BD26*VLOOKUP('Données projet'!$B$11,Paramètres!$A$1:$I$89,3,0)*VLOOKUP('Données projet'!$B$11,Paramètres!$A$1:$I$89,5,0)</f>
        <v>59.432880000000011</v>
      </c>
      <c r="BF26" s="14">
        <f t="shared" si="37"/>
        <v>17.024804126865714</v>
      </c>
      <c r="BG26" s="22">
        <f t="shared" si="7"/>
        <v>133.16379985429114</v>
      </c>
      <c r="BH26" s="62">
        <f t="shared" si="8"/>
        <v>417.94157763206891</v>
      </c>
      <c r="BI26" s="62">
        <f ca="1">AVERAGE(OFFSET($BH$3,0,0,'Données projet'!$E$11+1,1))-AVERAGE(OFFSET($H$3,0,0,'Données projet'!$E$11+1,1))</f>
        <v>335.83558218229564</v>
      </c>
      <c r="BJ26" s="62">
        <f t="shared" si="38"/>
        <v>217.08423061559648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1.3426215201653948</v>
      </c>
      <c r="BS26" s="24">
        <f t="shared" si="9"/>
        <v>1.3426215201653948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10.6</v>
      </c>
      <c r="BY26" s="13">
        <f>IF('Données projet'!$A$114&gt;35,BY25+BX26-CG25,IF(A26&lt;'Données projet'!$A$114,$BV$205^A26,IF(A26='Données projet'!$A$114,'Données projet'!$B$114,BY25+BX26-CG25)))</f>
        <v>91.799999999999969</v>
      </c>
      <c r="BZ26" s="14">
        <f>BY26*VLOOKUP('Données projet'!$B$12,Paramètres!$A$1:$I$89,3,0)*VLOOKUP('Données projet'!$B$12,Paramètres!$A$1:$I$89,5,0)</f>
        <v>71.603999999999985</v>
      </c>
      <c r="CA26" s="14">
        <f t="shared" si="39"/>
        <v>20.071260561992585</v>
      </c>
      <c r="CB26" s="22">
        <f t="shared" si="10"/>
        <v>159.66774547880371</v>
      </c>
      <c r="CC26" s="62">
        <f t="shared" si="11"/>
        <v>444.44552325658151</v>
      </c>
      <c r="CD26" s="62">
        <f ca="1">AVERAGE(OFFSET($CC$3,0,0,'Données projet'!$E$12+1,1))-AVERAGE(OFFSET($H$3,0,0,'Données projet'!$E$12+1,1))</f>
        <v>288.82868507674738</v>
      </c>
      <c r="CE26" s="62">
        <f t="shared" si="40"/>
        <v>283.48738729114024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1.6991949761769365</v>
      </c>
      <c r="CM26" s="23">
        <f>EXP(-LN(2)/2)*CM25+(1-EXP(-LN(2)/2))/(LN(2)/2)*CG26*CJ26*VLOOKUP('Données projet'!$B$12,Paramètres!$A$1:$I$89,3,0)*0.475*44/12</f>
        <v>5.3419501917470669</v>
      </c>
      <c r="CN26" s="24">
        <f t="shared" si="12"/>
        <v>7.0411451679240038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14.8</v>
      </c>
      <c r="CT26" s="13">
        <f>IF('Données projet'!$A$140&gt;35,CT25+CS26-DB25,IF(A26&lt;'Données projet'!$A$140,$CQ$205^A26,IF(A26='Données projet'!$A$140,'Données projet'!$B$140,CT25+CS26-DB25)))</f>
        <v>110.39999999999998</v>
      </c>
      <c r="CU26" s="18">
        <f>CT26*VLOOKUP('Données projet'!$B$13,Paramètres!$A$1:$I$89,3,0)*VLOOKUP('Données projet'!$B$13,Paramètres!$A$1:$I$89,5,0)</f>
        <v>96.445439999999991</v>
      </c>
      <c r="CV26" s="14">
        <f t="shared" si="41"/>
        <v>26.113397153228323</v>
      </c>
      <c r="CW26" s="22">
        <f t="shared" si="13"/>
        <v>213.45664137520598</v>
      </c>
      <c r="CX26" s="62">
        <f t="shared" si="14"/>
        <v>498.23441915298372</v>
      </c>
      <c r="CY26" s="62">
        <f ca="1">AVERAGE(OFFSET($CX$3,0,0,'Données projet'!$E$13+1,1))-AVERAGE(OFFSET($H$3,0,0,'Données projet'!$E$13+1,1))</f>
        <v>383.46266660377637</v>
      </c>
      <c r="CZ26" s="62">
        <f t="shared" si="42"/>
        <v>373.1287543230714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3.2839511465164684</v>
      </c>
      <c r="DH26" s="23">
        <f>EXP(-LN(2)/2)*DH25+(1-EXP(-LN(2)/2))/(LN(2)/2)*DB26*DE26*VLOOKUP('Données projet'!$B$13,Paramètres!$A$1:$I$89,3,0)*0.475*44/12</f>
        <v>9.8083385338006277</v>
      </c>
      <c r="DI26" s="24">
        <f t="shared" si="15"/>
        <v>13.092289680317096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>
        <f>DO26*VLOOKUP('Données projet'!$B$14,Paramètres!$A$1:$I$89,3,0)*VLOOKUP('Données projet'!$B$14,Paramètres!$A$1:$I$89,5,0)</f>
        <v>0</v>
      </c>
      <c r="DQ26" s="14" t="e">
        <f t="shared" si="43"/>
        <v>#NUM!</v>
      </c>
      <c r="DR26" s="22" t="e">
        <f t="shared" si="16"/>
        <v>#NUM!</v>
      </c>
      <c r="DS26" s="62" t="e">
        <f t="shared" si="17"/>
        <v>#NUM!</v>
      </c>
      <c r="DT26" s="62">
        <f ca="1">AVERAGE(OFFSET($DS$3,0,0,'Données projet'!$E$14+1,1))-AVERAGE(OFFSET($H$3,0,0,'Données projet'!$E$14+1,1))</f>
        <v>96.56611521638132</v>
      </c>
      <c r="DU26" s="62">
        <f t="shared" si="44"/>
        <v>465.03257878814094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94.672311691891906</v>
      </c>
      <c r="EB26" s="23">
        <f>EXP(-LN(2)/25)*EB25+(1-EXP(-LN(2)/25))/(LN(2)/25)*Calculateur!DW26*Calculateur!DY26*VLOOKUP('Données projet'!$B$14,Paramètres!$A$1:$I$89,3,0)*0.475*44/12</f>
        <v>22.303202762201632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116.97551445409354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14.8</v>
      </c>
      <c r="EJ26" s="13">
        <f>IF('Données projet'!$A$192&gt;35,EJ25+EI26-ER25,IF(A26&lt;'Données projet'!$A$192,$EG$205^A26,IF(A26='Données projet'!$A$192,'Données projet'!$B$192,EJ25+EI26-ER25)))</f>
        <v>110.39999999999998</v>
      </c>
      <c r="EK26" s="18">
        <f>EJ26*VLOOKUP('Données projet'!$B$15,Paramètres!$A$1:$I$89,3,0)*VLOOKUP('Données projet'!$B$15,Paramètres!$A$1:$I$89,5,0)</f>
        <v>89.556479999999979</v>
      </c>
      <c r="EL26" s="14">
        <f t="shared" si="45"/>
        <v>24.458227914465418</v>
      </c>
      <c r="EM26" s="22">
        <f t="shared" si="19"/>
        <v>198.57561628436054</v>
      </c>
      <c r="EN26" s="62">
        <f t="shared" si="20"/>
        <v>483.35339406213831</v>
      </c>
      <c r="EO26" s="62">
        <f ca="1">AVERAGE(OFFSET($EN$3,0,0,'Données projet'!$E$15+1,1))-AVERAGE(OFFSET($H$3,0,0,'Données projet'!$E$15+1,1))</f>
        <v>358.75637627589799</v>
      </c>
      <c r="EP26" s="62">
        <f t="shared" si="46"/>
        <v>349.64821164483607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3.0493832074795768</v>
      </c>
      <c r="EX26" s="23">
        <f>EXP(-LN(2)/2)*EX25+(1-EXP(-LN(2)/2))/(LN(2)/2)*ER26*EU26*VLOOKUP('Données projet'!$B$15,Paramètres!$A$1:$I$89,3,0)*0.475*44/12</f>
        <v>9.1077429242434391</v>
      </c>
      <c r="EY26" s="24">
        <f t="shared" si="21"/>
        <v>12.157126131723016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>
        <f>FE26*VLOOKUP('Données projet'!$B$16,Paramètres!$A$1:$I$89,3,0)*VLOOKUP('Données projet'!$B$16,Paramètres!$A$1:$I$89,5,0)</f>
        <v>0</v>
      </c>
      <c r="FG26" s="14" t="e">
        <f t="shared" si="47"/>
        <v>#NUM!</v>
      </c>
      <c r="FH26" s="22" t="e">
        <f t="shared" si="22"/>
        <v>#NUM!</v>
      </c>
      <c r="FI26" s="62" t="e">
        <f t="shared" si="23"/>
        <v>#NUM!</v>
      </c>
      <c r="FJ26" s="62">
        <f ca="1">AVERAGE(OFFSET($FI$3,0,0,'Données projet'!$E$16+1,1))-AVERAGE(OFFSET($H$3,0,0,'Données projet'!$E$16+1,1))</f>
        <v>121.28977654040114</v>
      </c>
      <c r="FK26" s="62">
        <f t="shared" si="48"/>
        <v>615.69585264342595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127.5556916633053</v>
      </c>
      <c r="FR26" s="23">
        <f>EXP(-LN(2)/25)*FR25+(1-EXP(-LN(2)/25))/(LN(2)/25)*Calculateur!FM26*Calculateur!FO26*VLOOKUP('Données projet'!$B$16,Paramètres!$A$1:$I$89,3,0)*0.475*44/12</f>
        <v>30.04997346952096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157.60566513282626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14.8</v>
      </c>
      <c r="N27" s="14">
        <f>IF('Données projet'!$A$36&gt;35,N26+M27-V26,IF(A27&lt;'Données projet'!$A$36,$K$205^A27,IF(A27='Données projet'!$A$36,'Données projet'!$B$36,N26+M27-V26)))</f>
        <v>125.19999999999997</v>
      </c>
      <c r="O27" s="14">
        <f>N27*VLOOKUP('Données projet'!$B$9,Paramètres!$A$1:$I$89,3,0)*VLOOKUP('Données projet'!$B$9,Paramètres!$A$1:$I$89,5,0)</f>
        <v>99.60911999999999</v>
      </c>
      <c r="P27" s="14">
        <f t="shared" si="33"/>
        <v>26.868854563103099</v>
      </c>
      <c r="Q27" s="22">
        <f t="shared" si="2"/>
        <v>220.2824723640712</v>
      </c>
      <c r="R27" s="62">
        <f t="shared" si="0"/>
        <v>506.28247236407117</v>
      </c>
      <c r="S27" s="62">
        <f ca="1">AVERAGE(OFFSET($R$3,0,0,'Données projet'!$E$9+1,1))-AVERAGE(OFFSET($H$3,0,0,'Données projet'!$E$9+1,1))</f>
        <v>352.5736659365665</v>
      </c>
      <c r="T27" s="62">
        <f t="shared" si="34"/>
        <v>343.77208530767069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8.5252205743439653</v>
      </c>
      <c r="AA27" s="23">
        <f>EXP(-LN(2)/25)*AA26+(1-EXP(-LN(2)/25))/(LN(2)/25)*Calculateur!V27*Calculateur!X27*VLOOKUP('Données projet'!$B$9,Paramètres!$A$1:$I$89,3,0)*0.475*44/12</f>
        <v>17.988212088296823</v>
      </c>
      <c r="AB27" s="23">
        <f>EXP(-LN(2)/2)*AB26+(1-EXP(-LN(2)/2))/(LN(2)/2)*V27*Y27*VLOOKUP('Données projet'!$B$9,Paramètres!$A$1:$I$89,3,0)*0.475*44/12</f>
        <v>0</v>
      </c>
      <c r="AC27" s="24">
        <f t="shared" si="3"/>
        <v>26.513432662640788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6.4</v>
      </c>
      <c r="AI27" s="14">
        <f>IF('Données projet'!$A$62&gt;35,AI26+AH27-AQ26,IF(A27&lt;'Données projet'!$A$62,$AF$205^A27,IF(A27='Données projet'!$A$62,'Données projet'!$B$62,AI26+AH27-AQ26)))</f>
        <v>91.600000000000023</v>
      </c>
      <c r="AJ27" s="14">
        <f>AI27*VLOOKUP('Données projet'!$B$10,Paramètres!$A$1:$I$89,3,0)*VLOOKUP('Données projet'!$B$10,Paramètres!$A$1:$I$89,5,0)</f>
        <v>60.016320000000015</v>
      </c>
      <c r="AK27" s="14">
        <f t="shared" si="35"/>
        <v>17.172395155224251</v>
      </c>
      <c r="AL27" s="22">
        <f t="shared" si="4"/>
        <v>134.43701222868222</v>
      </c>
      <c r="AM27" s="62">
        <f t="shared" si="5"/>
        <v>420.43701222868219</v>
      </c>
      <c r="AN27" s="62">
        <f ca="1">AVERAGE(OFFSET($AM$3,0,0,'Données projet'!$E$10+1,1))-AVERAGE(OFFSET($H$3,0,0,'Données projet'!$E$10+1,1))</f>
        <v>210.08998695869161</v>
      </c>
      <c r="AO27" s="62">
        <f t="shared" si="36"/>
        <v>207.30911916430881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1.4777394161480544</v>
      </c>
      <c r="AX27" s="23">
        <f t="shared" si="6"/>
        <v>1.4777394161480544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95.800000000000011</v>
      </c>
      <c r="BE27" s="14">
        <f>BD27*VLOOKUP('Données projet'!$B$11,Paramètres!$A$1:$I$89,3,0)*VLOOKUP('Données projet'!$B$11,Paramètres!$A$1:$I$89,5,0)</f>
        <v>64.262640000000005</v>
      </c>
      <c r="BF27" s="14">
        <f t="shared" si="37"/>
        <v>18.24165556222081</v>
      </c>
      <c r="BG27" s="22">
        <f t="shared" si="7"/>
        <v>143.69498143753458</v>
      </c>
      <c r="BH27" s="62">
        <f t="shared" si="8"/>
        <v>429.69498143753458</v>
      </c>
      <c r="BI27" s="62">
        <f ca="1">AVERAGE(OFFSET($BH$3,0,0,'Données projet'!$E$11+1,1))-AVERAGE(OFFSET($H$3,0,0,'Données projet'!$E$11+1,1))</f>
        <v>335.83558218229564</v>
      </c>
      <c r="BJ27" s="62">
        <f t="shared" si="38"/>
        <v>217.08423061559648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0.94937678147594173</v>
      </c>
      <c r="BS27" s="24">
        <f t="shared" si="9"/>
        <v>0.94937678147594173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10.6</v>
      </c>
      <c r="BY27" s="13">
        <f>IF('Données projet'!$A$114&gt;35,BY26+BX27-CG26,IF(A27&lt;'Données projet'!$A$114,$BV$205^A27,IF(A27='Données projet'!$A$114,'Données projet'!$B$114,BY26+BX27-CG26)))</f>
        <v>102.39999999999996</v>
      </c>
      <c r="BZ27" s="14">
        <f>BY27*VLOOKUP('Données projet'!$B$12,Paramètres!$A$1:$I$89,3,0)*VLOOKUP('Données projet'!$B$12,Paramètres!$A$1:$I$89,5,0)</f>
        <v>79.871999999999971</v>
      </c>
      <c r="CA27" s="14">
        <f t="shared" si="39"/>
        <v>22.105884547145401</v>
      </c>
      <c r="CB27" s="22">
        <f t="shared" si="10"/>
        <v>177.61148225294485</v>
      </c>
      <c r="CC27" s="62">
        <f t="shared" si="11"/>
        <v>463.61148225294482</v>
      </c>
      <c r="CD27" s="62">
        <f ca="1">AVERAGE(OFFSET($CC$3,0,0,'Données projet'!$E$12+1,1))-AVERAGE(OFFSET($H$3,0,0,'Données projet'!$E$12+1,1))</f>
        <v>288.82868507674738</v>
      </c>
      <c r="CE27" s="62">
        <f t="shared" si="40"/>
        <v>283.48738729114024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1.6527304001965979</v>
      </c>
      <c r="CM27" s="23">
        <f>EXP(-LN(2)/2)*CM26+(1-EXP(-LN(2)/2))/(LN(2)/2)*CG27*CJ27*VLOOKUP('Données projet'!$B$12,Paramètres!$A$1:$I$89,3,0)*0.475*44/12</f>
        <v>3.7773292053451293</v>
      </c>
      <c r="CN27" s="24">
        <f t="shared" si="12"/>
        <v>5.430059605541727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14.8</v>
      </c>
      <c r="CT27" s="13">
        <f>IF('Données projet'!$A$140&gt;35,CT26+CS27-DB26,IF(A27&lt;'Données projet'!$A$140,$CQ$205^A27,IF(A27='Données projet'!$A$140,'Données projet'!$B$140,CT26+CS27-DB26)))</f>
        <v>125.19999999999997</v>
      </c>
      <c r="CU27" s="18">
        <f>CT27*VLOOKUP('Données projet'!$B$13,Paramètres!$A$1:$I$89,3,0)*VLOOKUP('Données projet'!$B$13,Paramètres!$A$1:$I$89,5,0)</f>
        <v>109.37472</v>
      </c>
      <c r="CV27" s="14">
        <f t="shared" si="41"/>
        <v>29.183614885996381</v>
      </c>
      <c r="CW27" s="22">
        <f t="shared" si="13"/>
        <v>241.32243325977697</v>
      </c>
      <c r="CX27" s="62">
        <f t="shared" si="14"/>
        <v>527.32243325977697</v>
      </c>
      <c r="CY27" s="62">
        <f ca="1">AVERAGE(OFFSET($CX$3,0,0,'Données projet'!$E$13+1,1))-AVERAGE(OFFSET($H$3,0,0,'Données projet'!$E$13+1,1))</f>
        <v>383.46266660377637</v>
      </c>
      <c r="CZ27" s="62">
        <f t="shared" si="42"/>
        <v>373.1287543230714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3.1941513297194901</v>
      </c>
      <c r="DH27" s="23">
        <f>EXP(-LN(2)/2)*DH26+(1-EXP(-LN(2)/2))/(LN(2)/2)*DB27*DE27*VLOOKUP('Données projet'!$B$13,Paramètres!$A$1:$I$89,3,0)*0.475*44/12</f>
        <v>6.9355426894237429</v>
      </c>
      <c r="DI27" s="24">
        <f t="shared" si="15"/>
        <v>10.129694019143233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>
        <f>DO27*VLOOKUP('Données projet'!$B$14,Paramètres!$A$1:$I$89,3,0)*VLOOKUP('Données projet'!$B$14,Paramètres!$A$1:$I$89,5,0)</f>
        <v>0</v>
      </c>
      <c r="DQ27" s="14" t="e">
        <f t="shared" si="43"/>
        <v>#NUM!</v>
      </c>
      <c r="DR27" s="22" t="e">
        <f t="shared" si="16"/>
        <v>#NUM!</v>
      </c>
      <c r="DS27" s="62" t="e">
        <f t="shared" si="17"/>
        <v>#NUM!</v>
      </c>
      <c r="DT27" s="62">
        <f ca="1">AVERAGE(OFFSET($DS$3,0,0,'Données projet'!$E$14+1,1))-AVERAGE(OFFSET($H$3,0,0,'Données projet'!$E$14+1,1))</f>
        <v>96.56611521638132</v>
      </c>
      <c r="DU27" s="62">
        <f t="shared" si="44"/>
        <v>465.03257878814094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92.815845404022255</v>
      </c>
      <c r="EB27" s="23">
        <f>EXP(-LN(2)/25)*EB26+(1-EXP(-LN(2)/25))/(LN(2)/25)*Calculateur!DW27*Calculateur!DY27*VLOOKUP('Données projet'!$B$14,Paramètres!$A$1:$I$89,3,0)*0.475*44/12</f>
        <v>21.69332050979477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114.50916591381703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14.8</v>
      </c>
      <c r="EJ27" s="13">
        <f>IF('Données projet'!$A$192&gt;35,EJ26+EI27-ER26,IF(A27&lt;'Données projet'!$A$192,$EG$205^A27,IF(A27='Données projet'!$A$192,'Données projet'!$B$192,EJ26+EI27-ER26)))</f>
        <v>125.19999999999997</v>
      </c>
      <c r="EK27" s="18">
        <f>EJ27*VLOOKUP('Données projet'!$B$15,Paramètres!$A$1:$I$89,3,0)*VLOOKUP('Données projet'!$B$15,Paramètres!$A$1:$I$89,5,0)</f>
        <v>101.56223999999997</v>
      </c>
      <c r="EL27" s="14">
        <f t="shared" si="45"/>
        <v>27.333843239980062</v>
      </c>
      <c r="EM27" s="22">
        <f t="shared" si="19"/>
        <v>224.49401164296523</v>
      </c>
      <c r="EN27" s="62">
        <f t="shared" si="20"/>
        <v>510.49401164296523</v>
      </c>
      <c r="EO27" s="62">
        <f ca="1">AVERAGE(OFFSET($EN$3,0,0,'Données projet'!$E$15+1,1))-AVERAGE(OFFSET($H$3,0,0,'Données projet'!$E$15+1,1))</f>
        <v>358.75637627589799</v>
      </c>
      <c r="EP27" s="62">
        <f t="shared" si="46"/>
        <v>349.64821164483607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2.9659976633109544</v>
      </c>
      <c r="EX27" s="23">
        <f>EXP(-LN(2)/2)*EX26+(1-EXP(-LN(2)/2))/(LN(2)/2)*ER27*EU27*VLOOKUP('Données projet'!$B$15,Paramètres!$A$1:$I$89,3,0)*0.475*44/12</f>
        <v>6.4401467830363321</v>
      </c>
      <c r="EY27" s="24">
        <f t="shared" si="21"/>
        <v>9.4061444463472874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>
        <f>FE27*VLOOKUP('Données projet'!$B$16,Paramètres!$A$1:$I$89,3,0)*VLOOKUP('Données projet'!$B$16,Paramètres!$A$1:$I$89,5,0)</f>
        <v>0</v>
      </c>
      <c r="FG27" s="14" t="e">
        <f t="shared" si="47"/>
        <v>#NUM!</v>
      </c>
      <c r="FH27" s="22" t="e">
        <f t="shared" si="22"/>
        <v>#NUM!</v>
      </c>
      <c r="FI27" s="62" t="e">
        <f t="shared" si="23"/>
        <v>#NUM!</v>
      </c>
      <c r="FJ27" s="62">
        <f ca="1">AVERAGE(OFFSET($FI$3,0,0,'Données projet'!$E$16+1,1))-AVERAGE(OFFSET($H$3,0,0,'Données projet'!$E$16+1,1))</f>
        <v>121.28977654040114</v>
      </c>
      <c r="FK27" s="62">
        <f t="shared" si="48"/>
        <v>615.69585264342595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125.05440235107756</v>
      </c>
      <c r="FR27" s="23">
        <f>EXP(-LN(2)/25)*FR26+(1-EXP(-LN(2)/25))/(LN(2)/25)*Calculateur!FM27*Calculateur!FO27*VLOOKUP('Données projet'!$B$16,Paramètres!$A$1:$I$89,3,0)*0.475*44/12</f>
        <v>29.228255364737485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154.28265771581505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140</v>
      </c>
      <c r="L28" s="13">
        <f>VLOOKUP(A28,'Données projet'!$A$35:$I$55,9,0)</f>
        <v>14.8</v>
      </c>
      <c r="M28" s="13">
        <f t="array" ref="M28">INDEX(L:L,MIN(IF(ISNUMBER(L28:L224),ROW(L28:L224),"")))</f>
        <v>14.8</v>
      </c>
      <c r="N28" s="14">
        <f>IF('Données projet'!$A$36&gt;35,N27+M28-V27,IF(A28&lt;'Données projet'!$A$36,$K$205^A28,IF(A28='Données projet'!$A$36,'Données projet'!$B$36,N27+M28-V27)))</f>
        <v>139.99999999999997</v>
      </c>
      <c r="O28" s="14">
        <f>N28*VLOOKUP('Données projet'!$B$9,Paramètres!$A$1:$I$89,3,0)*VLOOKUP('Données projet'!$B$9,Paramètres!$A$1:$I$89,5,0)</f>
        <v>111.38399999999999</v>
      </c>
      <c r="P28" s="14">
        <f t="shared" si="33"/>
        <v>29.656828101147433</v>
      </c>
      <c r="Q28" s="22">
        <f t="shared" si="2"/>
        <v>245.64610894283177</v>
      </c>
      <c r="R28" s="62">
        <f t="shared" si="0"/>
        <v>532.86833116505397</v>
      </c>
      <c r="S28" s="62">
        <f ca="1">AVERAGE(OFFSET($R$3,0,0,'Données projet'!$E$9+1,1))-AVERAGE(OFFSET($H$3,0,0,'Données projet'!$E$9+1,1))</f>
        <v>352.5736659365665</v>
      </c>
      <c r="T28" s="62">
        <f t="shared" si="34"/>
        <v>343.77208530767069</v>
      </c>
      <c r="U28" s="16">
        <f>IF(ISNA(VLOOKUP(A28,'Données projet'!$A$35:$I$55,3,0)),0,VLOOKUP(A28,'Données projet'!$A$35:$I$55,3,0))</f>
        <v>4</v>
      </c>
      <c r="V28" s="16">
        <f>IF(ISNA(VLOOKUP(A28,'Données projet'!$A$35:$I$55,4,0)),0,VLOOKUP(A28,'Données projet'!$A$35:$I$55,4,0))</f>
        <v>35</v>
      </c>
      <c r="W28" s="17">
        <f>IF(ISNA(VLOOKUP(A28,'Données projet'!$A$35:$I$55,5,0)),0%,VLOOKUP(A28,'Données projet'!$A$35:$I$55,5,0)*VLOOKUP('Données projet'!$B$9,Paramètres!$A$1:$I$89,7,0))</f>
        <v>0.21200000000000002</v>
      </c>
      <c r="X28" s="17">
        <f>IF(ISNA(VLOOKUP(A28,'Données projet'!$A$35:$I$55,6,0)),0%,VLOOKUP(A28,'Données projet'!$A$35:$I$55,6,0)*VLOOKUP('Données projet'!$B$9,Paramètres!$A$1:$I$89,7,0))</f>
        <v>0.318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14.884026974708789</v>
      </c>
      <c r="AA28" s="23">
        <f>EXP(-LN(2)/25)*AA27+(1-EXP(-LN(2)/25))/(LN(2)/25)*Calculateur!V28*Calculateur!X28*VLOOKUP('Données projet'!$B$9,Paramètres!$A$1:$I$89,3,0)*0.475*44/12</f>
        <v>27.246751737355439</v>
      </c>
      <c r="AB28" s="23">
        <f>EXP(-LN(2)/2)*AB27+(1-EXP(-LN(2)/2))/(LN(2)/2)*V28*Y28*VLOOKUP('Données projet'!$B$9,Paramètres!$A$1:$I$89,3,0)*0.475*44/12</f>
        <v>0</v>
      </c>
      <c r="AC28" s="24">
        <f t="shared" si="3"/>
        <v>42.130778712064227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98</v>
      </c>
      <c r="AG28" s="13">
        <f>VLOOKUP(A28,'Données projet'!$A$61:$I$81,9,0)</f>
        <v>6.4</v>
      </c>
      <c r="AH28" s="13">
        <f t="array" ref="AH28">INDEX(AG:AG,MIN(IF(ISNUMBER(AG28:AG224),ROW(AG28:AG224),"")))</f>
        <v>6.4</v>
      </c>
      <c r="AI28" s="14">
        <f>IF('Données projet'!$A$62&gt;35,AI27+AH28-AQ27,IF(A28&lt;'Données projet'!$A$62,$AF$205^A28,IF(A28='Données projet'!$A$62,'Données projet'!$B$62,AI27+AH28-AQ27)))</f>
        <v>98.000000000000028</v>
      </c>
      <c r="AJ28" s="14">
        <f>AI28*VLOOKUP('Données projet'!$B$10,Paramètres!$A$1:$I$89,3,0)*VLOOKUP('Données projet'!$B$10,Paramètres!$A$1:$I$89,5,0)</f>
        <v>64.209600000000023</v>
      </c>
      <c r="AK28" s="14">
        <f t="shared" si="35"/>
        <v>18.228351453708495</v>
      </c>
      <c r="AL28" s="22">
        <f t="shared" si="4"/>
        <v>143.57943211520902</v>
      </c>
      <c r="AM28" s="62">
        <f t="shared" si="5"/>
        <v>430.80165433743127</v>
      </c>
      <c r="AN28" s="62">
        <f ca="1">AVERAGE(OFFSET($AM$3,0,0,'Données projet'!$E$10+1,1))-AVERAGE(OFFSET($H$3,0,0,'Données projet'!$E$10+1,1))</f>
        <v>210.08998695869161</v>
      </c>
      <c r="AO28" s="62">
        <f t="shared" si="36"/>
        <v>207.30911916430881</v>
      </c>
      <c r="AP28" s="16">
        <f>IF(ISNA(VLOOKUP(A28,'Données projet'!$A$61:$I$81,3,0)),0,VLOOKUP(A28,'Données projet'!$A$61:$I$81,3,0))</f>
        <v>4</v>
      </c>
      <c r="AQ28" s="16">
        <f>IF(ISNA(VLOOKUP(A28,'Données projet'!$A$61:$I$81,4,0)),0,VLOOKUP(A28,'Données projet'!$A$61:$I$81,4,0))</f>
        <v>18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1.0449195619849387</v>
      </c>
      <c r="AX28" s="23">
        <f t="shared" si="6"/>
        <v>1.0449195619849387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103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103.00000000000001</v>
      </c>
      <c r="BE28" s="14">
        <f>BD28*VLOOKUP('Données projet'!$B$11,Paramètres!$A$1:$I$89,3,0)*VLOOKUP('Données projet'!$B$11,Paramètres!$A$1:$I$89,5,0)</f>
        <v>69.092400000000012</v>
      </c>
      <c r="BF28" s="14">
        <f t="shared" si="37"/>
        <v>19.447897597608421</v>
      </c>
      <c r="BG28" s="22">
        <f t="shared" si="7"/>
        <v>154.20768498250132</v>
      </c>
      <c r="BH28" s="62">
        <f t="shared" si="8"/>
        <v>441.42990720472358</v>
      </c>
      <c r="BI28" s="62">
        <f ca="1">AVERAGE(OFFSET($BH$3,0,0,'Données projet'!$E$11+1,1))-AVERAGE(OFFSET($H$3,0,0,'Données projet'!$E$11+1,1))</f>
        <v>335.83558218229564</v>
      </c>
      <c r="BJ28" s="62">
        <f t="shared" si="38"/>
        <v>217.08423061559648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1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18.393010680966942</v>
      </c>
      <c r="BS28" s="24">
        <f t="shared" si="9"/>
        <v>18.393010680966942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113</v>
      </c>
      <c r="BW28" s="13">
        <f>VLOOKUP(A28,'Données projet'!$A$113:$I$133,9,0)</f>
        <v>10.6</v>
      </c>
      <c r="BX28" s="13">
        <f t="array" ref="BX28">INDEX(BW:BW,MIN(IF(ISNUMBER(BW28:BW224),ROW(BW28:BW224),"")))</f>
        <v>10.6</v>
      </c>
      <c r="BY28" s="13">
        <f>IF('Données projet'!$A$114&gt;35,BY27+BX28-CG27,IF(A28&lt;'Données projet'!$A$114,$BV$205^A28,IF(A28='Données projet'!$A$114,'Données projet'!$B$114,BY27+BX28-CG27)))</f>
        <v>112.99999999999996</v>
      </c>
      <c r="BZ28" s="14">
        <f>BY28*VLOOKUP('Données projet'!$B$12,Paramètres!$A$1:$I$89,3,0)*VLOOKUP('Données projet'!$B$12,Paramètres!$A$1:$I$89,5,0)</f>
        <v>88.139999999999972</v>
      </c>
      <c r="CA28" s="14">
        <f t="shared" si="39"/>
        <v>24.116094026318823</v>
      </c>
      <c r="CB28" s="22">
        <f t="shared" si="10"/>
        <v>195.51269709583855</v>
      </c>
      <c r="CC28" s="62">
        <f t="shared" si="11"/>
        <v>482.73491931806075</v>
      </c>
      <c r="CD28" s="62">
        <f ca="1">AVERAGE(OFFSET($CC$3,0,0,'Données projet'!$E$12+1,1))-AVERAGE(OFFSET($H$3,0,0,'Données projet'!$E$12+1,1))</f>
        <v>288.82868507674738</v>
      </c>
      <c r="CE28" s="62">
        <f t="shared" si="40"/>
        <v>283.48738729114024</v>
      </c>
      <c r="CF28" s="16">
        <f>IF(ISNA(VLOOKUP(A28,'Données projet'!$A$113:$I$133,3,0)),0,VLOOKUP(A28,'Données projet'!$A$113:$I$133,3,0))</f>
        <v>3</v>
      </c>
      <c r="CG28" s="16">
        <f>IF(ISNA(VLOOKUP(A28,'Données projet'!$A$113:$I$133,4,0)),0,VLOOKUP(A28,'Données projet'!$A$113:$I$133,4,0))</f>
        <v>27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0.17200000000000001</v>
      </c>
      <c r="CJ28" s="17">
        <f>IF(ISNA(VLOOKUP(A28,'Données projet'!$A$113:$I$133,7,0)),0%,VLOOKUP(A28,'Données projet'!$A$113:$I$133,7,0))</f>
        <v>0.6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5.5961371451856277</v>
      </c>
      <c r="CM28" s="23">
        <f>EXP(-LN(2)/2)*CM27+(1-EXP(-LN(2)/2))/(LN(2)/2)*CG28*CJ28*VLOOKUP('Données projet'!$B$12,Paramètres!$A$1:$I$89,3,0)*0.475*44/12</f>
        <v>14.59338118882722</v>
      </c>
      <c r="CN28" s="24">
        <f t="shared" si="12"/>
        <v>20.189518334012845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140</v>
      </c>
      <c r="CR28" s="13">
        <f>VLOOKUP(A28,'Données projet'!$A$139:$I$159,9,0)</f>
        <v>14.8</v>
      </c>
      <c r="CS28" s="13">
        <f t="array" ref="CS28">INDEX(CR:CR,MIN(IF(ISNUMBER(CR28:CR224),ROW(CR28:CR224),"")))</f>
        <v>14.8</v>
      </c>
      <c r="CT28" s="13">
        <f>IF('Données projet'!$A$140&gt;35,CT27+CS28-DB27,IF(A28&lt;'Données projet'!$A$140,$CQ$205^A28,IF(A28='Données projet'!$A$140,'Données projet'!$B$140,CT27+CS28-DB27)))</f>
        <v>139.99999999999997</v>
      </c>
      <c r="CU28" s="18">
        <f>CT28*VLOOKUP('Données projet'!$B$13,Paramètres!$A$1:$I$89,3,0)*VLOOKUP('Données projet'!$B$13,Paramètres!$A$1:$I$89,5,0)</f>
        <v>122.30399999999999</v>
      </c>
      <c r="CV28" s="14">
        <f t="shared" si="41"/>
        <v>32.211773226559373</v>
      </c>
      <c r="CW28" s="22">
        <f t="shared" si="13"/>
        <v>269.11497170292421</v>
      </c>
      <c r="CX28" s="62">
        <f t="shared" si="14"/>
        <v>556.33719392514649</v>
      </c>
      <c r="CY28" s="62">
        <f ca="1">AVERAGE(OFFSET($CX$3,0,0,'Données projet'!$E$13+1,1))-AVERAGE(OFFSET($H$3,0,0,'Données projet'!$E$13+1,1))</f>
        <v>383.46266660377637</v>
      </c>
      <c r="CZ28" s="62">
        <f t="shared" si="42"/>
        <v>373.1287543230714</v>
      </c>
      <c r="DA28" s="16">
        <f>IF(ISNA(VLOOKUP(A28,'Données projet'!$A$139:$I$159,3,0)),0,VLOOKUP(A28,'Données projet'!$A$139:$I$159,3,0))</f>
        <v>4</v>
      </c>
      <c r="DB28" s="16">
        <f>IF(ISNA(VLOOKUP(A28,'Données projet'!$A$139:$I$159,4,0)),0,VLOOKUP(A28,'Données projet'!$A$139:$I$159,4,0))</f>
        <v>35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0.21200000000000002</v>
      </c>
      <c r="DE28" s="17">
        <f>IF(ISNA(VLOOKUP(A28,'Données projet'!$A$139:$I$159,7,0)),0%,VLOOKUP(A28,'Données projet'!$A$139:$I$159,7,0))</f>
        <v>0.6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10.244375489138923</v>
      </c>
      <c r="DH28" s="23">
        <f>EXP(-LN(2)/2)*DH27+(1-EXP(-LN(2)/2))/(LN(2)/2)*DB28*DE28*VLOOKUP('Données projet'!$B$13,Paramètres!$A$1:$I$89,3,0)*0.475*44/12</f>
        <v>22.213736631484927</v>
      </c>
      <c r="DI28" s="24">
        <f t="shared" si="15"/>
        <v>32.458112120623852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>
        <f>DO28*VLOOKUP('Données projet'!$B$14,Paramètres!$A$1:$I$89,3,0)*VLOOKUP('Données projet'!$B$14,Paramètres!$A$1:$I$89,5,0)</f>
        <v>0</v>
      </c>
      <c r="DQ28" s="14" t="e">
        <f t="shared" si="43"/>
        <v>#NUM!</v>
      </c>
      <c r="DR28" s="22" t="e">
        <f t="shared" si="16"/>
        <v>#NUM!</v>
      </c>
      <c r="DS28" s="62" t="e">
        <f t="shared" si="17"/>
        <v>#NUM!</v>
      </c>
      <c r="DT28" s="62">
        <f ca="1">AVERAGE(OFFSET($DS$3,0,0,'Données projet'!$E$14+1,1))-AVERAGE(OFFSET($H$3,0,0,'Données projet'!$E$14+1,1))</f>
        <v>96.56611521638132</v>
      </c>
      <c r="DU28" s="62">
        <f t="shared" si="44"/>
        <v>465.03257878814094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90.995783287725104</v>
      </c>
      <c r="EB28" s="23">
        <f>EXP(-LN(2)/25)*EB27+(1-EXP(-LN(2)/25))/(LN(2)/25)*Calculateur!DW28*Calculateur!DY28*VLOOKUP('Données projet'!$B$14,Paramètres!$A$1:$I$89,3,0)*0.475*44/12</f>
        <v>21.100115519652288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112.0958988073774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140</v>
      </c>
      <c r="EH28" s="13">
        <f>VLOOKUP(A28,'Données projet'!$A$191:$I$211,9,0)</f>
        <v>14.8</v>
      </c>
      <c r="EI28" s="13">
        <f t="array" ref="EI28">INDEX(EH:EH,MIN(IF(ISNUMBER(EH28:EH224),ROW(EH28:EH224),"")))</f>
        <v>14.8</v>
      </c>
      <c r="EJ28" s="13">
        <f>IF('Données projet'!$A$192&gt;35,EJ27+EI28-ER27,IF(A28&lt;'Données projet'!$A$192,$EG$205^A28,IF(A28='Données projet'!$A$192,'Données projet'!$B$192,EJ27+EI28-ER27)))</f>
        <v>139.99999999999997</v>
      </c>
      <c r="EK28" s="18">
        <f>EJ28*VLOOKUP('Données projet'!$B$15,Paramètres!$A$1:$I$89,3,0)*VLOOKUP('Données projet'!$B$15,Paramètres!$A$1:$I$89,5,0)</f>
        <v>113.56799999999998</v>
      </c>
      <c r="EL28" s="14">
        <f t="shared" si="45"/>
        <v>30.17006506205821</v>
      </c>
      <c r="EM28" s="22">
        <f t="shared" si="19"/>
        <v>250.34379664975131</v>
      </c>
      <c r="EN28" s="62">
        <f t="shared" si="20"/>
        <v>537.56601887197348</v>
      </c>
      <c r="EO28" s="62">
        <f ca="1">AVERAGE(OFFSET($EN$3,0,0,'Données projet'!$E$15+1,1))-AVERAGE(OFFSET($H$3,0,0,'Données projet'!$E$15+1,1))</f>
        <v>358.75637627589799</v>
      </c>
      <c r="EP28" s="62">
        <f t="shared" si="46"/>
        <v>349.64821164483607</v>
      </c>
      <c r="EQ28" s="16">
        <f>IF(ISNA(VLOOKUP(A28,'Données projet'!$A$191:$I$211,3,0)),0,VLOOKUP(A28,'Données projet'!$A$191:$I$211,3,0))</f>
        <v>4</v>
      </c>
      <c r="ER28" s="16">
        <f>IF(ISNA(VLOOKUP(A28,'Données projet'!$A$191:$I$211,4,0)),0,VLOOKUP(A28,'Données projet'!$A$191:$I$211,4,0))</f>
        <v>35</v>
      </c>
      <c r="ES28" s="17">
        <f>IF(ISNA(VLOOKUP(A28,'Données projet'!$A$191:$I$211,5,0)),0%,VLOOKUP(A28,'Données projet'!$A$191:$I$211,5,0)*VLOOKUP('Données projet'!$B$15,Paramètres!$A$1:$I$89,7,0))</f>
        <v>0.10600000000000001</v>
      </c>
      <c r="ET28" s="17">
        <f>IF(ISNA(VLOOKUP(A28,'Données projet'!$A$191:$I$211,6,0)),0%,VLOOKUP(A28,'Données projet'!$A$191:$I$211,6,0)*VLOOKUP('Données projet'!$B$15,Paramètres!$A$1:$I$89,7,0))</f>
        <v>0.10600000000000001</v>
      </c>
      <c r="EU28" s="17">
        <f>IF(ISNA(VLOOKUP(A28,'Données projet'!$A$191:$I$211,7,0)),0%,VLOOKUP(A28,'Données projet'!$A$191:$I$211,7,0))</f>
        <v>0.6</v>
      </c>
      <c r="EV28" s="23">
        <f>EXP(-LN(2)/35)*EV27+(1-EXP(-LN(2)/35))/(LN(2)/35)*ER28*ES28*VLOOKUP('Données projet'!$B$15,Paramètres!$A$1:$I$89,3,0)*0.475*44/12</f>
        <v>3.3269705916641499</v>
      </c>
      <c r="EW28" s="23">
        <f>EXP(-LN(2)/25)*EW27+(1-EXP(-LN(2)/25))/(LN(2)/25)*Calculateur!ER28*Calculateur!ET28*VLOOKUP('Données projet'!$B$15,Paramètres!$A$1:$I$89,3,0)*0.475*44/12</f>
        <v>6.1987633420022661</v>
      </c>
      <c r="EX28" s="23">
        <f>EXP(-LN(2)/2)*EX27+(1-EXP(-LN(2)/2))/(LN(2)/2)*ER28*EU28*VLOOKUP('Données projet'!$B$15,Paramètres!$A$1:$I$89,3,0)*0.475*44/12</f>
        <v>20.62704115780743</v>
      </c>
      <c r="EY28" s="24">
        <f t="shared" si="21"/>
        <v>30.152775091473845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>
        <f>FE28*VLOOKUP('Données projet'!$B$16,Paramètres!$A$1:$I$89,3,0)*VLOOKUP('Données projet'!$B$16,Paramètres!$A$1:$I$89,5,0)</f>
        <v>0</v>
      </c>
      <c r="FG28" s="14" t="e">
        <f t="shared" si="47"/>
        <v>#NUM!</v>
      </c>
      <c r="FH28" s="22" t="e">
        <f t="shared" si="22"/>
        <v>#NUM!</v>
      </c>
      <c r="FI28" s="62" t="e">
        <f t="shared" si="23"/>
        <v>#NUM!</v>
      </c>
      <c r="FJ28" s="62">
        <f ca="1">AVERAGE(OFFSET($FI$3,0,0,'Données projet'!$E$16+1,1))-AVERAGE(OFFSET($H$3,0,0,'Données projet'!$E$16+1,1))</f>
        <v>121.28977654040114</v>
      </c>
      <c r="FK28" s="62">
        <f t="shared" si="48"/>
        <v>615.69585264342595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122.60216179662676</v>
      </c>
      <c r="FR28" s="23">
        <f>EXP(-LN(2)/25)*FR27+(1-EXP(-LN(2)/25))/(LN(2)/25)*Calculateur!FM28*Calculateur!FO28*VLOOKUP('Données projet'!$B$16,Paramètres!$A$1:$I$89,3,0)*0.475*44/12</f>
        <v>28.429007184741593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151.03116898136835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14.2</v>
      </c>
      <c r="N29" s="14">
        <f>IF('Données projet'!$A$36&gt;35,N28+M29-V28,IF(A29&lt;'Données projet'!$A$36,$K$205^A29,IF(A29='Données projet'!$A$36,'Données projet'!$B$36,N28+M29-V28)))</f>
        <v>119.19999999999996</v>
      </c>
      <c r="O29" s="14">
        <f>N29*VLOOKUP('Données projet'!$B$9,Paramètres!$A$1:$I$89,3,0)*VLOOKUP('Données projet'!$B$9,Paramètres!$A$1:$I$89,5,0)</f>
        <v>94.835519999999974</v>
      </c>
      <c r="P29" s="14">
        <f t="shared" si="33"/>
        <v>25.727860178949104</v>
      </c>
      <c r="Q29" s="22">
        <f t="shared" si="2"/>
        <v>209.98122047833627</v>
      </c>
      <c r="R29" s="62">
        <f t="shared" si="0"/>
        <v>498.4256649227807</v>
      </c>
      <c r="S29" s="62">
        <f ca="1">AVERAGE(OFFSET($R$3,0,0,'Données projet'!$E$9+1,1))-AVERAGE(OFFSET($H$3,0,0,'Données projet'!$E$9+1,1))</f>
        <v>352.5736659365665</v>
      </c>
      <c r="T29" s="62">
        <f t="shared" si="34"/>
        <v>343.77208530767069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14.59216028409479</v>
      </c>
      <c r="AA29" s="23">
        <f>EXP(-LN(2)/25)*AA28+(1-EXP(-LN(2)/25))/(LN(2)/25)*Calculateur!V29*Calculateur!X29*VLOOKUP('Données projet'!$B$9,Paramètres!$A$1:$I$89,3,0)*0.475*44/12</f>
        <v>26.501687878253055</v>
      </c>
      <c r="AB29" s="23">
        <f>EXP(-LN(2)/2)*AB28+(1-EXP(-LN(2)/2))/(LN(2)/2)*V29*Y29*VLOOKUP('Données projet'!$B$9,Paramètres!$A$1:$I$89,3,0)*0.475*44/12</f>
        <v>0</v>
      </c>
      <c r="AC29" s="24">
        <f t="shared" si="3"/>
        <v>41.093848162347847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7.4</v>
      </c>
      <c r="AI29" s="14">
        <f>IF('Données projet'!$A$62&gt;35,AI28+AH29-AQ28,IF(A29&lt;'Données projet'!$A$62,$AF$205^A29,IF(A29='Données projet'!$A$62,'Données projet'!$B$62,AI28+AH29-AQ28)))</f>
        <v>87.400000000000034</v>
      </c>
      <c r="AJ29" s="14">
        <f>AI29*VLOOKUP('Données projet'!$B$10,Paramètres!$A$1:$I$89,3,0)*VLOOKUP('Données projet'!$B$10,Paramètres!$A$1:$I$89,5,0)</f>
        <v>57.26448000000002</v>
      </c>
      <c r="AK29" s="14">
        <f t="shared" si="35"/>
        <v>16.474776623807379</v>
      </c>
      <c r="AL29" s="22">
        <f t="shared" si="4"/>
        <v>128.42920528646454</v>
      </c>
      <c r="AM29" s="62">
        <f t="shared" si="5"/>
        <v>416.87364973090899</v>
      </c>
      <c r="AN29" s="62">
        <f ca="1">AVERAGE(OFFSET($AM$3,0,0,'Données projet'!$E$10+1,1))-AVERAGE(OFFSET($H$3,0,0,'Données projet'!$E$10+1,1))</f>
        <v>210.08998695869161</v>
      </c>
      <c r="AO29" s="62">
        <f t="shared" si="36"/>
        <v>207.30911916430881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0.73886970807402719</v>
      </c>
      <c r="AX29" s="23">
        <f t="shared" si="6"/>
        <v>0.73886970807402719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56.481360000000016</v>
      </c>
      <c r="BF29" s="14">
        <f t="shared" si="37"/>
        <v>16.275541671524874</v>
      </c>
      <c r="BG29" s="22">
        <f t="shared" si="7"/>
        <v>126.71827041123917</v>
      </c>
      <c r="BH29" s="62">
        <f t="shared" si="8"/>
        <v>415.16271485568365</v>
      </c>
      <c r="BI29" s="62">
        <f ca="1">AVERAGE(OFFSET($BH$3,0,0,'Données projet'!$E$11+1,1))-AVERAGE(OFFSET($H$3,0,0,'Données projet'!$E$11+1,1))</f>
        <v>335.83558218229564</v>
      </c>
      <c r="BJ29" s="62">
        <f t="shared" si="38"/>
        <v>217.08423061559648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13.005822578948324</v>
      </c>
      <c r="BS29" s="24">
        <f t="shared" si="9"/>
        <v>13.005822578948324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11.5</v>
      </c>
      <c r="BY29" s="13">
        <f>IF('Données projet'!$A$114&gt;35,BY28+BX29-CG28,IF(A29&lt;'Données projet'!$A$114,$BV$205^A29,IF(A29='Données projet'!$A$114,'Données projet'!$B$114,BY28+BX29-CG28)))</f>
        <v>97.499999999999957</v>
      </c>
      <c r="BZ29" s="14">
        <f>BY29*VLOOKUP('Données projet'!$B$12,Paramètres!$A$1:$I$89,3,0)*VLOOKUP('Données projet'!$B$12,Paramètres!$A$1:$I$89,5,0)</f>
        <v>76.049999999999969</v>
      </c>
      <c r="CA29" s="14">
        <f t="shared" si="39"/>
        <v>21.168560890749262</v>
      </c>
      <c r="CB29" s="22">
        <f t="shared" si="10"/>
        <v>169.32232688472158</v>
      </c>
      <c r="CC29" s="62">
        <f t="shared" si="11"/>
        <v>457.76677132916603</v>
      </c>
      <c r="CD29" s="62">
        <f ca="1">AVERAGE(OFFSET($CC$3,0,0,'Données projet'!$E$12+1,1))-AVERAGE(OFFSET($H$3,0,0,'Données projet'!$E$12+1,1))</f>
        <v>288.82868507674738</v>
      </c>
      <c r="CE29" s="62">
        <f t="shared" si="40"/>
        <v>283.48738729114024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5.4431104806624644</v>
      </c>
      <c r="CM29" s="23">
        <f>EXP(-LN(2)/2)*CM28+(1-EXP(-LN(2)/2))/(LN(2)/2)*CG29*CJ29*VLOOKUP('Données projet'!$B$12,Paramètres!$A$1:$I$89,3,0)*0.475*44/12</f>
        <v>10.319078799059929</v>
      </c>
      <c r="CN29" s="24">
        <f t="shared" si="12"/>
        <v>15.762189279722392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14.2</v>
      </c>
      <c r="CT29" s="13">
        <f>IF('Données projet'!$A$140&gt;35,CT28+CS29-DB28,IF(A29&lt;'Données projet'!$A$140,$CQ$205^A29,IF(A29='Données projet'!$A$140,'Données projet'!$B$140,CT28+CS29-DB28)))</f>
        <v>119.19999999999996</v>
      </c>
      <c r="CU29" s="18">
        <f>CT29*VLOOKUP('Données projet'!$B$13,Paramètres!$A$1:$I$89,3,0)*VLOOKUP('Données projet'!$B$13,Paramètres!$A$1:$I$89,5,0)</f>
        <v>104.13311999999998</v>
      </c>
      <c r="CV29" s="14">
        <f t="shared" si="41"/>
        <v>27.944323474595436</v>
      </c>
      <c r="CW29" s="22">
        <f t="shared" si="13"/>
        <v>230.03488071825367</v>
      </c>
      <c r="CX29" s="62">
        <f t="shared" si="14"/>
        <v>518.47932516269816</v>
      </c>
      <c r="CY29" s="62">
        <f ca="1">AVERAGE(OFFSET($CX$3,0,0,'Données projet'!$E$13+1,1))-AVERAGE(OFFSET($H$3,0,0,'Données projet'!$E$13+1,1))</f>
        <v>383.46266660377637</v>
      </c>
      <c r="CZ29" s="62">
        <f t="shared" si="42"/>
        <v>373.1287543230714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9.9642425026601256</v>
      </c>
      <c r="DH29" s="23">
        <f>EXP(-LN(2)/2)*DH28+(1-EXP(-LN(2)/2))/(LN(2)/2)*DB29*DE29*VLOOKUP('Données projet'!$B$13,Paramètres!$A$1:$I$89,3,0)*0.475*44/12</f>
        <v>15.707483807615009</v>
      </c>
      <c r="DI29" s="24">
        <f t="shared" si="15"/>
        <v>25.671726310275133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>
        <f>DO29*VLOOKUP('Données projet'!$B$14,Paramètres!$A$1:$I$89,3,0)*VLOOKUP('Données projet'!$B$14,Paramètres!$A$1:$I$89,5,0)</f>
        <v>0</v>
      </c>
      <c r="DQ29" s="14" t="e">
        <f t="shared" si="43"/>
        <v>#NUM!</v>
      </c>
      <c r="DR29" s="22" t="e">
        <f t="shared" si="16"/>
        <v>#NUM!</v>
      </c>
      <c r="DS29" s="62" t="e">
        <f t="shared" si="17"/>
        <v>#NUM!</v>
      </c>
      <c r="DT29" s="62">
        <f ca="1">AVERAGE(OFFSET($DS$3,0,0,'Données projet'!$E$14+1,1))-AVERAGE(OFFSET($H$3,0,0,'Données projet'!$E$14+1,1))</f>
        <v>96.56611521638132</v>
      </c>
      <c r="DU29" s="62">
        <f t="shared" si="44"/>
        <v>465.03257878814094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89.211411479400255</v>
      </c>
      <c r="EB29" s="23">
        <f>EXP(-LN(2)/25)*EB28+(1-EXP(-LN(2)/25))/(LN(2)/25)*Calculateur!DW29*Calculateur!DY29*VLOOKUP('Données projet'!$B$14,Paramètres!$A$1:$I$89,3,0)*0.475*44/12</f>
        <v>20.523131751160545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109.7345432305608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14.2</v>
      </c>
      <c r="EJ29" s="13">
        <f>IF('Données projet'!$A$192&gt;35,EJ28+EI29-ER28,IF(A29&lt;'Données projet'!$A$192,$EG$205^A29,IF(A29='Données projet'!$A$192,'Données projet'!$B$192,EJ28+EI29-ER28)))</f>
        <v>119.19999999999996</v>
      </c>
      <c r="EK29" s="18">
        <f>EJ29*VLOOKUP('Données projet'!$B$15,Paramètres!$A$1:$I$89,3,0)*VLOOKUP('Données projet'!$B$15,Paramètres!$A$1:$I$89,5,0)</f>
        <v>96.695039999999977</v>
      </c>
      <c r="EL29" s="14">
        <f t="shared" si="45"/>
        <v>26.173102964993053</v>
      </c>
      <c r="EM29" s="22">
        <f t="shared" si="19"/>
        <v>213.99534899736284</v>
      </c>
      <c r="EN29" s="62">
        <f t="shared" si="20"/>
        <v>502.4397934418073</v>
      </c>
      <c r="EO29" s="62">
        <f ca="1">AVERAGE(OFFSET($EN$3,0,0,'Données projet'!$E$15+1,1))-AVERAGE(OFFSET($H$3,0,0,'Données projet'!$E$15+1,1))</f>
        <v>358.75637627589799</v>
      </c>
      <c r="EP29" s="62">
        <f t="shared" si="46"/>
        <v>349.64821164483607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3.2617307276133047</v>
      </c>
      <c r="EW29" s="23">
        <f>EXP(-LN(2)/25)*EW28+(1-EXP(-LN(2)/25))/(LN(2)/25)*Calculateur!ER29*Calculateur!ET29*VLOOKUP('Données projet'!$B$15,Paramètres!$A$1:$I$89,3,0)*0.475*44/12</f>
        <v>6.029257832436417</v>
      </c>
      <c r="EX29" s="23">
        <f>EXP(-LN(2)/2)*EX28+(1-EXP(-LN(2)/2))/(LN(2)/2)*ER29*EU29*VLOOKUP('Données projet'!$B$15,Paramètres!$A$1:$I$89,3,0)*0.475*44/12</f>
        <v>14.585520678499648</v>
      </c>
      <c r="EY29" s="24">
        <f t="shared" si="21"/>
        <v>23.876509238549371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>
        <f>FE29*VLOOKUP('Données projet'!$B$16,Paramètres!$A$1:$I$89,3,0)*VLOOKUP('Données projet'!$B$16,Paramètres!$A$1:$I$89,5,0)</f>
        <v>0</v>
      </c>
      <c r="FG29" s="14" t="e">
        <f t="shared" si="47"/>
        <v>#NUM!</v>
      </c>
      <c r="FH29" s="22" t="e">
        <f t="shared" si="22"/>
        <v>#NUM!</v>
      </c>
      <c r="FI29" s="62" t="e">
        <f t="shared" si="23"/>
        <v>#NUM!</v>
      </c>
      <c r="FJ29" s="62">
        <f ca="1">AVERAGE(OFFSET($FI$3,0,0,'Données projet'!$E$16+1,1))-AVERAGE(OFFSET($H$3,0,0,'Données projet'!$E$16+1,1))</f>
        <v>121.28977654040114</v>
      </c>
      <c r="FK29" s="62">
        <f t="shared" si="48"/>
        <v>615.69585264342595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120.1980081837297</v>
      </c>
      <c r="FR29" s="23">
        <f>EXP(-LN(2)/25)*FR28+(1-EXP(-LN(2)/25))/(LN(2)/25)*Calculateur!FM29*Calculateur!FO29*VLOOKUP('Données projet'!$B$16,Paramètres!$A$1:$I$89,3,0)*0.475*44/12</f>
        <v>27.651614488258321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147.84962267198802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14.2</v>
      </c>
      <c r="N30" s="14">
        <f>IF('Données projet'!$A$36&gt;35,N29+M30-V29,IF(A30&lt;'Données projet'!$A$36,$K$205^A30,IF(A30='Données projet'!$A$36,'Données projet'!$B$36,N29+M30-V29)))</f>
        <v>133.39999999999995</v>
      </c>
      <c r="O30" s="14">
        <f>N30*VLOOKUP('Données projet'!$B$9,Paramètres!$A$1:$I$89,3,0)*VLOOKUP('Données projet'!$B$9,Paramètres!$A$1:$I$89,5,0)</f>
        <v>106.13303999999997</v>
      </c>
      <c r="P30" s="14">
        <f t="shared" si="33"/>
        <v>28.418009728368016</v>
      </c>
      <c r="Q30" s="22">
        <f t="shared" si="2"/>
        <v>234.34307827690756</v>
      </c>
      <c r="R30" s="62">
        <f t="shared" si="0"/>
        <v>524.00974494357422</v>
      </c>
      <c r="S30" s="62">
        <f ca="1">AVERAGE(OFFSET($R$3,0,0,'Données projet'!$E$9+1,1))-AVERAGE(OFFSET($H$3,0,0,'Données projet'!$E$9+1,1))</f>
        <v>352.5736659365665</v>
      </c>
      <c r="T30" s="62">
        <f t="shared" si="34"/>
        <v>343.77208530767069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14.306016921262628</v>
      </c>
      <c r="AA30" s="23">
        <f>EXP(-LN(2)/25)*AA29+(1-EXP(-LN(2)/25))/(LN(2)/25)*Calculateur!V30*Calculateur!X30*VLOOKUP('Données projet'!$B$9,Paramètres!$A$1:$I$89,3,0)*0.475*44/12</f>
        <v>25.776997829559029</v>
      </c>
      <c r="AB30" s="23">
        <f>EXP(-LN(2)/2)*AB29+(1-EXP(-LN(2)/2))/(LN(2)/2)*V30*Y30*VLOOKUP('Données projet'!$B$9,Paramètres!$A$1:$I$89,3,0)*0.475*44/12</f>
        <v>0</v>
      </c>
      <c r="AC30" s="24">
        <f t="shared" si="3"/>
        <v>40.083014750821661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7.4</v>
      </c>
      <c r="AI30" s="14">
        <f>IF('Données projet'!$A$62&gt;35,AI29+AH30-AQ29,IF(A30&lt;'Données projet'!$A$62,$AF$205^A30,IF(A30='Données projet'!$A$62,'Données projet'!$B$62,AI29+AH30-AQ29)))</f>
        <v>94.80000000000004</v>
      </c>
      <c r="AJ30" s="14">
        <f>AI30*VLOOKUP('Données projet'!$B$10,Paramètres!$A$1:$I$89,3,0)*VLOOKUP('Données projet'!$B$10,Paramètres!$A$1:$I$89,5,0)</f>
        <v>62.112960000000029</v>
      </c>
      <c r="AK30" s="14">
        <f t="shared" si="35"/>
        <v>17.701410754819239</v>
      </c>
      <c r="AL30" s="22">
        <f t="shared" si="4"/>
        <v>139.01002906464356</v>
      </c>
      <c r="AM30" s="62">
        <f t="shared" si="5"/>
        <v>428.67669573131025</v>
      </c>
      <c r="AN30" s="62">
        <f ca="1">AVERAGE(OFFSET($AM$3,0,0,'Données projet'!$E$10+1,1))-AVERAGE(OFFSET($H$3,0,0,'Données projet'!$E$10+1,1))</f>
        <v>210.08998695869161</v>
      </c>
      <c r="AO30" s="62">
        <f t="shared" si="36"/>
        <v>207.30911916430881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0.52245978099246937</v>
      </c>
      <c r="AX30" s="23">
        <f t="shared" si="6"/>
        <v>0.52245978099246937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62.652720000000009</v>
      </c>
      <c r="BF30" s="14">
        <f t="shared" si="37"/>
        <v>17.837261824603328</v>
      </c>
      <c r="BG30" s="22">
        <f t="shared" si="7"/>
        <v>140.18671834451746</v>
      </c>
      <c r="BH30" s="62">
        <f t="shared" si="8"/>
        <v>429.85338501118417</v>
      </c>
      <c r="BI30" s="62">
        <f ca="1">AVERAGE(OFFSET($BH$3,0,0,'Données projet'!$E$11+1,1))-AVERAGE(OFFSET($H$3,0,0,'Données projet'!$E$11+1,1))</f>
        <v>335.83558218229564</v>
      </c>
      <c r="BJ30" s="62">
        <f t="shared" si="38"/>
        <v>217.08423061559648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9.1965053404834727</v>
      </c>
      <c r="BS30" s="24">
        <f t="shared" si="9"/>
        <v>9.1965053404834727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11.5</v>
      </c>
      <c r="BY30" s="13">
        <f>IF('Données projet'!$A$114&gt;35,BY29+BX30-CG29,IF(A30&lt;'Données projet'!$A$114,$BV$205^A30,IF(A30='Données projet'!$A$114,'Données projet'!$B$114,BY29+BX30-CG29)))</f>
        <v>108.99999999999996</v>
      </c>
      <c r="BZ30" s="14">
        <f>BY30*VLOOKUP('Données projet'!$B$12,Paramètres!$A$1:$I$89,3,0)*VLOOKUP('Données projet'!$B$12,Paramètres!$A$1:$I$89,5,0)</f>
        <v>85.019999999999968</v>
      </c>
      <c r="CA30" s="14">
        <f t="shared" si="39"/>
        <v>23.360218970693097</v>
      </c>
      <c r="CB30" s="22">
        <f t="shared" si="10"/>
        <v>188.76221470729038</v>
      </c>
      <c r="CC30" s="62">
        <f t="shared" si="11"/>
        <v>478.4288813739571</v>
      </c>
      <c r="CD30" s="62">
        <f ca="1">AVERAGE(OFFSET($CC$3,0,0,'Données projet'!$E$12+1,1))-AVERAGE(OFFSET($H$3,0,0,'Données projet'!$E$12+1,1))</f>
        <v>288.82868507674738</v>
      </c>
      <c r="CE30" s="62">
        <f t="shared" si="40"/>
        <v>283.48738729114024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5.2942683383280098</v>
      </c>
      <c r="CM30" s="23">
        <f>EXP(-LN(2)/2)*CM29+(1-EXP(-LN(2)/2))/(LN(2)/2)*CG30*CJ30*VLOOKUP('Données projet'!$B$12,Paramètres!$A$1:$I$89,3,0)*0.475*44/12</f>
        <v>7.2966905944136107</v>
      </c>
      <c r="CN30" s="24">
        <f t="shared" si="12"/>
        <v>12.590958932741621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14.2</v>
      </c>
      <c r="CT30" s="13">
        <f>IF('Données projet'!$A$140&gt;35,CT29+CS30-DB29,IF(A30&lt;'Données projet'!$A$140,$CQ$205^A30,IF(A30='Données projet'!$A$140,'Données projet'!$B$140,CT29+CS30-DB29)))</f>
        <v>133.39999999999995</v>
      </c>
      <c r="CU30" s="18">
        <f>CT30*VLOOKUP('Données projet'!$B$13,Paramètres!$A$1:$I$89,3,0)*VLOOKUP('Données projet'!$B$13,Paramètres!$A$1:$I$89,5,0)</f>
        <v>116.53823999999997</v>
      </c>
      <c r="CV30" s="14">
        <f t="shared" si="41"/>
        <v>30.866230258957859</v>
      </c>
      <c r="CW30" s="22">
        <f t="shared" si="13"/>
        <v>256.72945236768493</v>
      </c>
      <c r="CX30" s="62">
        <f t="shared" si="14"/>
        <v>546.39611903435161</v>
      </c>
      <c r="CY30" s="62">
        <f ca="1">AVERAGE(OFFSET($CX$3,0,0,'Données projet'!$E$13+1,1))-AVERAGE(OFFSET($H$3,0,0,'Données projet'!$E$13+1,1))</f>
        <v>383.46266660377637</v>
      </c>
      <c r="CZ30" s="62">
        <f t="shared" si="42"/>
        <v>373.1287543230714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9.6917697674281449</v>
      </c>
      <c r="DH30" s="23">
        <f>EXP(-LN(2)/2)*DH29+(1-EXP(-LN(2)/2))/(LN(2)/2)*DB30*DE30*VLOOKUP('Données projet'!$B$13,Paramètres!$A$1:$I$89,3,0)*0.475*44/12</f>
        <v>11.106868315742465</v>
      </c>
      <c r="DI30" s="24">
        <f t="shared" si="15"/>
        <v>20.798638083170609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>
        <f>DO30*VLOOKUP('Données projet'!$B$14,Paramètres!$A$1:$I$89,3,0)*VLOOKUP('Données projet'!$B$14,Paramètres!$A$1:$I$89,5,0)</f>
        <v>0</v>
      </c>
      <c r="DQ30" s="14" t="e">
        <f t="shared" si="43"/>
        <v>#NUM!</v>
      </c>
      <c r="DR30" s="22" t="e">
        <f t="shared" si="16"/>
        <v>#NUM!</v>
      </c>
      <c r="DS30" s="62" t="e">
        <f t="shared" si="17"/>
        <v>#NUM!</v>
      </c>
      <c r="DT30" s="62">
        <f ca="1">AVERAGE(OFFSET($DS$3,0,0,'Données projet'!$E$14+1,1))-AVERAGE(OFFSET($H$3,0,0,'Données projet'!$E$14+1,1))</f>
        <v>96.56611521638132</v>
      </c>
      <c r="DU30" s="62">
        <f t="shared" si="44"/>
        <v>465.03257878814094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87.462030113877319</v>
      </c>
      <c r="EB30" s="23">
        <f>EXP(-LN(2)/25)*EB29+(1-EXP(-LN(2)/25))/(LN(2)/25)*Calculateur!DW30*Calculateur!DY30*VLOOKUP('Données projet'!$B$14,Paramètres!$A$1:$I$89,3,0)*0.475*44/12</f>
        <v>19.961925634160465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107.42395574803778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14.2</v>
      </c>
      <c r="EJ30" s="13">
        <f>IF('Données projet'!$A$192&gt;35,EJ29+EI30-ER29,IF(A30&lt;'Données projet'!$A$192,$EG$205^A30,IF(A30='Données projet'!$A$192,'Données projet'!$B$192,EJ29+EI30-ER29)))</f>
        <v>133.39999999999995</v>
      </c>
      <c r="EK30" s="18">
        <f>EJ30*VLOOKUP('Données projet'!$B$15,Paramètres!$A$1:$I$89,3,0)*VLOOKUP('Données projet'!$B$15,Paramètres!$A$1:$I$89,5,0)</f>
        <v>108.21407999999997</v>
      </c>
      <c r="EL30" s="14">
        <f t="shared" si="45"/>
        <v>28.909807870043061</v>
      </c>
      <c r="EM30" s="22">
        <f t="shared" si="19"/>
        <v>238.82410470699162</v>
      </c>
      <c r="EN30" s="62">
        <f t="shared" si="20"/>
        <v>528.49077137365828</v>
      </c>
      <c r="EO30" s="62">
        <f ca="1">AVERAGE(OFFSET($EN$3,0,0,'Données projet'!$E$15+1,1))-AVERAGE(OFFSET($H$3,0,0,'Données projet'!$E$15+1,1))</f>
        <v>358.75637627589799</v>
      </c>
      <c r="EP30" s="62">
        <f t="shared" si="46"/>
        <v>349.64821164483607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3.197770177504109</v>
      </c>
      <c r="EW30" s="23">
        <f>EXP(-LN(2)/25)*EW29+(1-EXP(-LN(2)/25))/(LN(2)/25)*Calculateur!ER30*Calculateur!ET30*VLOOKUP('Données projet'!$B$15,Paramètres!$A$1:$I$89,3,0)*0.475*44/12</f>
        <v>5.8643874599435541</v>
      </c>
      <c r="EX30" s="23">
        <f>EXP(-LN(2)/2)*EX29+(1-EXP(-LN(2)/2))/(LN(2)/2)*ER30*EU30*VLOOKUP('Données projet'!$B$15,Paramètres!$A$1:$I$89,3,0)*0.475*44/12</f>
        <v>10.313520578903717</v>
      </c>
      <c r="EY30" s="24">
        <f t="shared" si="21"/>
        <v>19.375678216351382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>
        <f>FE30*VLOOKUP('Données projet'!$B$16,Paramètres!$A$1:$I$89,3,0)*VLOOKUP('Données projet'!$B$16,Paramètres!$A$1:$I$89,5,0)</f>
        <v>0</v>
      </c>
      <c r="FG30" s="14" t="e">
        <f t="shared" si="47"/>
        <v>#NUM!</v>
      </c>
      <c r="FH30" s="22" t="e">
        <f t="shared" si="22"/>
        <v>#NUM!</v>
      </c>
      <c r="FI30" s="62" t="e">
        <f t="shared" si="23"/>
        <v>#NUM!</v>
      </c>
      <c r="FJ30" s="62">
        <f ca="1">AVERAGE(OFFSET($FI$3,0,0,'Données projet'!$E$16+1,1))-AVERAGE(OFFSET($H$3,0,0,'Données projet'!$E$16+1,1))</f>
        <v>121.28977654040114</v>
      </c>
      <c r="FK30" s="62">
        <f t="shared" si="48"/>
        <v>615.69585264342595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117.84099855679264</v>
      </c>
      <c r="FR30" s="23">
        <f>EXP(-LN(2)/25)*FR29+(1-EXP(-LN(2)/25))/(LN(2)/25)*Calculateur!FM30*Calculateur!FO30*VLOOKUP('Données projet'!$B$16,Paramètres!$A$1:$I$89,3,0)*0.475*44/12</f>
        <v>26.89547963594169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144.73647819273432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14.2</v>
      </c>
      <c r="N31" s="14">
        <f>IF('Données projet'!$A$36&gt;35,N30+M31-V30,IF(A31&lt;'Données projet'!$A$36,$K$205^A31,IF(A31='Données projet'!$A$36,'Données projet'!$B$36,N30+M31-V30)))</f>
        <v>147.59999999999994</v>
      </c>
      <c r="O31" s="14">
        <f>N31*VLOOKUP('Données projet'!$B$9,Paramètres!$A$1:$I$89,3,0)*VLOOKUP('Données projet'!$B$9,Paramètres!$A$1:$I$89,5,0)</f>
        <v>117.43055999999996</v>
      </c>
      <c r="P31" s="14">
        <f t="shared" si="33"/>
        <v>31.074966780724086</v>
      </c>
      <c r="Q31" s="22">
        <f t="shared" si="2"/>
        <v>258.64712580976101</v>
      </c>
      <c r="R31" s="62">
        <f t="shared" si="0"/>
        <v>549.53601469864986</v>
      </c>
      <c r="S31" s="62">
        <f ca="1">AVERAGE(OFFSET($R$3,0,0,'Données projet'!$E$9+1,1))-AVERAGE(OFFSET($H$3,0,0,'Données projet'!$E$9+1,1))</f>
        <v>352.5736659365665</v>
      </c>
      <c r="T31" s="62">
        <f t="shared" si="34"/>
        <v>343.77208530767069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14.025484655245389</v>
      </c>
      <c r="AA31" s="23">
        <f>EXP(-LN(2)/25)*AA30+(1-EXP(-LN(2)/25))/(LN(2)/25)*Calculateur!V31*Calculateur!X31*VLOOKUP('Données projet'!$B$9,Paramètres!$A$1:$I$89,3,0)*0.475*44/12</f>
        <v>25.072124468356336</v>
      </c>
      <c r="AB31" s="23">
        <f>EXP(-LN(2)/2)*AB30+(1-EXP(-LN(2)/2))/(LN(2)/2)*V31*Y31*VLOOKUP('Données projet'!$B$9,Paramètres!$A$1:$I$89,3,0)*0.475*44/12</f>
        <v>0</v>
      </c>
      <c r="AC31" s="24">
        <f t="shared" si="3"/>
        <v>39.097609123601728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7.4</v>
      </c>
      <c r="AI31" s="14">
        <f>IF('Données projet'!$A$62&gt;35,AI30+AH31-AQ30,IF(A31&lt;'Données projet'!$A$62,$AF$205^A31,IF(A31='Données projet'!$A$62,'Données projet'!$B$62,AI30+AH31-AQ30)))</f>
        <v>102.20000000000005</v>
      </c>
      <c r="AJ31" s="14">
        <f>AI31*VLOOKUP('Données projet'!$B$10,Paramètres!$A$1:$I$89,3,0)*VLOOKUP('Données projet'!$B$10,Paramètres!$A$1:$I$89,5,0)</f>
        <v>66.961440000000039</v>
      </c>
      <c r="AK31" s="14">
        <f t="shared" si="35"/>
        <v>18.916938176250515</v>
      </c>
      <c r="AL31" s="22">
        <f t="shared" si="4"/>
        <v>149.57150865696971</v>
      </c>
      <c r="AM31" s="62">
        <f t="shared" si="5"/>
        <v>440.46039754585854</v>
      </c>
      <c r="AN31" s="62">
        <f ca="1">AVERAGE(OFFSET($AM$3,0,0,'Données projet'!$E$10+1,1))-AVERAGE(OFFSET($H$3,0,0,'Données projet'!$E$10+1,1))</f>
        <v>210.08998695869161</v>
      </c>
      <c r="AO31" s="62">
        <f t="shared" si="36"/>
        <v>207.30911916430881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0.36943485403701359</v>
      </c>
      <c r="AX31" s="23">
        <f t="shared" si="6"/>
        <v>0.36943485403701359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68.824080000000023</v>
      </c>
      <c r="BF31" s="14">
        <f t="shared" si="37"/>
        <v>19.381147881506788</v>
      </c>
      <c r="BG31" s="22">
        <f t="shared" si="7"/>
        <v>153.62410522695768</v>
      </c>
      <c r="BH31" s="62">
        <f t="shared" si="8"/>
        <v>444.51299411584654</v>
      </c>
      <c r="BI31" s="62">
        <f ca="1">AVERAGE(OFFSET($BH$3,0,0,'Données projet'!$E$11+1,1))-AVERAGE(OFFSET($H$3,0,0,'Données projet'!$E$11+1,1))</f>
        <v>335.83558218229564</v>
      </c>
      <c r="BJ31" s="62">
        <f t="shared" si="38"/>
        <v>217.08423061559648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6.502911289474163</v>
      </c>
      <c r="BS31" s="24">
        <f t="shared" si="9"/>
        <v>6.502911289474163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11.5</v>
      </c>
      <c r="BY31" s="13">
        <f>IF('Données projet'!$A$114&gt;35,BY30+BX31-CG30,IF(A31&lt;'Données projet'!$A$114,$BV$205^A31,IF(A31='Données projet'!$A$114,'Données projet'!$B$114,BY30+BX31-CG30)))</f>
        <v>120.49999999999996</v>
      </c>
      <c r="BZ31" s="14">
        <f>BY31*VLOOKUP('Données projet'!$B$12,Paramètres!$A$1:$I$89,3,0)*VLOOKUP('Données projet'!$B$12,Paramètres!$A$1:$I$89,5,0)</f>
        <v>93.989999999999966</v>
      </c>
      <c r="CA31" s="14">
        <f t="shared" si="39"/>
        <v>25.525074036970054</v>
      </c>
      <c r="CB31" s="22">
        <f t="shared" si="10"/>
        <v>208.15542061438944</v>
      </c>
      <c r="CC31" s="62">
        <f t="shared" si="11"/>
        <v>499.04430950327833</v>
      </c>
      <c r="CD31" s="62">
        <f ca="1">AVERAGE(OFFSET($CC$3,0,0,'Données projet'!$E$12+1,1))-AVERAGE(OFFSET($H$3,0,0,'Données projet'!$E$12+1,1))</f>
        <v>288.82868507674738</v>
      </c>
      <c r="CE31" s="62">
        <f t="shared" si="40"/>
        <v>283.48738729114024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5.1494962922029588</v>
      </c>
      <c r="CM31" s="23">
        <f>EXP(-LN(2)/2)*CM30+(1-EXP(-LN(2)/2))/(LN(2)/2)*CG31*CJ31*VLOOKUP('Données projet'!$B$12,Paramètres!$A$1:$I$89,3,0)*0.475*44/12</f>
        <v>5.1595393995299643</v>
      </c>
      <c r="CN31" s="24">
        <f t="shared" si="12"/>
        <v>10.309035691732923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14.2</v>
      </c>
      <c r="CT31" s="13">
        <f>IF('Données projet'!$A$140&gt;35,CT30+CS31-DB30,IF(A31&lt;'Données projet'!$A$140,$CQ$205^A31,IF(A31='Données projet'!$A$140,'Données projet'!$B$140,CT30+CS31-DB30)))</f>
        <v>147.59999999999994</v>
      </c>
      <c r="CU31" s="18">
        <f>CT31*VLOOKUP('Données projet'!$B$13,Paramètres!$A$1:$I$89,3,0)*VLOOKUP('Données projet'!$B$13,Paramètres!$A$1:$I$89,5,0)</f>
        <v>128.94335999999996</v>
      </c>
      <c r="CV31" s="14">
        <f t="shared" si="41"/>
        <v>33.752085002132162</v>
      </c>
      <c r="CW31" s="22">
        <f t="shared" si="13"/>
        <v>283.36123337871345</v>
      </c>
      <c r="CX31" s="62">
        <f t="shared" si="14"/>
        <v>574.25012226760236</v>
      </c>
      <c r="CY31" s="62">
        <f ca="1">AVERAGE(OFFSET($CX$3,0,0,'Données projet'!$E$13+1,1))-AVERAGE(OFFSET($H$3,0,0,'Données projet'!$E$13+1,1))</f>
        <v>383.46266660377637</v>
      </c>
      <c r="CZ31" s="62">
        <f t="shared" si="42"/>
        <v>373.1287543230714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9.4267478134698006</v>
      </c>
      <c r="DH31" s="23">
        <f>EXP(-LN(2)/2)*DH30+(1-EXP(-LN(2)/2))/(LN(2)/2)*DB31*DE31*VLOOKUP('Données projet'!$B$13,Paramètres!$A$1:$I$89,3,0)*0.475*44/12</f>
        <v>7.8537419038075056</v>
      </c>
      <c r="DI31" s="24">
        <f t="shared" si="15"/>
        <v>17.280489717277305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>
        <f>DO31*VLOOKUP('Données projet'!$B$14,Paramètres!$A$1:$I$89,3,0)*VLOOKUP('Données projet'!$B$14,Paramètres!$A$1:$I$89,5,0)</f>
        <v>0</v>
      </c>
      <c r="DQ31" s="14" t="e">
        <f t="shared" si="43"/>
        <v>#NUM!</v>
      </c>
      <c r="DR31" s="22" t="e">
        <f t="shared" si="16"/>
        <v>#NUM!</v>
      </c>
      <c r="DS31" s="62" t="e">
        <f t="shared" si="17"/>
        <v>#NUM!</v>
      </c>
      <c r="DT31" s="62">
        <f ca="1">AVERAGE(OFFSET($DS$3,0,0,'Données projet'!$E$14+1,1))-AVERAGE(OFFSET($H$3,0,0,'Données projet'!$E$14+1,1))</f>
        <v>96.56611521638132</v>
      </c>
      <c r="DU31" s="62">
        <f t="shared" si="44"/>
        <v>465.03257878814094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85.746953049915021</v>
      </c>
      <c r="EB31" s="23">
        <f>EXP(-LN(2)/25)*EB30+(1-EXP(-LN(2)/25))/(LN(2)/25)*Calculateur!DW31*Calculateur!DY31*VLOOKUP('Données projet'!$B$14,Paramètres!$A$1:$I$89,3,0)*0.475*44/12</f>
        <v>19.416065727942303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105.16301877785733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14.2</v>
      </c>
      <c r="EJ31" s="13">
        <f>IF('Données projet'!$A$192&gt;35,EJ30+EI31-ER30,IF(A31&lt;'Données projet'!$A$192,$EG$205^A31,IF(A31='Données projet'!$A$192,'Données projet'!$B$192,EJ30+EI31-ER30)))</f>
        <v>147.59999999999994</v>
      </c>
      <c r="EK31" s="18">
        <f>EJ31*VLOOKUP('Données projet'!$B$15,Paramètres!$A$1:$I$89,3,0)*VLOOKUP('Données projet'!$B$15,Paramètres!$A$1:$I$89,5,0)</f>
        <v>119.73311999999996</v>
      </c>
      <c r="EL31" s="14">
        <f t="shared" si="45"/>
        <v>31.612745853271832</v>
      </c>
      <c r="EM31" s="22">
        <f t="shared" si="19"/>
        <v>263.5940496944483</v>
      </c>
      <c r="EN31" s="62">
        <f t="shared" si="20"/>
        <v>554.48293858333716</v>
      </c>
      <c r="EO31" s="62">
        <f ca="1">AVERAGE(OFFSET($EN$3,0,0,'Données projet'!$E$15+1,1))-AVERAGE(OFFSET($H$3,0,0,'Données projet'!$E$15+1,1))</f>
        <v>358.75637627589799</v>
      </c>
      <c r="EP31" s="62">
        <f t="shared" si="46"/>
        <v>349.64821164483607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3.135063854770471</v>
      </c>
      <c r="EW31" s="23">
        <f>EXP(-LN(2)/25)*EW30+(1-EXP(-LN(2)/25))/(LN(2)/25)*Calculateur!ER31*Calculateur!ET31*VLOOKUP('Données projet'!$B$15,Paramètres!$A$1:$I$89,3,0)*0.475*44/12</f>
        <v>5.704025476456664</v>
      </c>
      <c r="EX31" s="23">
        <f>EXP(-LN(2)/2)*EX30+(1-EXP(-LN(2)/2))/(LN(2)/2)*ER31*EU31*VLOOKUP('Données projet'!$B$15,Paramètres!$A$1:$I$89,3,0)*0.475*44/12</f>
        <v>7.2927603392498259</v>
      </c>
      <c r="EY31" s="24">
        <f t="shared" si="21"/>
        <v>16.13184967047696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>
        <f>FE31*VLOOKUP('Données projet'!$B$16,Paramètres!$A$1:$I$89,3,0)*VLOOKUP('Données projet'!$B$16,Paramètres!$A$1:$I$89,5,0)</f>
        <v>0</v>
      </c>
      <c r="FG31" s="14" t="e">
        <f t="shared" si="47"/>
        <v>#NUM!</v>
      </c>
      <c r="FH31" s="22" t="e">
        <f t="shared" si="22"/>
        <v>#NUM!</v>
      </c>
      <c r="FI31" s="62" t="e">
        <f t="shared" si="23"/>
        <v>#NUM!</v>
      </c>
      <c r="FJ31" s="62">
        <f ca="1">AVERAGE(OFFSET($FI$3,0,0,'Données projet'!$E$16+1,1))-AVERAGE(OFFSET($H$3,0,0,'Données projet'!$E$16+1,1))</f>
        <v>121.28977654040114</v>
      </c>
      <c r="FK31" s="62">
        <f t="shared" si="48"/>
        <v>615.69585264342595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115.5302084510059</v>
      </c>
      <c r="FR31" s="23">
        <f>EXP(-LN(2)/25)*FR30+(1-EXP(-LN(2)/25))/(LN(2)/25)*Calculateur!FM31*Calculateur!FO31*VLOOKUP('Données projet'!$B$16,Paramètres!$A$1:$I$89,3,0)*0.475*44/12</f>
        <v>26.160021330925062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141.69022978193095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14.2</v>
      </c>
      <c r="N32" s="14">
        <f>IF('Données projet'!$A$36&gt;35,N31+M32-V31,IF(A32&lt;'Données projet'!$A$36,$K$205^A32,IF(A32='Données projet'!$A$36,'Données projet'!$B$36,N31+M32-V31)))</f>
        <v>161.79999999999993</v>
      </c>
      <c r="O32" s="14">
        <f>N32*VLOOKUP('Données projet'!$B$9,Paramètres!$A$1:$I$89,3,0)*VLOOKUP('Données projet'!$B$9,Paramètres!$A$1:$I$89,5,0)</f>
        <v>128.72807999999995</v>
      </c>
      <c r="P32" s="14">
        <f t="shared" si="33"/>
        <v>33.702287995285367</v>
      </c>
      <c r="Q32" s="22">
        <f t="shared" si="2"/>
        <v>282.89955759178855</v>
      </c>
      <c r="R32" s="62">
        <f t="shared" si="0"/>
        <v>575.01066870289969</v>
      </c>
      <c r="S32" s="62">
        <f ca="1">AVERAGE(OFFSET($R$3,0,0,'Données projet'!$E$9+1,1))-AVERAGE(OFFSET($H$3,0,0,'Données projet'!$E$9+1,1))</f>
        <v>352.5736659365665</v>
      </c>
      <c r="T32" s="62">
        <f t="shared" si="34"/>
        <v>343.77208530767069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13.75045345585696</v>
      </c>
      <c r="AA32" s="23">
        <f>EXP(-LN(2)/25)*AA31+(1-EXP(-LN(2)/25))/(LN(2)/25)*Calculateur!V32*Calculateur!X32*VLOOKUP('Données projet'!$B$9,Paramètres!$A$1:$I$89,3,0)*0.475*44/12</f>
        <v>24.38652590628341</v>
      </c>
      <c r="AB32" s="23">
        <f>EXP(-LN(2)/2)*AB31+(1-EXP(-LN(2)/2))/(LN(2)/2)*V32*Y32*VLOOKUP('Données projet'!$B$9,Paramètres!$A$1:$I$89,3,0)*0.475*44/12</f>
        <v>0</v>
      </c>
      <c r="AC32" s="24">
        <f t="shared" si="3"/>
        <v>38.136979362140366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7.4</v>
      </c>
      <c r="AI32" s="14">
        <f>IF('Données projet'!$A$62&gt;35,AI31+AH32-AQ31,IF(A32&lt;'Données projet'!$A$62,$AF$205^A32,IF(A32='Données projet'!$A$62,'Données projet'!$B$62,AI31+AH32-AQ31)))</f>
        <v>109.60000000000005</v>
      </c>
      <c r="AJ32" s="14">
        <f>AI32*VLOOKUP('Données projet'!$B$10,Paramètres!$A$1:$I$89,3,0)*VLOOKUP('Données projet'!$B$10,Paramètres!$A$1:$I$89,5,0)</f>
        <v>71.809920000000034</v>
      </c>
      <c r="AK32" s="14">
        <f t="shared" si="35"/>
        <v>20.122254550813</v>
      </c>
      <c r="AL32" s="22">
        <f t="shared" si="4"/>
        <v>160.1152040093327</v>
      </c>
      <c r="AM32" s="62">
        <f t="shared" si="5"/>
        <v>452.22631512044381</v>
      </c>
      <c r="AN32" s="62">
        <f ca="1">AVERAGE(OFFSET($AM$3,0,0,'Données projet'!$E$10+1,1))-AVERAGE(OFFSET($H$3,0,0,'Données projet'!$E$10+1,1))</f>
        <v>210.08998695869161</v>
      </c>
      <c r="AO32" s="62">
        <f t="shared" si="36"/>
        <v>207.30911916430881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0.26122989049623468</v>
      </c>
      <c r="AX32" s="23">
        <f t="shared" si="6"/>
        <v>0.26122989049623468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74.995440000000016</v>
      </c>
      <c r="BF32" s="14">
        <f t="shared" si="37"/>
        <v>20.908980854017098</v>
      </c>
      <c r="BG32" s="22">
        <f t="shared" si="7"/>
        <v>167.03353298741314</v>
      </c>
      <c r="BH32" s="62">
        <f t="shared" si="8"/>
        <v>459.14464409852428</v>
      </c>
      <c r="BI32" s="62">
        <f ca="1">AVERAGE(OFFSET($BH$3,0,0,'Données projet'!$E$11+1,1))-AVERAGE(OFFSET($H$3,0,0,'Données projet'!$E$11+1,1))</f>
        <v>335.83558218229564</v>
      </c>
      <c r="BJ32" s="62">
        <f t="shared" si="38"/>
        <v>217.08423061559648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4.5982526702417372</v>
      </c>
      <c r="BS32" s="24">
        <f t="shared" si="9"/>
        <v>4.5982526702417372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11.5</v>
      </c>
      <c r="BY32" s="13">
        <f>IF('Données projet'!$A$114&gt;35,BY31+BX32-CG31,IF(A32&lt;'Données projet'!$A$114,$BV$205^A32,IF(A32='Données projet'!$A$114,'Données projet'!$B$114,BY31+BX32-CG31)))</f>
        <v>131.99999999999994</v>
      </c>
      <c r="BZ32" s="14">
        <f>BY32*VLOOKUP('Données projet'!$B$12,Paramètres!$A$1:$I$89,3,0)*VLOOKUP('Données projet'!$B$12,Paramètres!$A$1:$I$89,5,0)</f>
        <v>102.95999999999997</v>
      </c>
      <c r="CA32" s="14">
        <f t="shared" si="39"/>
        <v>27.665975080374633</v>
      </c>
      <c r="CB32" s="22">
        <f t="shared" si="10"/>
        <v>227.50690659831903</v>
      </c>
      <c r="CC32" s="62">
        <f t="shared" si="11"/>
        <v>519.61801770943021</v>
      </c>
      <c r="CD32" s="62">
        <f ca="1">AVERAGE(OFFSET($CC$3,0,0,'Données projet'!$E$12+1,1))-AVERAGE(OFFSET($H$3,0,0,'Données projet'!$E$12+1,1))</f>
        <v>288.82868507674738</v>
      </c>
      <c r="CE32" s="62">
        <f t="shared" si="40"/>
        <v>283.48738729114024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5.008683045292428</v>
      </c>
      <c r="CM32" s="23">
        <f>EXP(-LN(2)/2)*CM31+(1-EXP(-LN(2)/2))/(LN(2)/2)*CG32*CJ32*VLOOKUP('Données projet'!$B$12,Paramètres!$A$1:$I$89,3,0)*0.475*44/12</f>
        <v>3.6483452972068053</v>
      </c>
      <c r="CN32" s="24">
        <f t="shared" si="12"/>
        <v>8.6570283424992329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14.2</v>
      </c>
      <c r="CT32" s="13">
        <f>IF('Données projet'!$A$140&gt;35,CT31+CS32-DB31,IF(A32&lt;'Données projet'!$A$140,$CQ$205^A32,IF(A32='Données projet'!$A$140,'Données projet'!$B$140,CT31+CS32-DB31)))</f>
        <v>161.79999999999993</v>
      </c>
      <c r="CU32" s="18">
        <f>CT32*VLOOKUP('Données projet'!$B$13,Paramètres!$A$1:$I$89,3,0)*VLOOKUP('Données projet'!$B$13,Paramètres!$A$1:$I$89,5,0)</f>
        <v>141.34847999999994</v>
      </c>
      <c r="CV32" s="14">
        <f t="shared" si="41"/>
        <v>36.605750770707807</v>
      </c>
      <c r="CW32" s="22">
        <f t="shared" si="13"/>
        <v>309.93695192564934</v>
      </c>
      <c r="CX32" s="62">
        <f t="shared" si="14"/>
        <v>602.04806303676048</v>
      </c>
      <c r="CY32" s="62">
        <f ca="1">AVERAGE(OFFSET($CX$3,0,0,'Données projet'!$E$13+1,1))-AVERAGE(OFFSET($H$3,0,0,'Données projet'!$E$13+1,1))</f>
        <v>383.46266660377637</v>
      </c>
      <c r="CZ32" s="62">
        <f t="shared" si="42"/>
        <v>373.1287543230714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9.1689728987793462</v>
      </c>
      <c r="DH32" s="23">
        <f>EXP(-LN(2)/2)*DH31+(1-EXP(-LN(2)/2))/(LN(2)/2)*DB32*DE32*VLOOKUP('Données projet'!$B$13,Paramètres!$A$1:$I$89,3,0)*0.475*44/12</f>
        <v>5.5534341578712336</v>
      </c>
      <c r="DI32" s="24">
        <f t="shared" si="15"/>
        <v>14.72240705665058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>
        <f>DO32*VLOOKUP('Données projet'!$B$14,Paramètres!$A$1:$I$89,3,0)*VLOOKUP('Données projet'!$B$14,Paramètres!$A$1:$I$89,5,0)</f>
        <v>0</v>
      </c>
      <c r="DQ32" s="14" t="e">
        <f t="shared" si="43"/>
        <v>#NUM!</v>
      </c>
      <c r="DR32" s="22" t="e">
        <f t="shared" si="16"/>
        <v>#NUM!</v>
      </c>
      <c r="DS32" s="62" t="e">
        <f t="shared" si="17"/>
        <v>#NUM!</v>
      </c>
      <c r="DT32" s="62">
        <f ca="1">AVERAGE(OFFSET($DS$3,0,0,'Données projet'!$E$14+1,1))-AVERAGE(OFFSET($H$3,0,0,'Données projet'!$E$14+1,1))</f>
        <v>96.56611521638132</v>
      </c>
      <c r="DU32" s="62">
        <f t="shared" si="44"/>
        <v>465.03257878814094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84.065507601083311</v>
      </c>
      <c r="EB32" s="23">
        <f>EXP(-LN(2)/25)*EB31+(1-EXP(-LN(2)/25))/(LN(2)/25)*Calculateur!DW32*Calculateur!DY32*VLOOKUP('Données projet'!$B$14,Paramètres!$A$1:$I$89,3,0)*0.475*44/12</f>
        <v>18.8851323895652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102.95063999064851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14.2</v>
      </c>
      <c r="EJ32" s="13">
        <f>IF('Données projet'!$A$192&gt;35,EJ31+EI32-ER31,IF(A32&lt;'Données projet'!$A$192,$EG$205^A32,IF(A32='Données projet'!$A$192,'Données projet'!$B$192,EJ31+EI32-ER31)))</f>
        <v>161.79999999999993</v>
      </c>
      <c r="EK32" s="18">
        <f>EJ32*VLOOKUP('Données projet'!$B$15,Paramètres!$A$1:$I$89,3,0)*VLOOKUP('Données projet'!$B$15,Paramètres!$A$1:$I$89,5,0)</f>
        <v>131.25215999999995</v>
      </c>
      <c r="EL32" s="14">
        <f t="shared" si="45"/>
        <v>34.285535125000187</v>
      </c>
      <c r="EM32" s="22">
        <f t="shared" si="19"/>
        <v>288.31148567604191</v>
      </c>
      <c r="EN32" s="62">
        <f t="shared" si="20"/>
        <v>580.422596787153</v>
      </c>
      <c r="EO32" s="62">
        <f ca="1">AVERAGE(OFFSET($EN$3,0,0,'Données projet'!$E$15+1,1))-AVERAGE(OFFSET($H$3,0,0,'Données projet'!$E$15+1,1))</f>
        <v>358.75637627589799</v>
      </c>
      <c r="EP32" s="62">
        <f t="shared" si="46"/>
        <v>349.64821164483607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3.0735871647785595</v>
      </c>
      <c r="EW32" s="23">
        <f>EXP(-LN(2)/25)*EW31+(1-EXP(-LN(2)/25))/(LN(2)/25)*Calculateur!ER32*Calculateur!ET32*VLOOKUP('Données projet'!$B$15,Paramètres!$A$1:$I$89,3,0)*0.475*44/12</f>
        <v>5.5480485998412936</v>
      </c>
      <c r="EX32" s="23">
        <f>EXP(-LN(2)/2)*EX31+(1-EXP(-LN(2)/2))/(LN(2)/2)*ER32*EU32*VLOOKUP('Données projet'!$B$15,Paramètres!$A$1:$I$89,3,0)*0.475*44/12</f>
        <v>5.1567602894518592</v>
      </c>
      <c r="EY32" s="24">
        <f t="shared" si="21"/>
        <v>13.778396054071713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>
        <f>FE32*VLOOKUP('Données projet'!$B$16,Paramètres!$A$1:$I$89,3,0)*VLOOKUP('Données projet'!$B$16,Paramètres!$A$1:$I$89,5,0)</f>
        <v>0</v>
      </c>
      <c r="FG32" s="14" t="e">
        <f t="shared" si="47"/>
        <v>#NUM!</v>
      </c>
      <c r="FH32" s="22" t="e">
        <f t="shared" si="22"/>
        <v>#NUM!</v>
      </c>
      <c r="FI32" s="62" t="e">
        <f t="shared" si="23"/>
        <v>#NUM!</v>
      </c>
      <c r="FJ32" s="62">
        <f ca="1">AVERAGE(OFFSET($FI$3,0,0,'Données projet'!$E$16+1,1))-AVERAGE(OFFSET($H$3,0,0,'Données projet'!$E$16+1,1))</f>
        <v>121.28977654040114</v>
      </c>
      <c r="FK32" s="62">
        <f t="shared" si="48"/>
        <v>615.69585264342595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113.26473152975085</v>
      </c>
      <c r="FR32" s="23">
        <f>EXP(-LN(2)/25)*FR31+(1-EXP(-LN(2)/25))/(LN(2)/25)*Calculateur!FM32*Calculateur!FO32*VLOOKUP('Données projet'!$B$16,Paramètres!$A$1:$I$89,3,0)*0.475*44/12</f>
        <v>25.444674171935183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138.70940570168602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176</v>
      </c>
      <c r="L33" s="13">
        <f>VLOOKUP(A33,'Données projet'!$A$35:$I$55,9,0)</f>
        <v>14.2</v>
      </c>
      <c r="M33" s="13">
        <f t="array" ref="M33">INDEX(L:L,MIN(IF(ISNUMBER(L33:L229),ROW(L33:L229),"")))</f>
        <v>14.2</v>
      </c>
      <c r="N33" s="14">
        <f>IF('Données projet'!$A$36&gt;35,N32+M33-V32,IF(A33&lt;'Données projet'!$A$36,$K$205^A33,IF(A33='Données projet'!$A$36,'Données projet'!$B$36,N32+M33-V32)))</f>
        <v>175.99999999999991</v>
      </c>
      <c r="O33" s="14">
        <f>N33*VLOOKUP('Données projet'!$B$9,Paramètres!$A$1:$I$89,3,0)*VLOOKUP('Données projet'!$B$9,Paramètres!$A$1:$I$89,5,0)</f>
        <v>140.02559999999994</v>
      </c>
      <c r="P33" s="14">
        <f t="shared" si="33"/>
        <v>36.302870033112463</v>
      </c>
      <c r="Q33" s="22">
        <f t="shared" si="2"/>
        <v>307.10541864100406</v>
      </c>
      <c r="R33" s="62">
        <f t="shared" si="0"/>
        <v>600.43875197433738</v>
      </c>
      <c r="S33" s="62">
        <f ca="1">AVERAGE(OFFSET($R$3,0,0,'Données projet'!$E$9+1,1))-AVERAGE(OFFSET($H$3,0,0,'Données projet'!$E$9+1,1))</f>
        <v>352.5736659365665</v>
      </c>
      <c r="T33" s="62">
        <f t="shared" si="34"/>
        <v>343.77208530767069</v>
      </c>
      <c r="U33" s="16">
        <f>IF(ISNA(VLOOKUP(A33,'Données projet'!$A$35:$I$55,3,0)),0,VLOOKUP(A33,'Données projet'!$A$35:$I$55,3,0))</f>
        <v>5</v>
      </c>
      <c r="V33" s="16">
        <f>IF(ISNA(VLOOKUP(A33,'Données projet'!$A$35:$I$55,4,0)),0,VLOOKUP(A33,'Données projet'!$A$35:$I$55,4,0))</f>
        <v>35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13.48081545053607</v>
      </c>
      <c r="AA33" s="23">
        <f>EXP(-LN(2)/25)*AA32+(1-EXP(-LN(2)/25))/(LN(2)/25)*Calculateur!V33*Calculateur!X33*VLOOKUP('Données projet'!$B$9,Paramètres!$A$1:$I$89,3,0)*0.475*44/12</f>
        <v>23.71967507294443</v>
      </c>
      <c r="AB33" s="23">
        <f>EXP(-LN(2)/2)*AB32+(1-EXP(-LN(2)/2))/(LN(2)/2)*V33*Y33*VLOOKUP('Données projet'!$B$9,Paramètres!$A$1:$I$89,3,0)*0.475*44/12</f>
        <v>0</v>
      </c>
      <c r="AC33" s="24">
        <f t="shared" si="3"/>
        <v>37.200490523480497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117</v>
      </c>
      <c r="AG33" s="13">
        <f>VLOOKUP(A33,'Données projet'!$A$61:$I$81,9,0)</f>
        <v>7.4</v>
      </c>
      <c r="AH33" s="13">
        <f t="array" ref="AH33">INDEX(AG:AG,MIN(IF(ISNUMBER(AG33:AG229),ROW(AG33:AG229),"")))</f>
        <v>7.4</v>
      </c>
      <c r="AI33" s="14">
        <f>IF('Données projet'!$A$62&gt;35,AI32+AH33-AQ32,IF(A33&lt;'Données projet'!$A$62,$AF$205^A33,IF(A33='Données projet'!$A$62,'Données projet'!$B$62,AI32+AH33-AQ32)))</f>
        <v>117.00000000000006</v>
      </c>
      <c r="AJ33" s="14">
        <f>AI33*VLOOKUP('Données projet'!$B$10,Paramètres!$A$1:$I$89,3,0)*VLOOKUP('Données projet'!$B$10,Paramètres!$A$1:$I$89,5,0)</f>
        <v>76.658400000000043</v>
      </c>
      <c r="AK33" s="14">
        <f t="shared" si="35"/>
        <v>21.318127749842365</v>
      </c>
      <c r="AL33" s="22">
        <f t="shared" si="4"/>
        <v>170.64245249764218</v>
      </c>
      <c r="AM33" s="62">
        <f t="shared" si="5"/>
        <v>463.9757858309755</v>
      </c>
      <c r="AN33" s="62">
        <f ca="1">AVERAGE(OFFSET($AM$3,0,0,'Données projet'!$E$10+1,1))-AVERAGE(OFFSET($H$3,0,0,'Données projet'!$E$10+1,1))</f>
        <v>210.08998695869161</v>
      </c>
      <c r="AO33" s="62">
        <f t="shared" si="36"/>
        <v>207.30911916430881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20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0.1847174270185068</v>
      </c>
      <c r="AX33" s="23">
        <f t="shared" si="6"/>
        <v>0.1847174270185068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81.166800000000009</v>
      </c>
      <c r="BF33" s="14">
        <f t="shared" si="37"/>
        <v>22.422231932399924</v>
      </c>
      <c r="BG33" s="22">
        <f t="shared" si="7"/>
        <v>180.41756394892988</v>
      </c>
      <c r="BH33" s="62">
        <f t="shared" si="8"/>
        <v>473.75089728226317</v>
      </c>
      <c r="BI33" s="62">
        <f ca="1">AVERAGE(OFFSET($BH$3,0,0,'Données projet'!$E$11+1,1))-AVERAGE(OFFSET($H$3,0,0,'Données projet'!$E$11+1,1))</f>
        <v>335.83558218229564</v>
      </c>
      <c r="BJ33" s="62">
        <f t="shared" si="38"/>
        <v>217.08423061559648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1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20.973155565621326</v>
      </c>
      <c r="BS33" s="24">
        <f t="shared" si="9"/>
        <v>20.973155565621326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11.5</v>
      </c>
      <c r="BY33" s="13">
        <f>IF('Données projet'!$A$114&gt;35,BY32+BX33-CG32,IF(A33&lt;'Données projet'!$A$114,$BV$205^A33,IF(A33='Données projet'!$A$114,'Données projet'!$B$114,BY32+BX33-CG32)))</f>
        <v>143.49999999999994</v>
      </c>
      <c r="BZ33" s="14">
        <f>BY33*VLOOKUP('Données projet'!$B$12,Paramètres!$A$1:$I$89,3,0)*VLOOKUP('Données projet'!$B$12,Paramètres!$A$1:$I$89,5,0)</f>
        <v>111.92999999999996</v>
      </c>
      <c r="CA33" s="14">
        <f t="shared" si="39"/>
        <v>29.785246291563833</v>
      </c>
      <c r="CB33" s="22">
        <f t="shared" si="10"/>
        <v>246.82072062447358</v>
      </c>
      <c r="CC33" s="62">
        <f t="shared" si="11"/>
        <v>540.15405395780692</v>
      </c>
      <c r="CD33" s="62">
        <f ca="1">AVERAGE(OFFSET($CC$3,0,0,'Données projet'!$E$12+1,1))-AVERAGE(OFFSET($H$3,0,0,'Données projet'!$E$12+1,1))</f>
        <v>288.82868507674738</v>
      </c>
      <c r="CE33" s="62">
        <f t="shared" si="40"/>
        <v>283.48738729114024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4.8717203440237125</v>
      </c>
      <c r="CM33" s="23">
        <f>EXP(-LN(2)/2)*CM32+(1-EXP(-LN(2)/2))/(LN(2)/2)*CG33*CJ33*VLOOKUP('Données projet'!$B$12,Paramètres!$A$1:$I$89,3,0)*0.475*44/12</f>
        <v>2.5797696997649822</v>
      </c>
      <c r="CN33" s="24">
        <f t="shared" si="12"/>
        <v>7.4514900437886951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176</v>
      </c>
      <c r="CR33" s="13">
        <f>VLOOKUP(A33,'Données projet'!$A$139:$I$159,9,0)</f>
        <v>14.2</v>
      </c>
      <c r="CS33" s="13">
        <f t="array" ref="CS33">INDEX(CR:CR,MIN(IF(ISNUMBER(CR33:CR229),ROW(CR33:CR229),"")))</f>
        <v>14.2</v>
      </c>
      <c r="CT33" s="13">
        <f>IF('Données projet'!$A$140&gt;35,CT32+CS33-DB32,IF(A33&lt;'Données projet'!$A$140,$CQ$205^A33,IF(A33='Données projet'!$A$140,'Données projet'!$B$140,CT32+CS33-DB32)))</f>
        <v>175.99999999999991</v>
      </c>
      <c r="CU33" s="18">
        <f>CT33*VLOOKUP('Données projet'!$B$13,Paramètres!$A$1:$I$89,3,0)*VLOOKUP('Données projet'!$B$13,Paramètres!$A$1:$I$89,5,0)</f>
        <v>153.75359999999995</v>
      </c>
      <c r="CV33" s="14">
        <f t="shared" si="41"/>
        <v>39.430373774012359</v>
      </c>
      <c r="CW33" s="22">
        <f t="shared" si="13"/>
        <v>336.46208765640478</v>
      </c>
      <c r="CX33" s="62">
        <f t="shared" si="14"/>
        <v>629.79542098973809</v>
      </c>
      <c r="CY33" s="62">
        <f ca="1">AVERAGE(OFFSET($CX$3,0,0,'Données projet'!$E$13+1,1))-AVERAGE(OFFSET($H$3,0,0,'Données projet'!$E$13+1,1))</f>
        <v>383.46266660377637</v>
      </c>
      <c r="CZ33" s="62">
        <f t="shared" si="42"/>
        <v>373.1287543230714</v>
      </c>
      <c r="DA33" s="16">
        <f>IF(ISNA(VLOOKUP(A33,'Données projet'!$A$139:$I$159,3,0)),0,VLOOKUP(A33,'Données projet'!$A$139:$I$159,3,0))</f>
        <v>5</v>
      </c>
      <c r="DB33" s="16">
        <f>IF(ISNA(VLOOKUP(A33,'Données projet'!$A$139:$I$159,4,0)),0,VLOOKUP(A33,'Données projet'!$A$139:$I$159,4,0))</f>
        <v>35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0.21200000000000002</v>
      </c>
      <c r="DE33" s="17">
        <f>IF(ISNA(VLOOKUP(A33,'Données projet'!$A$139:$I$159,7,0)),0%,VLOOKUP(A33,'Données projet'!$A$139:$I$159,7,0))</f>
        <v>0.6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16.055815248190626</v>
      </c>
      <c r="DH33" s="23">
        <f>EXP(-LN(2)/2)*DH32+(1-EXP(-LN(2)/2))/(LN(2)/2)*DB33*DE33*VLOOKUP('Données projet'!$B$13,Paramètres!$A$1:$I$89,3,0)*0.475*44/12</f>
        <v>21.236438316488368</v>
      </c>
      <c r="DI33" s="24">
        <f t="shared" si="15"/>
        <v>37.292253564678994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>
        <f>DO33*VLOOKUP('Données projet'!$B$14,Paramètres!$A$1:$I$89,3,0)*VLOOKUP('Données projet'!$B$14,Paramètres!$A$1:$I$89,5,0)</f>
        <v>0</v>
      </c>
      <c r="DQ33" s="14" t="e">
        <f t="shared" si="43"/>
        <v>#NUM!</v>
      </c>
      <c r="DR33" s="22" t="e">
        <f t="shared" si="16"/>
        <v>#NUM!</v>
      </c>
      <c r="DS33" s="62" t="e">
        <f t="shared" si="17"/>
        <v>#NUM!</v>
      </c>
      <c r="DT33" s="62">
        <f ca="1">AVERAGE(OFFSET($DS$3,0,0,'Données projet'!$E$14+1,1))-AVERAGE(OFFSET($H$3,0,0,'Données projet'!$E$14+1,1))</f>
        <v>96.56611521638132</v>
      </c>
      <c r="DU33" s="62">
        <f t="shared" si="44"/>
        <v>465.03257878814094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82.417034271922731</v>
      </c>
      <c r="EB33" s="23">
        <f>EXP(-LN(2)/25)*EB32+(1-EXP(-LN(2)/25))/(LN(2)/25)*Calculateur!DW33*Calculateur!DY33*VLOOKUP('Données projet'!$B$14,Paramètres!$A$1:$I$89,3,0)*0.475*44/12</f>
        <v>18.368717451246589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100.78575172316931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176</v>
      </c>
      <c r="EH33" s="13">
        <f>VLOOKUP(A33,'Données projet'!$A$191:$I$211,9,0)</f>
        <v>14.2</v>
      </c>
      <c r="EI33" s="13">
        <f t="array" ref="EI33">INDEX(EH:EH,MIN(IF(ISNUMBER(EH33:EH229),ROW(EH33:EH229),"")))</f>
        <v>14.2</v>
      </c>
      <c r="EJ33" s="13">
        <f>IF('Données projet'!$A$192&gt;35,EJ32+EI33-ER32,IF(A33&lt;'Données projet'!$A$192,$EG$205^A33,IF(A33='Données projet'!$A$192,'Données projet'!$B$192,EJ32+EI33-ER32)))</f>
        <v>175.99999999999991</v>
      </c>
      <c r="EK33" s="18">
        <f>EJ33*VLOOKUP('Données projet'!$B$15,Paramètres!$A$1:$I$89,3,0)*VLOOKUP('Données projet'!$B$15,Paramètres!$A$1:$I$89,5,0)</f>
        <v>142.77119999999994</v>
      </c>
      <c r="EL33" s="14">
        <f t="shared" si="45"/>
        <v>36.931122475504061</v>
      </c>
      <c r="EM33" s="22">
        <f t="shared" si="19"/>
        <v>312.98154497816944</v>
      </c>
      <c r="EN33" s="62">
        <f t="shared" si="20"/>
        <v>606.31487831150275</v>
      </c>
      <c r="EO33" s="62">
        <f ca="1">AVERAGE(OFFSET($EN$3,0,0,'Données projet'!$E$15+1,1))-AVERAGE(OFFSET($H$3,0,0,'Données projet'!$E$15+1,1))</f>
        <v>358.75637627589799</v>
      </c>
      <c r="EP33" s="62">
        <f t="shared" si="46"/>
        <v>349.64821164483607</v>
      </c>
      <c r="EQ33" s="16">
        <f>IF(ISNA(VLOOKUP(A33,'Données projet'!$A$191:$I$211,3,0)),0,VLOOKUP(A33,'Données projet'!$A$191:$I$211,3,0))</f>
        <v>5</v>
      </c>
      <c r="ER33" s="16">
        <f>IF(ISNA(VLOOKUP(A33,'Données projet'!$A$191:$I$211,4,0)),0,VLOOKUP(A33,'Données projet'!$A$191:$I$211,4,0))</f>
        <v>35</v>
      </c>
      <c r="ES33" s="17">
        <f>IF(ISNA(VLOOKUP(A33,'Données projet'!$A$191:$I$211,5,0)),0%,VLOOKUP(A33,'Données projet'!$A$191:$I$211,5,0)*VLOOKUP('Données projet'!$B$15,Paramètres!$A$1:$I$89,7,0))</f>
        <v>0.21200000000000002</v>
      </c>
      <c r="ET33" s="17">
        <f>IF(ISNA(VLOOKUP(A33,'Données projet'!$A$191:$I$211,6,0)),0%,VLOOKUP(A33,'Données projet'!$A$191:$I$211,6,0)*VLOOKUP('Données projet'!$B$15,Paramètres!$A$1:$I$89,7,0))</f>
        <v>0.318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9.6672571785086099</v>
      </c>
      <c r="EW33" s="23">
        <f>EXP(-LN(2)/25)*EW32+(1-EXP(-LN(2)/25))/(LN(2)/25)*Calculateur!ER33*Calculateur!ET33*VLOOKUP('Données projet'!$B$15,Paramètres!$A$1:$I$89,3,0)*0.475*44/12</f>
        <v>15.337950041428202</v>
      </c>
      <c r="EX33" s="23">
        <f>EXP(-LN(2)/2)*EX32+(1-EXP(-LN(2)/2))/(LN(2)/2)*ER33*EU33*VLOOKUP('Données projet'!$B$15,Paramètres!$A$1:$I$89,3,0)*0.475*44/12</f>
        <v>3.6463801696249134</v>
      </c>
      <c r="EY33" s="24">
        <f t="shared" si="21"/>
        <v>28.651587389561726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>
        <f>FE33*VLOOKUP('Données projet'!$B$16,Paramètres!$A$1:$I$89,3,0)*VLOOKUP('Données projet'!$B$16,Paramètres!$A$1:$I$89,5,0)</f>
        <v>0</v>
      </c>
      <c r="FG33" s="14" t="e">
        <f t="shared" si="47"/>
        <v>#NUM!</v>
      </c>
      <c r="FH33" s="22" t="e">
        <f t="shared" si="22"/>
        <v>#NUM!</v>
      </c>
      <c r="FI33" s="62" t="e">
        <f t="shared" si="23"/>
        <v>#NUM!</v>
      </c>
      <c r="FJ33" s="62">
        <f ca="1">AVERAGE(OFFSET($FI$3,0,0,'Données projet'!$E$16+1,1))-AVERAGE(OFFSET($H$3,0,0,'Données projet'!$E$16+1,1))</f>
        <v>121.28977654040114</v>
      </c>
      <c r="FK33" s="62">
        <f t="shared" si="48"/>
        <v>615.69585264342595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111.04367922911712</v>
      </c>
      <c r="FR33" s="23">
        <f>EXP(-LN(2)/25)*FR32+(1-EXP(-LN(2)/25))/(LN(2)/25)*Calculateur!FM33*Calculateur!FO33*VLOOKUP('Données projet'!$B$16,Paramètres!$A$1:$I$89,3,0)*0.475*44/12</f>
        <v>24.748888218626355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135.79256744774347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</v>
      </c>
      <c r="N34" s="14">
        <f>IF('Données projet'!$A$36&gt;35,N33+M34-V33,IF(A34&lt;'Données projet'!$A$36,$K$205^A34,IF(A34='Données projet'!$A$36,'Données projet'!$B$36,N33+M34-V33)))</f>
        <v>153.99999999999991</v>
      </c>
      <c r="O34" s="14">
        <f>N34*VLOOKUP('Données projet'!$B$9,Paramètres!$A$1:$I$89,3,0)*VLOOKUP('Données projet'!$B$9,Paramètres!$A$1:$I$89,5,0)</f>
        <v>122.52239999999995</v>
      </c>
      <c r="P34" s="14">
        <f t="shared" si="33"/>
        <v>32.26259352430629</v>
      </c>
      <c r="Q34" s="22">
        <f t="shared" si="2"/>
        <v>269.58386372149999</v>
      </c>
      <c r="R34" s="62">
        <f t="shared" si="0"/>
        <v>562.91719705483331</v>
      </c>
      <c r="S34" s="62">
        <f ca="1">AVERAGE(OFFSET($R$3,0,0,'Données projet'!$E$9+1,1))-AVERAGE(OFFSET($H$3,0,0,'Données projet'!$E$9+1,1))</f>
        <v>352.5736659365665</v>
      </c>
      <c r="T34" s="62">
        <f t="shared" si="34"/>
        <v>343.77208530767069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13.216464882036579</v>
      </c>
      <c r="AA34" s="23">
        <f>EXP(-LN(2)/25)*AA33+(1-EXP(-LN(2)/25))/(LN(2)/25)*Calculateur!V34*Calculateur!X34*VLOOKUP('Données projet'!$B$9,Paramètres!$A$1:$I$89,3,0)*0.475*44/12</f>
        <v>23.071059310711263</v>
      </c>
      <c r="AB34" s="23">
        <f>EXP(-LN(2)/2)*AB33+(1-EXP(-LN(2)/2))/(LN(2)/2)*V34*Y34*VLOOKUP('Données projet'!$B$9,Paramètres!$A$1:$I$89,3,0)*0.475*44/12</f>
        <v>0</v>
      </c>
      <c r="AC34" s="24">
        <f t="shared" si="3"/>
        <v>36.287524192747838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</v>
      </c>
      <c r="AI34" s="14">
        <f>IF('Données projet'!$A$62&gt;35,AI33+AH34-AQ33,IF(A34&lt;'Données projet'!$A$62,$AF$205^A34,IF(A34='Données projet'!$A$62,'Données projet'!$B$62,AI33+AH34-AQ33)))</f>
        <v>104.00000000000006</v>
      </c>
      <c r="AJ34" s="14">
        <f>AI34*VLOOKUP('Données projet'!$B$10,Paramètres!$A$1:$I$89,3,0)*VLOOKUP('Données projet'!$B$10,Paramètres!$A$1:$I$89,5,0)</f>
        <v>68.140800000000041</v>
      </c>
      <c r="AK34" s="14">
        <f t="shared" si="35"/>
        <v>19.211031830304478</v>
      </c>
      <c r="AL34" s="22">
        <f t="shared" si="4"/>
        <v>152.13777377111367</v>
      </c>
      <c r="AM34" s="62">
        <f t="shared" si="5"/>
        <v>445.47110710444701</v>
      </c>
      <c r="AN34" s="62">
        <f ca="1">AVERAGE(OFFSET($AM$3,0,0,'Données projet'!$E$10+1,1))-AVERAGE(OFFSET($H$3,0,0,'Données projet'!$E$10+1,1))</f>
        <v>210.08998695869161</v>
      </c>
      <c r="AO34" s="62">
        <f t="shared" si="36"/>
        <v>207.30911916430881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0.13061494524811734</v>
      </c>
      <c r="AX34" s="23">
        <f t="shared" si="6"/>
        <v>0.13061494524811734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103.80000000000004</v>
      </c>
      <c r="BE34" s="14">
        <f>BD34*VLOOKUP('Données projet'!$B$11,Paramètres!$A$1:$I$89,3,0)*VLOOKUP('Données projet'!$B$11,Paramètres!$A$1:$I$89,5,0)</f>
        <v>69.629040000000032</v>
      </c>
      <c r="BF34" s="14">
        <f t="shared" si="37"/>
        <v>19.58130665988983</v>
      </c>
      <c r="BG34" s="22">
        <f t="shared" si="7"/>
        <v>155.37468709930818</v>
      </c>
      <c r="BH34" s="62">
        <f t="shared" si="8"/>
        <v>448.70802043264149</v>
      </c>
      <c r="BI34" s="62">
        <f ca="1">AVERAGE(OFFSET($BH$3,0,0,'Données projet'!$E$11+1,1))-AVERAGE(OFFSET($H$3,0,0,'Données projet'!$E$11+1,1))</f>
        <v>335.83558218229564</v>
      </c>
      <c r="BJ34" s="62">
        <f t="shared" si="38"/>
        <v>217.08423061559648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14.830260523331221</v>
      </c>
      <c r="BS34" s="24">
        <f t="shared" si="9"/>
        <v>14.830260523331221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>
        <f>VLOOKUP(A34,'Données projet'!$A$113:$I$133,2,0)</f>
        <v>155</v>
      </c>
      <c r="BW34" s="13">
        <f>VLOOKUP(A34,'Données projet'!$A$113:$I$133,9,0)</f>
        <v>11.5</v>
      </c>
      <c r="BX34" s="13">
        <f t="array" ref="BX34">INDEX(BW:BW,MIN(IF(ISNUMBER(BW34:BW230),ROW(BW34:BW230),"")))</f>
        <v>11.5</v>
      </c>
      <c r="BY34" s="13">
        <f>IF('Données projet'!$A$114&gt;35,BY33+BX34-CG33,IF(A34&lt;'Données projet'!$A$114,$BV$205^A34,IF(A34='Données projet'!$A$114,'Données projet'!$B$114,BY33+BX34-CG33)))</f>
        <v>154.99999999999994</v>
      </c>
      <c r="BZ34" s="14">
        <f>BY34*VLOOKUP('Données projet'!$B$12,Paramètres!$A$1:$I$89,3,0)*VLOOKUP('Données projet'!$B$12,Paramètres!$A$1:$I$89,5,0)</f>
        <v>120.89999999999996</v>
      </c>
      <c r="CA34" s="14">
        <f t="shared" si="39"/>
        <v>31.884818143351602</v>
      </c>
      <c r="CB34" s="22">
        <f t="shared" si="10"/>
        <v>266.10022493300397</v>
      </c>
      <c r="CC34" s="62">
        <f t="shared" si="11"/>
        <v>559.43355826633729</v>
      </c>
      <c r="CD34" s="62">
        <f ca="1">AVERAGE(OFFSET($CC$3,0,0,'Données projet'!$E$12+1,1))-AVERAGE(OFFSET($H$3,0,0,'Données projet'!$E$12+1,1))</f>
        <v>288.82868507674738</v>
      </c>
      <c r="CE34" s="62">
        <f t="shared" si="40"/>
        <v>283.48738729114024</v>
      </c>
      <c r="CF34" s="16">
        <f>IF(ISNA(VLOOKUP(A34,'Données projet'!$A$113:$I$133,3,0)),0,VLOOKUP(A34,'Données projet'!$A$113:$I$133,3,0))</f>
        <v>4</v>
      </c>
      <c r="CG34" s="16">
        <f>IF(ISNA(VLOOKUP(A34,'Données projet'!$A$113:$I$133,4,0)),0,VLOOKUP(A34,'Données projet'!$A$113:$I$133,4,0))</f>
        <v>36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4.7385028950237453</v>
      </c>
      <c r="CM34" s="23">
        <f>EXP(-LN(2)/2)*CM33+(1-EXP(-LN(2)/2))/(LN(2)/2)*CG34*CJ34*VLOOKUP('Données projet'!$B$12,Paramètres!$A$1:$I$89,3,0)*0.475*44/12</f>
        <v>1.8241726486034027</v>
      </c>
      <c r="CN34" s="24">
        <f t="shared" si="12"/>
        <v>6.5626755436271482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13</v>
      </c>
      <c r="CT34" s="13">
        <f>IF('Données projet'!$A$140&gt;35,CT33+CS34-DB33,IF(A34&lt;'Données projet'!$A$140,$CQ$205^A34,IF(A34='Données projet'!$A$140,'Données projet'!$B$140,CT33+CS34-DB33)))</f>
        <v>153.99999999999991</v>
      </c>
      <c r="CU34" s="18">
        <f>CT34*VLOOKUP('Données projet'!$B$13,Paramètres!$A$1:$I$89,3,0)*VLOOKUP('Données projet'!$B$13,Paramètres!$A$1:$I$89,5,0)</f>
        <v>134.53439999999995</v>
      </c>
      <c r="CV34" s="14">
        <f t="shared" si="41"/>
        <v>35.042026165482234</v>
      </c>
      <c r="CW34" s="22">
        <f t="shared" si="13"/>
        <v>295.34560890488143</v>
      </c>
      <c r="CX34" s="62">
        <f t="shared" si="14"/>
        <v>588.67894223821474</v>
      </c>
      <c r="CY34" s="62">
        <f ca="1">AVERAGE(OFFSET($CX$3,0,0,'Données projet'!$E$13+1,1))-AVERAGE(OFFSET($H$3,0,0,'Données projet'!$E$13+1,1))</f>
        <v>383.46266660377637</v>
      </c>
      <c r="CZ34" s="62">
        <f t="shared" si="42"/>
        <v>373.1287543230714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15.616768135890226</v>
      </c>
      <c r="DH34" s="23">
        <f>EXP(-LN(2)/2)*DH33+(1-EXP(-LN(2)/2))/(LN(2)/2)*DB34*DE34*VLOOKUP('Données projet'!$B$13,Paramètres!$A$1:$I$89,3,0)*0.475*44/12</f>
        <v>15.016429541838756</v>
      </c>
      <c r="DI34" s="24">
        <f t="shared" si="15"/>
        <v>30.63319767772898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>
        <f>DO34*VLOOKUP('Données projet'!$B$14,Paramètres!$A$1:$I$89,3,0)*VLOOKUP('Données projet'!$B$14,Paramètres!$A$1:$I$89,5,0)</f>
        <v>0</v>
      </c>
      <c r="DQ34" s="14" t="e">
        <f t="shared" si="43"/>
        <v>#NUM!</v>
      </c>
      <c r="DR34" s="22" t="e">
        <f t="shared" si="16"/>
        <v>#NUM!</v>
      </c>
      <c r="DS34" s="62" t="e">
        <f t="shared" si="17"/>
        <v>#NUM!</v>
      </c>
      <c r="DT34" s="62">
        <f ca="1">AVERAGE(OFFSET($DS$3,0,0,'Données projet'!$E$14+1,1))-AVERAGE(OFFSET($H$3,0,0,'Données projet'!$E$14+1,1))</f>
        <v>96.56611521638132</v>
      </c>
      <c r="DU34" s="62">
        <f t="shared" si="44"/>
        <v>465.03257878814094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80.800886499277539</v>
      </c>
      <c r="EB34" s="23">
        <f>EXP(-LN(2)/25)*EB33+(1-EXP(-LN(2)/25))/(LN(2)/25)*Calculateur!DW34*Calculateur!DY34*VLOOKUP('Données projet'!$B$14,Paramètres!$A$1:$I$89,3,0)*0.475*44/12</f>
        <v>17.866423906573381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98.667310405850913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13</v>
      </c>
      <c r="EJ34" s="13">
        <f>IF('Données projet'!$A$192&gt;35,EJ33+EI34-ER33,IF(A34&lt;'Données projet'!$A$192,$EG$205^A34,IF(A34='Données projet'!$A$192,'Données projet'!$B$192,EJ33+EI34-ER33)))</f>
        <v>153.99999999999991</v>
      </c>
      <c r="EK34" s="18">
        <f>EJ34*VLOOKUP('Données projet'!$B$15,Paramètres!$A$1:$I$89,3,0)*VLOOKUP('Données projet'!$B$15,Paramètres!$A$1:$I$89,5,0)</f>
        <v>124.92479999999993</v>
      </c>
      <c r="EL34" s="14">
        <f t="shared" si="45"/>
        <v>32.820925500842712</v>
      </c>
      <c r="EM34" s="22">
        <f t="shared" si="19"/>
        <v>274.74047191396761</v>
      </c>
      <c r="EN34" s="62">
        <f t="shared" si="20"/>
        <v>568.07380524730092</v>
      </c>
      <c r="EO34" s="62">
        <f ca="1">AVERAGE(OFFSET($EN$3,0,0,'Données projet'!$E$15+1,1))-AVERAGE(OFFSET($H$3,0,0,'Données projet'!$E$15+1,1))</f>
        <v>358.75637627589799</v>
      </c>
      <c r="EP34" s="62">
        <f t="shared" si="46"/>
        <v>349.64821164483607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9.4776881616827087</v>
      </c>
      <c r="EW34" s="23">
        <f>EXP(-LN(2)/25)*EW33+(1-EXP(-LN(2)/25))/(LN(2)/25)*Calculateur!ER34*Calculateur!ET34*VLOOKUP('Données projet'!$B$15,Paramètres!$A$1:$I$89,3,0)*0.475*44/12</f>
        <v>14.91853299095761</v>
      </c>
      <c r="EX34" s="23">
        <f>EXP(-LN(2)/2)*EX33+(1-EXP(-LN(2)/2))/(LN(2)/2)*ER34*EU34*VLOOKUP('Données projet'!$B$15,Paramètres!$A$1:$I$89,3,0)*0.475*44/12</f>
        <v>2.57838014472593</v>
      </c>
      <c r="EY34" s="24">
        <f t="shared" si="21"/>
        <v>26.974601297366249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>
        <f>FE34*VLOOKUP('Données projet'!$B$16,Paramètres!$A$1:$I$89,3,0)*VLOOKUP('Données projet'!$B$16,Paramètres!$A$1:$I$89,5,0)</f>
        <v>0</v>
      </c>
      <c r="FG34" s="14" t="e">
        <f t="shared" si="47"/>
        <v>#NUM!</v>
      </c>
      <c r="FH34" s="22" t="e">
        <f t="shared" si="22"/>
        <v>#NUM!</v>
      </c>
      <c r="FI34" s="62" t="e">
        <f t="shared" si="23"/>
        <v>#NUM!</v>
      </c>
      <c r="FJ34" s="62">
        <f ca="1">AVERAGE(OFFSET($FI$3,0,0,'Données projet'!$E$16+1,1))-AVERAGE(OFFSET($H$3,0,0,'Données projet'!$E$16+1,1))</f>
        <v>121.28977654040114</v>
      </c>
      <c r="FK34" s="62">
        <f t="shared" si="48"/>
        <v>615.69585264342595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108.86618040939068</v>
      </c>
      <c r="FR34" s="23">
        <f>EXP(-LN(2)/25)*FR33+(1-EXP(-LN(2)/25))/(LN(2)/25)*Calculateur!FM34*Calculateur!FO34*VLOOKUP('Données projet'!$B$16,Paramètres!$A$1:$I$89,3,0)*0.475*44/12</f>
        <v>24.072128568800551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132.93830897819123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</v>
      </c>
      <c r="N35" s="14">
        <f>IF('Données projet'!$A$36&gt;35,N34+M35-V34,IF(A35&lt;'Données projet'!$A$36,$K$205^A35,IF(A35='Données projet'!$A$36,'Données projet'!$B$36,N34+M35-V34)))</f>
        <v>166.99999999999991</v>
      </c>
      <c r="O35" s="14">
        <f>N35*VLOOKUP('Données projet'!$B$9,Paramètres!$A$1:$I$89,3,0)*VLOOKUP('Données projet'!$B$9,Paramètres!$A$1:$I$89,5,0)</f>
        <v>132.86519999999993</v>
      </c>
      <c r="P35" s="14">
        <f t="shared" si="33"/>
        <v>34.657580565743032</v>
      </c>
      <c r="Q35" s="22">
        <f t="shared" ref="Q35:Q66" si="53">(O35+P35)*0.475*44/12</f>
        <v>291.76884281866893</v>
      </c>
      <c r="R35" s="62">
        <f t="shared" si="0"/>
        <v>585.10217615200224</v>
      </c>
      <c r="S35" s="62">
        <f ca="1">AVERAGE(OFFSET($R$3,0,0,'Données projet'!$E$9+1,1))-AVERAGE(OFFSET($H$3,0,0,'Données projet'!$E$9+1,1))</f>
        <v>352.5736659365665</v>
      </c>
      <c r="T35" s="62">
        <f t="shared" si="34"/>
        <v>343.77208530767069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12.957298066947438</v>
      </c>
      <c r="AA35" s="23">
        <f>EXP(-LN(2)/25)*AA34+(1-EXP(-LN(2)/25))/(LN(2)/25)*Calculateur!V35*Calculateur!X35*VLOOKUP('Données projet'!$B$9,Paramètres!$A$1:$I$89,3,0)*0.475*44/12</f>
        <v>22.440179980605585</v>
      </c>
      <c r="AB35" s="23">
        <f>EXP(-LN(2)/2)*AB34+(1-EXP(-LN(2)/2))/(LN(2)/2)*V35*Y35*VLOOKUP('Données projet'!$B$9,Paramètres!$A$1:$I$89,3,0)*0.475*44/12</f>
        <v>0</v>
      </c>
      <c r="AC35" s="24">
        <f t="shared" si="3"/>
        <v>35.397478047553022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</v>
      </c>
      <c r="AI35" s="14">
        <f>IF('Données projet'!$A$62&gt;35,AI34+AH35-AQ34,IF(A35&lt;'Données projet'!$A$62,$AF$205^A35,IF(A35='Données projet'!$A$62,'Données projet'!$B$62,AI34+AH35-AQ34)))</f>
        <v>111.00000000000006</v>
      </c>
      <c r="AJ35" s="14">
        <f>AI35*VLOOKUP('Données projet'!$B$10,Paramètres!$A$1:$I$89,3,0)*VLOOKUP('Données projet'!$B$10,Paramètres!$A$1:$I$89,5,0)</f>
        <v>72.727200000000025</v>
      </c>
      <c r="AK35" s="14">
        <f t="shared" si="35"/>
        <v>20.349203598669767</v>
      </c>
      <c r="AL35" s="22">
        <f t="shared" si="4"/>
        <v>162.10806960101658</v>
      </c>
      <c r="AM35" s="62">
        <f t="shared" si="5"/>
        <v>455.44140293434987</v>
      </c>
      <c r="AN35" s="62">
        <f ca="1">AVERAGE(OFFSET($AM$3,0,0,'Données projet'!$E$10+1,1))-AVERAGE(OFFSET($H$3,0,0,'Données projet'!$E$10+1,1))</f>
        <v>210.08998695869161</v>
      </c>
      <c r="AO35" s="62">
        <f t="shared" si="36"/>
        <v>207.30911916430881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9.2358713509253398E-2</v>
      </c>
      <c r="AX35" s="23">
        <f t="shared" si="6"/>
        <v>9.2358713509253398E-2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114.60000000000004</v>
      </c>
      <c r="BE35" s="14">
        <f>BD35*VLOOKUP('Données projet'!$B$11,Paramètres!$A$1:$I$89,3,0)*VLOOKUP('Données projet'!$B$11,Paramètres!$A$1:$I$89,5,0)</f>
        <v>76.873680000000022</v>
      </c>
      <c r="BF35" s="14">
        <f t="shared" si="37"/>
        <v>21.371018263850051</v>
      </c>
      <c r="BG35" s="22">
        <f t="shared" si="7"/>
        <v>171.1095161428722</v>
      </c>
      <c r="BH35" s="62">
        <f t="shared" si="8"/>
        <v>464.44284947620554</v>
      </c>
      <c r="BI35" s="62">
        <f ca="1">AVERAGE(OFFSET($BH$3,0,0,'Données projet'!$E$11+1,1))-AVERAGE(OFFSET($H$3,0,0,'Données projet'!$E$11+1,1))</f>
        <v>335.83558218229564</v>
      </c>
      <c r="BJ35" s="62">
        <f t="shared" si="38"/>
        <v>217.08423061559648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10.486577782810665</v>
      </c>
      <c r="BS35" s="24">
        <f t="shared" si="9"/>
        <v>10.486577782810665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11.5</v>
      </c>
      <c r="BY35" s="13">
        <f>IF('Données projet'!$A$114&gt;35,BY34+BX35-CG34,IF(A35&lt;'Données projet'!$A$114,$BV$205^A35,IF(A35='Données projet'!$A$114,'Données projet'!$B$114,BY34+BX35-CG34)))</f>
        <v>130.49999999999994</v>
      </c>
      <c r="BZ35" s="14">
        <f>BY35*VLOOKUP('Données projet'!$B$12,Paramètres!$A$1:$I$89,3,0)*VLOOKUP('Données projet'!$B$12,Paramètres!$A$1:$I$89,5,0)</f>
        <v>101.78999999999996</v>
      </c>
      <c r="CA35" s="14">
        <f t="shared" si="39"/>
        <v>27.38799903683508</v>
      </c>
      <c r="CB35" s="22">
        <f t="shared" si="10"/>
        <v>224.98501498915437</v>
      </c>
      <c r="CC35" s="62">
        <f t="shared" si="11"/>
        <v>518.31834832248774</v>
      </c>
      <c r="CD35" s="62">
        <f ca="1">AVERAGE(OFFSET($CC$3,0,0,'Données projet'!$E$12+1,1))-AVERAGE(OFFSET($H$3,0,0,'Données projet'!$E$12+1,1))</f>
        <v>288.82868507674738</v>
      </c>
      <c r="CE35" s="62">
        <f t="shared" si="40"/>
        <v>283.48738729114024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4.6089282841722836</v>
      </c>
      <c r="CM35" s="23">
        <f>EXP(-LN(2)/2)*CM34+(1-EXP(-LN(2)/2))/(LN(2)/2)*CG35*CJ35*VLOOKUP('Données projet'!$B$12,Paramètres!$A$1:$I$89,3,0)*0.475*44/12</f>
        <v>1.2898848498824911</v>
      </c>
      <c r="CN35" s="24">
        <f t="shared" si="12"/>
        <v>5.8988131340547749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13</v>
      </c>
      <c r="CT35" s="13">
        <f>IF('Données projet'!$A$140&gt;35,CT34+CS35-DB34,IF(A35&lt;'Données projet'!$A$140,$CQ$205^A35,IF(A35='Données projet'!$A$140,'Données projet'!$B$140,CT34+CS35-DB34)))</f>
        <v>166.99999999999991</v>
      </c>
      <c r="CU35" s="18">
        <f>CT35*VLOOKUP('Données projet'!$B$13,Paramètres!$A$1:$I$89,3,0)*VLOOKUP('Données projet'!$B$13,Paramètres!$A$1:$I$89,5,0)</f>
        <v>145.89119999999994</v>
      </c>
      <c r="CV35" s="14">
        <f t="shared" si="41"/>
        <v>37.643342098399685</v>
      </c>
      <c r="CW35" s="22">
        <f t="shared" si="13"/>
        <v>319.65599415471269</v>
      </c>
      <c r="CX35" s="62">
        <f t="shared" si="14"/>
        <v>612.989327488046</v>
      </c>
      <c r="CY35" s="62">
        <f ca="1">AVERAGE(OFFSET($CX$3,0,0,'Données projet'!$E$13+1,1))-AVERAGE(OFFSET($H$3,0,0,'Données projet'!$E$13+1,1))</f>
        <v>383.46266660377637</v>
      </c>
      <c r="CZ35" s="62">
        <f t="shared" si="42"/>
        <v>373.1287543230714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15.189726789964164</v>
      </c>
      <c r="DH35" s="23">
        <f>EXP(-LN(2)/2)*DH34+(1-EXP(-LN(2)/2))/(LN(2)/2)*DB35*DE35*VLOOKUP('Données projet'!$B$13,Paramètres!$A$1:$I$89,3,0)*0.475*44/12</f>
        <v>10.618219158244186</v>
      </c>
      <c r="DI35" s="24">
        <f t="shared" si="15"/>
        <v>25.807945948208349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>
        <f>DO35*VLOOKUP('Données projet'!$B$14,Paramètres!$A$1:$I$89,3,0)*VLOOKUP('Données projet'!$B$14,Paramètres!$A$1:$I$89,5,0)</f>
        <v>0</v>
      </c>
      <c r="DQ35" s="14" t="e">
        <f t="shared" si="43"/>
        <v>#NUM!</v>
      </c>
      <c r="DR35" s="22" t="e">
        <f t="shared" si="16"/>
        <v>#NUM!</v>
      </c>
      <c r="DS35" s="62" t="e">
        <f t="shared" si="17"/>
        <v>#NUM!</v>
      </c>
      <c r="DT35" s="62">
        <f ca="1">AVERAGE(OFFSET($DS$3,0,0,'Données projet'!$E$14+1,1))-AVERAGE(OFFSET($H$3,0,0,'Données projet'!$E$14+1,1))</f>
        <v>96.56611521638132</v>
      </c>
      <c r="DU35" s="62">
        <f t="shared" si="44"/>
        <v>465.03257878814094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79.216430398701107</v>
      </c>
      <c r="EB35" s="23">
        <f>EXP(-LN(2)/25)*EB34+(1-EXP(-LN(2)/25))/(LN(2)/25)*Calculateur!DW35*Calculateur!DY35*VLOOKUP('Données projet'!$B$14,Paramètres!$A$1:$I$89,3,0)*0.475*44/12</f>
        <v>17.377865605293731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96.594296003994842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13</v>
      </c>
      <c r="EJ35" s="13">
        <f>IF('Données projet'!$A$192&gt;35,EJ34+EI35-ER34,IF(A35&lt;'Données projet'!$A$192,$EG$205^A35,IF(A35='Données projet'!$A$192,'Données projet'!$B$192,EJ34+EI35-ER34)))</f>
        <v>166.99999999999991</v>
      </c>
      <c r="EK35" s="18">
        <f>EJ35*VLOOKUP('Données projet'!$B$15,Paramètres!$A$1:$I$89,3,0)*VLOOKUP('Données projet'!$B$15,Paramètres!$A$1:$I$89,5,0)</f>
        <v>135.47039999999996</v>
      </c>
      <c r="EL35" s="14">
        <f t="shared" si="45"/>
        <v>35.25735985641483</v>
      </c>
      <c r="EM35" s="22">
        <f t="shared" si="19"/>
        <v>297.35084841658909</v>
      </c>
      <c r="EN35" s="62">
        <f t="shared" si="20"/>
        <v>590.68418174992235</v>
      </c>
      <c r="EO35" s="62">
        <f ca="1">AVERAGE(OFFSET($EN$3,0,0,'Données projet'!$E$15+1,1))-AVERAGE(OFFSET($H$3,0,0,'Données projet'!$E$15+1,1))</f>
        <v>358.75637627589799</v>
      </c>
      <c r="EP35" s="62">
        <f t="shared" si="46"/>
        <v>349.64821164483607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9.2918364776510813</v>
      </c>
      <c r="EW35" s="23">
        <f>EXP(-LN(2)/25)*EW34+(1-EXP(-LN(2)/25))/(LN(2)/25)*Calculateur!ER35*Calculateur!ET35*VLOOKUP('Données projet'!$B$15,Paramètres!$A$1:$I$89,3,0)*0.475*44/12</f>
        <v>14.510584921788322</v>
      </c>
      <c r="EX35" s="23">
        <f>EXP(-LN(2)/2)*EX34+(1-EXP(-LN(2)/2))/(LN(2)/2)*ER35*EU35*VLOOKUP('Données projet'!$B$15,Paramètres!$A$1:$I$89,3,0)*0.475*44/12</f>
        <v>1.8231900848124571</v>
      </c>
      <c r="EY35" s="24">
        <f t="shared" si="21"/>
        <v>25.625611484251859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>
        <f>FE35*VLOOKUP('Données projet'!$B$16,Paramètres!$A$1:$I$89,3,0)*VLOOKUP('Données projet'!$B$16,Paramètres!$A$1:$I$89,5,0)</f>
        <v>0</v>
      </c>
      <c r="FG35" s="14" t="e">
        <f t="shared" si="47"/>
        <v>#NUM!</v>
      </c>
      <c r="FH35" s="22" t="e">
        <f t="shared" si="22"/>
        <v>#NUM!</v>
      </c>
      <c r="FI35" s="62" t="e">
        <f t="shared" si="23"/>
        <v>#NUM!</v>
      </c>
      <c r="FJ35" s="62">
        <f ca="1">AVERAGE(OFFSET($FI$3,0,0,'Données projet'!$E$16+1,1))-AVERAGE(OFFSET($H$3,0,0,'Données projet'!$E$16+1,1))</f>
        <v>121.28977654040114</v>
      </c>
      <c r="FK35" s="62">
        <f t="shared" si="48"/>
        <v>615.69585264342595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106.73138101337594</v>
      </c>
      <c r="FR35" s="23">
        <f>EXP(-LN(2)/25)*FR34+(1-EXP(-LN(2)/25))/(LN(2)/25)*Calculateur!FM35*Calculateur!FO35*VLOOKUP('Données projet'!$B$16,Paramètres!$A$1:$I$89,3,0)*0.475*44/12</f>
        <v>23.413874947188475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130.14525596056441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</v>
      </c>
      <c r="N36" s="14">
        <f>IF('Données projet'!$A$36&gt;35,N35+M36-V35,IF(A36&lt;'Données projet'!$A$36,$K$205^A36,IF(A36='Données projet'!$A$36,'Données projet'!$B$36,N35+M36-V35)))</f>
        <v>179.99999999999991</v>
      </c>
      <c r="O36" s="14">
        <f>N36*VLOOKUP('Données projet'!$B$9,Paramètres!$A$1:$I$89,3,0)*VLOOKUP('Données projet'!$B$9,Paramètres!$A$1:$I$89,5,0)</f>
        <v>143.20799999999994</v>
      </c>
      <c r="P36" s="14">
        <f t="shared" si="33"/>
        <v>37.030941422835802</v>
      </c>
      <c r="Q36" s="22">
        <f t="shared" si="53"/>
        <v>313.9161563114389</v>
      </c>
      <c r="R36" s="62">
        <f t="shared" si="0"/>
        <v>607.24948964477221</v>
      </c>
      <c r="S36" s="62">
        <f ca="1">AVERAGE(OFFSET($R$3,0,0,'Données projet'!$E$9+1,1))-AVERAGE(OFFSET($H$3,0,0,'Données projet'!$E$9+1,1))</f>
        <v>352.5736659365665</v>
      </c>
      <c r="T36" s="62">
        <f t="shared" si="34"/>
        <v>343.77208530767069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12.703213355026046</v>
      </c>
      <c r="AA36" s="23">
        <f>EXP(-LN(2)/25)*AA35+(1-EXP(-LN(2)/25))/(LN(2)/25)*Calculateur!V36*Calculateur!X36*VLOOKUP('Données projet'!$B$9,Paramètres!$A$1:$I$89,3,0)*0.475*44/12</f>
        <v>21.826552078958148</v>
      </c>
      <c r="AB36" s="23">
        <f>EXP(-LN(2)/2)*AB35+(1-EXP(-LN(2)/2))/(LN(2)/2)*V36*Y36*VLOOKUP('Données projet'!$B$9,Paramètres!$A$1:$I$89,3,0)*0.475*44/12</f>
        <v>0</v>
      </c>
      <c r="AC36" s="24">
        <f t="shared" si="3"/>
        <v>34.529765433984196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</v>
      </c>
      <c r="AI36" s="14">
        <f>IF('Données projet'!$A$62&gt;35,AI35+AH36-AQ35,IF(A36&lt;'Données projet'!$A$62,$AF$205^A36,IF(A36='Données projet'!$A$62,'Données projet'!$B$62,AI35+AH36-AQ35)))</f>
        <v>118.00000000000006</v>
      </c>
      <c r="AJ36" s="14">
        <f>AI36*VLOOKUP('Données projet'!$B$10,Paramètres!$A$1:$I$89,3,0)*VLOOKUP('Données projet'!$B$10,Paramètres!$A$1:$I$89,5,0)</f>
        <v>77.313600000000037</v>
      </c>
      <c r="AK36" s="14">
        <f t="shared" si="35"/>
        <v>21.479045333592058</v>
      </c>
      <c r="AL36" s="22">
        <f t="shared" si="4"/>
        <v>172.06385728933955</v>
      </c>
      <c r="AM36" s="62">
        <f t="shared" si="5"/>
        <v>465.39719062267284</v>
      </c>
      <c r="AN36" s="62">
        <f ca="1">AVERAGE(OFFSET($AM$3,0,0,'Données projet'!$E$10+1,1))-AVERAGE(OFFSET($H$3,0,0,'Données projet'!$E$10+1,1))</f>
        <v>210.08998695869161</v>
      </c>
      <c r="AO36" s="62">
        <f t="shared" si="36"/>
        <v>207.30911916430881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6.5307472624058671E-2</v>
      </c>
      <c r="AX36" s="23">
        <f t="shared" si="6"/>
        <v>6.5307472624058671E-2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125.40000000000003</v>
      </c>
      <c r="BE36" s="14">
        <f>BD36*VLOOKUP('Données projet'!$B$11,Paramètres!$A$1:$I$89,3,0)*VLOOKUP('Données projet'!$B$11,Paramètres!$A$1:$I$89,5,0)</f>
        <v>84.118320000000026</v>
      </c>
      <c r="BF36" s="14">
        <f t="shared" si="37"/>
        <v>23.141174145643028</v>
      </c>
      <c r="BG36" s="22">
        <f t="shared" si="7"/>
        <v>186.81028563699499</v>
      </c>
      <c r="BH36" s="62">
        <f t="shared" si="8"/>
        <v>480.1436189703283</v>
      </c>
      <c r="BI36" s="62">
        <f ca="1">AVERAGE(OFFSET($BH$3,0,0,'Données projet'!$E$11+1,1))-AVERAGE(OFFSET($H$3,0,0,'Données projet'!$E$11+1,1))</f>
        <v>335.83558218229564</v>
      </c>
      <c r="BJ36" s="62">
        <f t="shared" si="38"/>
        <v>217.08423061559648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7.4151302616656123</v>
      </c>
      <c r="BS36" s="24">
        <f t="shared" si="9"/>
        <v>7.4151302616656123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11.5</v>
      </c>
      <c r="BY36" s="13">
        <f>IF('Données projet'!$A$114&gt;35,BY35+BX36-CG35,IF(A36&lt;'Données projet'!$A$114,$BV$205^A36,IF(A36='Données projet'!$A$114,'Données projet'!$B$114,BY35+BX36-CG35)))</f>
        <v>141.99999999999994</v>
      </c>
      <c r="BZ36" s="14">
        <f>BY36*VLOOKUP('Données projet'!$B$12,Paramètres!$A$1:$I$89,3,0)*VLOOKUP('Données projet'!$B$12,Paramètres!$A$1:$I$89,5,0)</f>
        <v>110.75999999999996</v>
      </c>
      <c r="CA36" s="14">
        <f t="shared" si="39"/>
        <v>29.509974682362923</v>
      </c>
      <c r="CB36" s="22">
        <f t="shared" si="10"/>
        <v>244.30353923844871</v>
      </c>
      <c r="CC36" s="62">
        <f t="shared" si="11"/>
        <v>537.63687257178208</v>
      </c>
      <c r="CD36" s="62">
        <f ca="1">AVERAGE(OFFSET($CC$3,0,0,'Données projet'!$E$12+1,1))-AVERAGE(OFFSET($H$3,0,0,'Données projet'!$E$12+1,1))</f>
        <v>288.82868507674738</v>
      </c>
      <c r="CE36" s="62">
        <f t="shared" si="40"/>
        <v>283.48738729114024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4.4828968978685877</v>
      </c>
      <c r="CM36" s="23">
        <f>EXP(-LN(2)/2)*CM35+(1-EXP(-LN(2)/2))/(LN(2)/2)*CG36*CJ36*VLOOKUP('Données projet'!$B$12,Paramètres!$A$1:$I$89,3,0)*0.475*44/12</f>
        <v>0.91208632430170133</v>
      </c>
      <c r="CN36" s="24">
        <f t="shared" si="12"/>
        <v>5.3949832221702891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13</v>
      </c>
      <c r="CT36" s="13">
        <f>IF('Données projet'!$A$140&gt;35,CT35+CS36-DB35,IF(A36&lt;'Données projet'!$A$140,$CQ$205^A36,IF(A36='Données projet'!$A$140,'Données projet'!$B$140,CT35+CS36-DB35)))</f>
        <v>179.99999999999991</v>
      </c>
      <c r="CU36" s="18">
        <f>CT36*VLOOKUP('Données projet'!$B$13,Paramètres!$A$1:$I$89,3,0)*VLOOKUP('Données projet'!$B$13,Paramètres!$A$1:$I$89,5,0)</f>
        <v>157.24799999999996</v>
      </c>
      <c r="CV36" s="14">
        <f t="shared" si="41"/>
        <v>40.22116874434861</v>
      </c>
      <c r="CW36" s="22">
        <f t="shared" si="13"/>
        <v>343.92546889640704</v>
      </c>
      <c r="CX36" s="62">
        <f t="shared" si="14"/>
        <v>637.25880222974035</v>
      </c>
      <c r="CY36" s="62">
        <f ca="1">AVERAGE(OFFSET($CX$3,0,0,'Données projet'!$E$13+1,1))-AVERAGE(OFFSET($H$3,0,0,'Données projet'!$E$13+1,1))</f>
        <v>383.46266660377637</v>
      </c>
      <c r="CZ36" s="62">
        <f t="shared" si="42"/>
        <v>373.1287543230714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14.774362912099578</v>
      </c>
      <c r="DH36" s="23">
        <f>EXP(-LN(2)/2)*DH35+(1-EXP(-LN(2)/2))/(LN(2)/2)*DB36*DE36*VLOOKUP('Données projet'!$B$13,Paramètres!$A$1:$I$89,3,0)*0.475*44/12</f>
        <v>7.5082147709193787</v>
      </c>
      <c r="DI36" s="24">
        <f t="shared" si="15"/>
        <v>22.282577683018957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>
        <f>DO36*VLOOKUP('Données projet'!$B$14,Paramètres!$A$1:$I$89,3,0)*VLOOKUP('Données projet'!$B$14,Paramètres!$A$1:$I$89,5,0)</f>
        <v>0</v>
      </c>
      <c r="DQ36" s="14" t="e">
        <f t="shared" si="43"/>
        <v>#NUM!</v>
      </c>
      <c r="DR36" s="22" t="e">
        <f t="shared" si="16"/>
        <v>#NUM!</v>
      </c>
      <c r="DS36" s="62" t="e">
        <f t="shared" si="17"/>
        <v>#NUM!</v>
      </c>
      <c r="DT36" s="62">
        <f ca="1">AVERAGE(OFFSET($DS$3,0,0,'Données projet'!$E$14+1,1))-AVERAGE(OFFSET($H$3,0,0,'Données projet'!$E$14+1,1))</f>
        <v>96.56611521638132</v>
      </c>
      <c r="DU36" s="62">
        <f t="shared" si="44"/>
        <v>465.03257878814094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77.663044515834187</v>
      </c>
      <c r="EB36" s="23">
        <f>EXP(-LN(2)/25)*EB35+(1-EXP(-LN(2)/25))/(LN(2)/25)*Calculateur!DW36*Calculateur!DY36*VLOOKUP('Données projet'!$B$14,Paramètres!$A$1:$I$89,3,0)*0.475*44/12</f>
        <v>16.902666956454741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94.565711472288925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13</v>
      </c>
      <c r="EJ36" s="13">
        <f>IF('Données projet'!$A$192&gt;35,EJ35+EI36-ER35,IF(A36&lt;'Données projet'!$A$192,$EG$205^A36,IF(A36='Données projet'!$A$192,'Données projet'!$B$192,EJ35+EI36-ER35)))</f>
        <v>179.99999999999991</v>
      </c>
      <c r="EK36" s="18">
        <f>EJ36*VLOOKUP('Données projet'!$B$15,Paramètres!$A$1:$I$89,3,0)*VLOOKUP('Données projet'!$B$15,Paramètres!$A$1:$I$89,5,0)</f>
        <v>146.01599999999996</v>
      </c>
      <c r="EL36" s="14">
        <f t="shared" si="45"/>
        <v>37.671793767891103</v>
      </c>
      <c r="EM36" s="22">
        <f t="shared" si="19"/>
        <v>319.92290747907691</v>
      </c>
      <c r="EN36" s="62">
        <f t="shared" si="20"/>
        <v>613.25624081241017</v>
      </c>
      <c r="EO36" s="62">
        <f ca="1">AVERAGE(OFFSET($EN$3,0,0,'Données projet'!$E$15+1,1))-AVERAGE(OFFSET($H$3,0,0,'Données projet'!$E$15+1,1))</f>
        <v>358.75637627589799</v>
      </c>
      <c r="EP36" s="62">
        <f t="shared" si="46"/>
        <v>349.64821164483607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9.1096292317849805</v>
      </c>
      <c r="EW36" s="23">
        <f>EXP(-LN(2)/25)*EW35+(1-EXP(-LN(2)/25))/(LN(2)/25)*Calculateur!ER36*Calculateur!ET36*VLOOKUP('Données projet'!$B$15,Paramètres!$A$1:$I$89,3,0)*0.475*44/12</f>
        <v>14.113792214023524</v>
      </c>
      <c r="EX36" s="23">
        <f>EXP(-LN(2)/2)*EX35+(1-EXP(-LN(2)/2))/(LN(2)/2)*ER36*EU36*VLOOKUP('Données projet'!$B$15,Paramètres!$A$1:$I$89,3,0)*0.475*44/12</f>
        <v>1.2891900723629652</v>
      </c>
      <c r="EY36" s="24">
        <f t="shared" si="21"/>
        <v>24.512611518171472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>
        <f>FE36*VLOOKUP('Données projet'!$B$16,Paramètres!$A$1:$I$89,3,0)*VLOOKUP('Données projet'!$B$16,Paramètres!$A$1:$I$89,5,0)</f>
        <v>0</v>
      </c>
      <c r="FG36" s="14" t="e">
        <f t="shared" si="47"/>
        <v>#NUM!</v>
      </c>
      <c r="FH36" s="22" t="e">
        <f t="shared" si="22"/>
        <v>#NUM!</v>
      </c>
      <c r="FI36" s="62" t="e">
        <f t="shared" si="23"/>
        <v>#NUM!</v>
      </c>
      <c r="FJ36" s="62">
        <f ca="1">AVERAGE(OFFSET($FI$3,0,0,'Données projet'!$E$16+1,1))-AVERAGE(OFFSET($H$3,0,0,'Données projet'!$E$16+1,1))</f>
        <v>121.28977654040114</v>
      </c>
      <c r="FK36" s="62">
        <f t="shared" si="48"/>
        <v>615.69585264342595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104.63844373141799</v>
      </c>
      <c r="FR36" s="23">
        <f>EXP(-LN(2)/25)*FR35+(1-EXP(-LN(2)/25))/(LN(2)/25)*Calculateur!FM36*Calculateur!FO36*VLOOKUP('Données projet'!$B$16,Paramètres!$A$1:$I$89,3,0)*0.475*44/12</f>
        <v>22.773621305475437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127.41206503689344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</v>
      </c>
      <c r="N37" s="14">
        <f>IF('Données projet'!$A$36&gt;35,N36+M37-V36,IF(A37&lt;'Données projet'!$A$36,$K$205^A37,IF(A37='Données projet'!$A$36,'Données projet'!$B$36,N36+M37-V36)))</f>
        <v>192.99999999999991</v>
      </c>
      <c r="O37" s="14">
        <f>N37*VLOOKUP('Données projet'!$B$9,Paramètres!$A$1:$I$89,3,0)*VLOOKUP('Données projet'!$B$9,Paramètres!$A$1:$I$89,5,0)</f>
        <v>153.55079999999995</v>
      </c>
      <c r="P37" s="14">
        <f t="shared" si="33"/>
        <v>39.384415616157526</v>
      </c>
      <c r="Q37" s="22">
        <f t="shared" si="53"/>
        <v>336.02883386480761</v>
      </c>
      <c r="R37" s="62">
        <f t="shared" si="0"/>
        <v>629.36216719814092</v>
      </c>
      <c r="S37" s="62">
        <f ca="1">AVERAGE(OFFSET($R$3,0,0,'Données projet'!$E$9+1,1))-AVERAGE(OFFSET($H$3,0,0,'Données projet'!$E$9+1,1))</f>
        <v>352.5736659365665</v>
      </c>
      <c r="T37" s="62">
        <f t="shared" si="34"/>
        <v>343.77208530767069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12.454111089329061</v>
      </c>
      <c r="AA37" s="23">
        <f>EXP(-LN(2)/25)*AA36+(1-EXP(-LN(2)/25))/(LN(2)/25)*Calculateur!V37*Calculateur!X37*VLOOKUP('Données projet'!$B$9,Paramètres!$A$1:$I$89,3,0)*0.475*44/12</f>
        <v>21.229703864550547</v>
      </c>
      <c r="AB37" s="23">
        <f>EXP(-LN(2)/2)*AB36+(1-EXP(-LN(2)/2))/(LN(2)/2)*V37*Y37*VLOOKUP('Données projet'!$B$9,Paramètres!$A$1:$I$89,3,0)*0.475*44/12</f>
        <v>0</v>
      </c>
      <c r="AC37" s="24">
        <f t="shared" si="3"/>
        <v>33.683814953879605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</v>
      </c>
      <c r="AI37" s="14">
        <f>IF('Données projet'!$A$62&gt;35,AI36+AH37-AQ36,IF(A37&lt;'Données projet'!$A$62,$AF$205^A37,IF(A37='Données projet'!$A$62,'Données projet'!$B$62,AI36+AH37-AQ36)))</f>
        <v>125.00000000000006</v>
      </c>
      <c r="AJ37" s="14">
        <f>AI37*VLOOKUP('Données projet'!$B$10,Paramètres!$A$1:$I$89,3,0)*VLOOKUP('Données projet'!$B$10,Paramètres!$A$1:$I$89,5,0)</f>
        <v>81.900000000000034</v>
      </c>
      <c r="AK37" s="14">
        <f t="shared" si="35"/>
        <v>22.601107473346342</v>
      </c>
      <c r="AL37" s="22">
        <f t="shared" si="4"/>
        <v>182.00609551607829</v>
      </c>
      <c r="AM37" s="62">
        <f t="shared" si="5"/>
        <v>475.3394288494116</v>
      </c>
      <c r="AN37" s="62">
        <f ca="1">AVERAGE(OFFSET($AM$3,0,0,'Données projet'!$E$10+1,1))-AVERAGE(OFFSET($H$3,0,0,'Données projet'!$E$10+1,1))</f>
        <v>210.08998695869161</v>
      </c>
      <c r="AO37" s="62">
        <f t="shared" si="36"/>
        <v>207.30911916430881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4.6179356754626699E-2</v>
      </c>
      <c r="AX37" s="23">
        <f t="shared" si="6"/>
        <v>4.6179356754626699E-2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136.20000000000005</v>
      </c>
      <c r="BE37" s="14">
        <f>BD37*VLOOKUP('Données projet'!$B$11,Paramètres!$A$1:$I$89,3,0)*VLOOKUP('Données projet'!$B$11,Paramètres!$A$1:$I$89,5,0)</f>
        <v>91.362960000000029</v>
      </c>
      <c r="BF37" s="14">
        <f t="shared" si="37"/>
        <v>24.89365002424929</v>
      </c>
      <c r="BG37" s="22">
        <f t="shared" si="7"/>
        <v>202.48026245890085</v>
      </c>
      <c r="BH37" s="62">
        <f t="shared" si="8"/>
        <v>495.8135957922342</v>
      </c>
      <c r="BI37" s="62">
        <f ca="1">AVERAGE(OFFSET($BH$3,0,0,'Données projet'!$E$11+1,1))-AVERAGE(OFFSET($H$3,0,0,'Données projet'!$E$11+1,1))</f>
        <v>335.83558218229564</v>
      </c>
      <c r="BJ37" s="62">
        <f t="shared" si="38"/>
        <v>217.08423061559648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5.2432888914053333</v>
      </c>
      <c r="BS37" s="24">
        <f t="shared" si="9"/>
        <v>5.2432888914053333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11.5</v>
      </c>
      <c r="BY37" s="13">
        <f>IF('Données projet'!$A$114&gt;35,BY36+BX37-CG36,IF(A37&lt;'Données projet'!$A$114,$BV$205^A37,IF(A37='Données projet'!$A$114,'Données projet'!$B$114,BY36+BX37-CG36)))</f>
        <v>153.49999999999994</v>
      </c>
      <c r="BZ37" s="14">
        <f>BY37*VLOOKUP('Données projet'!$B$12,Paramètres!$A$1:$I$89,3,0)*VLOOKUP('Données projet'!$B$12,Paramètres!$A$1:$I$89,5,0)</f>
        <v>119.72999999999996</v>
      </c>
      <c r="CA37" s="14">
        <f t="shared" si="39"/>
        <v>31.612017974790529</v>
      </c>
      <c r="CB37" s="22">
        <f t="shared" si="10"/>
        <v>263.58734797276003</v>
      </c>
      <c r="CC37" s="62">
        <f t="shared" si="11"/>
        <v>556.92068130609334</v>
      </c>
      <c r="CD37" s="62">
        <f ca="1">AVERAGE(OFFSET($CC$3,0,0,'Données projet'!$E$12+1,1))-AVERAGE(OFFSET($H$3,0,0,'Données projet'!$E$12+1,1))</f>
        <v>288.82868507674738</v>
      </c>
      <c r="CE37" s="62">
        <f t="shared" si="40"/>
        <v>283.48738729114024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4.3603118464510695</v>
      </c>
      <c r="CM37" s="23">
        <f>EXP(-LN(2)/2)*CM36+(1-EXP(-LN(2)/2))/(LN(2)/2)*CG37*CJ37*VLOOKUP('Données projet'!$B$12,Paramètres!$A$1:$I$89,3,0)*0.475*44/12</f>
        <v>0.64494242494124554</v>
      </c>
      <c r="CN37" s="24">
        <f t="shared" si="12"/>
        <v>5.0052542713923147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13</v>
      </c>
      <c r="CT37" s="13">
        <f>IF('Données projet'!$A$140&gt;35,CT36+CS37-DB36,IF(A37&lt;'Données projet'!$A$140,$CQ$205^A37,IF(A37='Données projet'!$A$140,'Données projet'!$B$140,CT36+CS37-DB36)))</f>
        <v>192.99999999999991</v>
      </c>
      <c r="CU37" s="18">
        <f>CT37*VLOOKUP('Données projet'!$B$13,Paramètres!$A$1:$I$89,3,0)*VLOOKUP('Données projet'!$B$13,Paramètres!$A$1:$I$89,5,0)</f>
        <v>168.60479999999993</v>
      </c>
      <c r="CV37" s="14">
        <f t="shared" si="41"/>
        <v>42.777395484149757</v>
      </c>
      <c r="CW37" s="22">
        <f t="shared" si="13"/>
        <v>368.15732380156072</v>
      </c>
      <c r="CX37" s="62">
        <f t="shared" si="14"/>
        <v>661.49065713489404</v>
      </c>
      <c r="CY37" s="62">
        <f ca="1">AVERAGE(OFFSET($CX$3,0,0,'Données projet'!$E$13+1,1))-AVERAGE(OFFSET($H$3,0,0,'Données projet'!$E$13+1,1))</f>
        <v>383.46266660377637</v>
      </c>
      <c r="CZ37" s="62">
        <f t="shared" si="42"/>
        <v>373.1287543230714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14.370357181318237</v>
      </c>
      <c r="DH37" s="23">
        <f>EXP(-LN(2)/2)*DH36+(1-EXP(-LN(2)/2))/(LN(2)/2)*DB37*DE37*VLOOKUP('Données projet'!$B$13,Paramètres!$A$1:$I$89,3,0)*0.475*44/12</f>
        <v>5.3091095791220937</v>
      </c>
      <c r="DI37" s="24">
        <f t="shared" si="15"/>
        <v>19.679466760440331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>
        <f>DO37*VLOOKUP('Données projet'!$B$14,Paramètres!$A$1:$I$89,3,0)*VLOOKUP('Données projet'!$B$14,Paramètres!$A$1:$I$89,5,0)</f>
        <v>0</v>
      </c>
      <c r="DQ37" s="14" t="e">
        <f t="shared" si="43"/>
        <v>#NUM!</v>
      </c>
      <c r="DR37" s="22" t="e">
        <f t="shared" si="16"/>
        <v>#NUM!</v>
      </c>
      <c r="DS37" s="62" t="e">
        <f t="shared" si="17"/>
        <v>#NUM!</v>
      </c>
      <c r="DT37" s="62">
        <f ca="1">AVERAGE(OFFSET($DS$3,0,0,'Données projet'!$E$14+1,1))-AVERAGE(OFFSET($H$3,0,0,'Données projet'!$E$14+1,1))</f>
        <v>96.56611521638132</v>
      </c>
      <c r="DU37" s="62">
        <f t="shared" si="44"/>
        <v>465.03257878814094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76.140119582658457</v>
      </c>
      <c r="EB37" s="23">
        <f>EXP(-LN(2)/25)*EB36+(1-EXP(-LN(2)/25))/(LN(2)/25)*Calculateur!DW37*Calculateur!DY37*VLOOKUP('Données projet'!$B$14,Paramètres!$A$1:$I$89,3,0)*0.475*44/12</f>
        <v>16.440462639657863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92.580582222316323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13</v>
      </c>
      <c r="EJ37" s="13">
        <f>IF('Données projet'!$A$192&gt;35,EJ36+EI37-ER36,IF(A37&lt;'Données projet'!$A$192,$EG$205^A37,IF(A37='Données projet'!$A$192,'Données projet'!$B$192,EJ36+EI37-ER36)))</f>
        <v>192.99999999999991</v>
      </c>
      <c r="EK37" s="18">
        <f>EJ37*VLOOKUP('Données projet'!$B$15,Paramètres!$A$1:$I$89,3,0)*VLOOKUP('Données projet'!$B$15,Paramètres!$A$1:$I$89,5,0)</f>
        <v>156.56159999999994</v>
      </c>
      <c r="EL37" s="14">
        <f t="shared" si="45"/>
        <v>40.065996859746477</v>
      </c>
      <c r="EM37" s="22">
        <f t="shared" si="19"/>
        <v>342.45973119739165</v>
      </c>
      <c r="EN37" s="62">
        <f t="shared" si="20"/>
        <v>635.79306453072491</v>
      </c>
      <c r="EO37" s="62">
        <f ca="1">AVERAGE(OFFSET($EN$3,0,0,'Données projet'!$E$15+1,1))-AVERAGE(OFFSET($H$3,0,0,'Données projet'!$E$15+1,1))</f>
        <v>358.75637627589799</v>
      </c>
      <c r="EP37" s="62">
        <f t="shared" si="46"/>
        <v>349.64821164483607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8.9309949588748676</v>
      </c>
      <c r="EW37" s="23">
        <f>EXP(-LN(2)/25)*EW36+(1-EXP(-LN(2)/25))/(LN(2)/25)*Calculateur!ER37*Calculateur!ET37*VLOOKUP('Données projet'!$B$15,Paramètres!$A$1:$I$89,3,0)*0.475*44/12</f>
        <v>13.727849823718977</v>
      </c>
      <c r="EX37" s="23">
        <f>EXP(-LN(2)/2)*EX36+(1-EXP(-LN(2)/2))/(LN(2)/2)*ER37*EU37*VLOOKUP('Données projet'!$B$15,Paramètres!$A$1:$I$89,3,0)*0.475*44/12</f>
        <v>0.91159504240622868</v>
      </c>
      <c r="EY37" s="24">
        <f t="shared" si="21"/>
        <v>23.570439825000076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>
        <f>FE37*VLOOKUP('Données projet'!$B$16,Paramètres!$A$1:$I$89,3,0)*VLOOKUP('Données projet'!$B$16,Paramètres!$A$1:$I$89,5,0)</f>
        <v>0</v>
      </c>
      <c r="FG37" s="14" t="e">
        <f t="shared" si="47"/>
        <v>#NUM!</v>
      </c>
      <c r="FH37" s="22" t="e">
        <f t="shared" si="22"/>
        <v>#NUM!</v>
      </c>
      <c r="FI37" s="62" t="e">
        <f t="shared" si="23"/>
        <v>#NUM!</v>
      </c>
      <c r="FJ37" s="62">
        <f ca="1">AVERAGE(OFFSET($FI$3,0,0,'Données projet'!$E$16+1,1))-AVERAGE(OFFSET($H$3,0,0,'Données projet'!$E$16+1,1))</f>
        <v>121.28977654040114</v>
      </c>
      <c r="FK37" s="62">
        <f t="shared" si="48"/>
        <v>615.69585264342595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102.58654767299355</v>
      </c>
      <c r="FR37" s="23">
        <f>EXP(-LN(2)/25)*FR36+(1-EXP(-LN(2)/25))/(LN(2)/25)*Calculateur!FM37*Calculateur!FO37*VLOOKUP('Données projet'!$B$16,Paramètres!$A$1:$I$89,3,0)*0.475*44/12</f>
        <v>22.150875433264517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124.73742310625806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206</v>
      </c>
      <c r="L38" s="13">
        <f>VLOOKUP(A38,'Données projet'!$A$35:$I$55,9,0)</f>
        <v>13</v>
      </c>
      <c r="M38" s="13">
        <f t="array" ref="M38">INDEX(L:L,MIN(IF(ISNUMBER(L38:L234),ROW(L38:L234),"")))</f>
        <v>13</v>
      </c>
      <c r="N38" s="14">
        <f>IF('Données projet'!$A$36&gt;35,N37+M38-V37,IF(A38&lt;'Données projet'!$A$36,$K$205^A38,IF(A38='Données projet'!$A$36,'Données projet'!$B$36,N37+M38-V37)))</f>
        <v>205.99999999999991</v>
      </c>
      <c r="O38" s="14">
        <f>N38*VLOOKUP('Données projet'!$B$9,Paramètres!$A$1:$I$89,3,0)*VLOOKUP('Données projet'!$B$9,Paramètres!$A$1:$I$89,5,0)</f>
        <v>163.89359999999994</v>
      </c>
      <c r="P38" s="14">
        <f t="shared" si="33"/>
        <v>41.71949506642347</v>
      </c>
      <c r="Q38" s="22">
        <f t="shared" si="53"/>
        <v>358.10947390735402</v>
      </c>
      <c r="R38" s="62">
        <f t="shared" si="0"/>
        <v>651.44280724068733</v>
      </c>
      <c r="S38" s="62">
        <f ca="1">AVERAGE(OFFSET($R$3,0,0,'Données projet'!$E$9+1,1))-AVERAGE(OFFSET($H$3,0,0,'Données projet'!$E$9+1,1))</f>
        <v>352.5736659365665</v>
      </c>
      <c r="T38" s="62">
        <f t="shared" si="34"/>
        <v>343.77208530767069</v>
      </c>
      <c r="U38" s="16">
        <f>IF(ISNA(VLOOKUP(A38,'Données projet'!$A$35:$I$55,3,0)),0,VLOOKUP(A38,'Données projet'!$A$35:$I$55,3,0))</f>
        <v>6</v>
      </c>
      <c r="V38" s="16">
        <f>IF(ISNA(VLOOKUP(A38,'Données projet'!$A$35:$I$55,4,0)),0,VLOOKUP(A38,'Données projet'!$A$35:$I$55,4,0))</f>
        <v>35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12.209893567125015</v>
      </c>
      <c r="AA38" s="23">
        <f>EXP(-LN(2)/25)*AA37+(1-EXP(-LN(2)/25))/(LN(2)/25)*Calculateur!V38*Calculateur!X38*VLOOKUP('Données projet'!$B$9,Paramètres!$A$1:$I$89,3,0)*0.475*44/12</f>
        <v>20.649176495952808</v>
      </c>
      <c r="AB38" s="23">
        <f>EXP(-LN(2)/2)*AB37+(1-EXP(-LN(2)/2))/(LN(2)/2)*V38*Y38*VLOOKUP('Données projet'!$B$9,Paramètres!$A$1:$I$89,3,0)*0.475*44/12</f>
        <v>0</v>
      </c>
      <c r="AC38" s="24">
        <f t="shared" si="3"/>
        <v>32.859070063077823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132</v>
      </c>
      <c r="AG38" s="13">
        <f>VLOOKUP(A38,'Données projet'!$A$61:$I$81,9,0)</f>
        <v>7</v>
      </c>
      <c r="AH38" s="13">
        <f t="array" ref="AH38">INDEX(AG:AG,MIN(IF(ISNUMBER(AG38:AG234),ROW(AG38:AG234),"")))</f>
        <v>7</v>
      </c>
      <c r="AI38" s="14">
        <f>IF('Données projet'!$A$62&gt;35,AI37+AH38-AQ37,IF(A38&lt;'Données projet'!$A$62,$AF$205^A38,IF(A38='Données projet'!$A$62,'Données projet'!$B$62,AI37+AH38-AQ37)))</f>
        <v>132.00000000000006</v>
      </c>
      <c r="AJ38" s="14">
        <f>AI38*VLOOKUP('Données projet'!$B$10,Paramètres!$A$1:$I$89,3,0)*VLOOKUP('Données projet'!$B$10,Paramètres!$A$1:$I$89,5,0)</f>
        <v>86.486400000000032</v>
      </c>
      <c r="AK38" s="14">
        <f t="shared" si="35"/>
        <v>23.715875325195146</v>
      </c>
      <c r="AL38" s="22">
        <f t="shared" si="4"/>
        <v>191.93562952471493</v>
      </c>
      <c r="AM38" s="62">
        <f t="shared" si="5"/>
        <v>485.26896285804821</v>
      </c>
      <c r="AN38" s="62">
        <f ca="1">AVERAGE(OFFSET($AM$3,0,0,'Données projet'!$E$10+1,1))-AVERAGE(OFFSET($H$3,0,0,'Données projet'!$E$10+1,1))</f>
        <v>210.08998695869161</v>
      </c>
      <c r="AO38" s="62">
        <f t="shared" si="36"/>
        <v>207.30911916430881</v>
      </c>
      <c r="AP38" s="16">
        <f>IF(ISNA(VLOOKUP(A38,'Données projet'!$A$61:$I$81,3,0)),0,VLOOKUP(A38,'Données projet'!$A$61:$I$81,3,0))</f>
        <v>6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3.2653736312029336E-2</v>
      </c>
      <c r="AX38" s="23">
        <f t="shared" si="6"/>
        <v>3.2653736312029336E-2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147.00000000000006</v>
      </c>
      <c r="BE38" s="14">
        <f>BD38*VLOOKUP('Données projet'!$B$11,Paramètres!$A$1:$I$89,3,0)*VLOOKUP('Données projet'!$B$11,Paramètres!$A$1:$I$89,5,0)</f>
        <v>98.607600000000033</v>
      </c>
      <c r="BF38" s="14">
        <f t="shared" si="37"/>
        <v>26.630007227548578</v>
      </c>
      <c r="BG38" s="22">
        <f t="shared" si="7"/>
        <v>218.12216592131381</v>
      </c>
      <c r="BH38" s="62">
        <f t="shared" si="8"/>
        <v>511.45549925464712</v>
      </c>
      <c r="BI38" s="62">
        <f ca="1">AVERAGE(OFFSET($BH$3,0,0,'Données projet'!$E$11+1,1))-AVERAGE(OFFSET($H$3,0,0,'Données projet'!$E$11+1,1))</f>
        <v>335.83558218229564</v>
      </c>
      <c r="BJ38" s="62">
        <f t="shared" si="38"/>
        <v>217.08423061559648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3.7075651308328066</v>
      </c>
      <c r="BS38" s="24">
        <f t="shared" si="9"/>
        <v>3.7075651308328066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11.5</v>
      </c>
      <c r="BY38" s="13">
        <f>IF('Données projet'!$A$114&gt;35,BY37+BX38-CG37,IF(A38&lt;'Données projet'!$A$114,$BV$205^A38,IF(A38='Données projet'!$A$114,'Données projet'!$B$114,BY37+BX38-CG37)))</f>
        <v>164.99999999999994</v>
      </c>
      <c r="BZ38" s="14">
        <f>BY38*VLOOKUP('Données projet'!$B$12,Paramètres!$A$1:$I$89,3,0)*VLOOKUP('Données projet'!$B$12,Paramètres!$A$1:$I$89,5,0)</f>
        <v>128.69999999999996</v>
      </c>
      <c r="CA38" s="14">
        <f t="shared" si="39"/>
        <v>33.695792019186115</v>
      </c>
      <c r="CB38" s="22">
        <f t="shared" si="10"/>
        <v>282.83933776674911</v>
      </c>
      <c r="CC38" s="62">
        <f t="shared" si="11"/>
        <v>576.17267110008243</v>
      </c>
      <c r="CD38" s="62">
        <f ca="1">AVERAGE(OFFSET($CC$3,0,0,'Données projet'!$E$12+1,1))-AVERAGE(OFFSET($H$3,0,0,'Données projet'!$E$12+1,1))</f>
        <v>288.82868507674738</v>
      </c>
      <c r="CE38" s="62">
        <f t="shared" si="40"/>
        <v>283.48738729114024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4.241078889711031</v>
      </c>
      <c r="CM38" s="23">
        <f>EXP(-LN(2)/2)*CM37+(1-EXP(-LN(2)/2))/(LN(2)/2)*CG38*CJ38*VLOOKUP('Données projet'!$B$12,Paramètres!$A$1:$I$89,3,0)*0.475*44/12</f>
        <v>0.45604316215085067</v>
      </c>
      <c r="CN38" s="24">
        <f t="shared" si="12"/>
        <v>4.6971220518618813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206</v>
      </c>
      <c r="CR38" s="13">
        <f>VLOOKUP(A38,'Données projet'!$A$139:$I$159,9,0)</f>
        <v>13</v>
      </c>
      <c r="CS38" s="13">
        <f t="array" ref="CS38">INDEX(CR:CR,MIN(IF(ISNUMBER(CR38:CR234),ROW(CR38:CR234),"")))</f>
        <v>13</v>
      </c>
      <c r="CT38" s="13">
        <f>IF('Données projet'!$A$140&gt;35,CT37+CS38-DB37,IF(A38&lt;'Données projet'!$A$140,$CQ$205^A38,IF(A38='Données projet'!$A$140,'Données projet'!$B$140,CT37+CS38-DB37)))</f>
        <v>205.99999999999991</v>
      </c>
      <c r="CU38" s="18">
        <f>CT38*VLOOKUP('Données projet'!$B$13,Paramètres!$A$1:$I$89,3,0)*VLOOKUP('Données projet'!$B$13,Paramètres!$A$1:$I$89,5,0)</f>
        <v>179.96159999999995</v>
      </c>
      <c r="CV38" s="14">
        <f t="shared" si="41"/>
        <v>45.313642767960104</v>
      </c>
      <c r="CW38" s="22">
        <f t="shared" si="13"/>
        <v>392.35438115419703</v>
      </c>
      <c r="CX38" s="62">
        <f t="shared" si="14"/>
        <v>685.68771448753034</v>
      </c>
      <c r="CY38" s="62">
        <f ca="1">AVERAGE(OFFSET($CX$3,0,0,'Données projet'!$E$13+1,1))-AVERAGE(OFFSET($H$3,0,0,'Données projet'!$E$13+1,1))</f>
        <v>383.46266660377637</v>
      </c>
      <c r="CZ38" s="62">
        <f t="shared" si="42"/>
        <v>373.1287543230714</v>
      </c>
      <c r="DA38" s="16">
        <f>IF(ISNA(VLOOKUP(A38,'Données projet'!$A$139:$I$159,3,0)),0,VLOOKUP(A38,'Données projet'!$A$139:$I$159,3,0))</f>
        <v>6</v>
      </c>
      <c r="DB38" s="16">
        <f>IF(ISNA(VLOOKUP(A38,'Données projet'!$A$139:$I$159,4,0)),0,VLOOKUP(A38,'Données projet'!$A$139:$I$159,4,0))</f>
        <v>35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13.977399008490849</v>
      </c>
      <c r="DH38" s="23">
        <f>EXP(-LN(2)/2)*DH37+(1-EXP(-LN(2)/2))/(LN(2)/2)*DB38*DE38*VLOOKUP('Données projet'!$B$13,Paramètres!$A$1:$I$89,3,0)*0.475*44/12</f>
        <v>3.7541073854596898</v>
      </c>
      <c r="DI38" s="24">
        <f t="shared" si="15"/>
        <v>17.731506393950539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>
        <f>DO38*VLOOKUP('Données projet'!$B$14,Paramètres!$A$1:$I$89,3,0)*VLOOKUP('Données projet'!$B$14,Paramètres!$A$1:$I$89,5,0)</f>
        <v>0</v>
      </c>
      <c r="DQ38" s="14" t="e">
        <f t="shared" si="43"/>
        <v>#NUM!</v>
      </c>
      <c r="DR38" s="22" t="e">
        <f t="shared" si="16"/>
        <v>#NUM!</v>
      </c>
      <c r="DS38" s="62" t="e">
        <f t="shared" si="17"/>
        <v>#NUM!</v>
      </c>
      <c r="DT38" s="62">
        <f ca="1">AVERAGE(OFFSET($DS$3,0,0,'Données projet'!$E$14+1,1))-AVERAGE(OFFSET($H$3,0,0,'Données projet'!$E$14+1,1))</f>
        <v>96.56611521638132</v>
      </c>
      <c r="DU38" s="62">
        <f t="shared" si="44"/>
        <v>465.03257878814094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74.647058278529812</v>
      </c>
      <c r="EB38" s="23">
        <f>EXP(-LN(2)/25)*EB37+(1-EXP(-LN(2)/25))/(LN(2)/25)*Calculateur!DW38*Calculateur!DY38*VLOOKUP('Données projet'!$B$14,Paramètres!$A$1:$I$89,3,0)*0.475*44/12</f>
        <v>15.990897324210064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90.637955602739879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206</v>
      </c>
      <c r="EH38" s="13">
        <f>VLOOKUP(A38,'Données projet'!$A$191:$I$211,9,0)</f>
        <v>13</v>
      </c>
      <c r="EI38" s="13">
        <f t="array" ref="EI38">INDEX(EH:EH,MIN(IF(ISNUMBER(EH38:EH234),ROW(EH38:EH234),"")))</f>
        <v>13</v>
      </c>
      <c r="EJ38" s="13">
        <f>IF('Données projet'!$A$192&gt;35,EJ37+EI38-ER37,IF(A38&lt;'Données projet'!$A$192,$EG$205^A38,IF(A38='Données projet'!$A$192,'Données projet'!$B$192,EJ37+EI38-ER37)))</f>
        <v>205.99999999999991</v>
      </c>
      <c r="EK38" s="18">
        <f>EJ38*VLOOKUP('Données projet'!$B$15,Paramètres!$A$1:$I$89,3,0)*VLOOKUP('Données projet'!$B$15,Paramètres!$A$1:$I$89,5,0)</f>
        <v>167.10719999999995</v>
      </c>
      <c r="EL38" s="14">
        <f t="shared" si="45"/>
        <v>42.44148687166966</v>
      </c>
      <c r="EM38" s="22">
        <f t="shared" si="19"/>
        <v>364.96396296815789</v>
      </c>
      <c r="EN38" s="62">
        <f t="shared" si="20"/>
        <v>658.2972963014912</v>
      </c>
      <c r="EO38" s="62">
        <f ca="1">AVERAGE(OFFSET($EN$3,0,0,'Données projet'!$E$15+1,1))-AVERAGE(OFFSET($H$3,0,0,'Données projet'!$E$15+1,1))</f>
        <v>358.75637627589799</v>
      </c>
      <c r="EP38" s="62">
        <f t="shared" si="46"/>
        <v>349.64821164483607</v>
      </c>
      <c r="EQ38" s="16">
        <f>IF(ISNA(VLOOKUP(A38,'Données projet'!$A$191:$I$211,3,0)),0,VLOOKUP(A38,'Données projet'!$A$191:$I$211,3,0))</f>
        <v>6</v>
      </c>
      <c r="ER38" s="16">
        <f>IF(ISNA(VLOOKUP(A38,'Données projet'!$A$191:$I$211,4,0)),0,VLOOKUP(A38,'Données projet'!$A$191:$I$211,4,0))</f>
        <v>35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8.755863595100374</v>
      </c>
      <c r="EW38" s="23">
        <f>EXP(-LN(2)/25)*EW37+(1-EXP(-LN(2)/25))/(LN(2)/25)*Calculateur!ER38*Calculateur!ET38*VLOOKUP('Données projet'!$B$15,Paramètres!$A$1:$I$89,3,0)*0.475*44/12</f>
        <v>13.352461048373135</v>
      </c>
      <c r="EX38" s="23">
        <f>EXP(-LN(2)/2)*EX37+(1-EXP(-LN(2)/2))/(LN(2)/2)*ER38*EU38*VLOOKUP('Données projet'!$B$15,Paramètres!$A$1:$I$89,3,0)*0.475*44/12</f>
        <v>0.64459503618148273</v>
      </c>
      <c r="EY38" s="24">
        <f t="shared" si="21"/>
        <v>22.75291967965499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>
        <f>FE38*VLOOKUP('Données projet'!$B$16,Paramètres!$A$1:$I$89,3,0)*VLOOKUP('Données projet'!$B$16,Paramètres!$A$1:$I$89,5,0)</f>
        <v>0</v>
      </c>
      <c r="FG38" s="14" t="e">
        <f t="shared" si="47"/>
        <v>#NUM!</v>
      </c>
      <c r="FH38" s="22" t="e">
        <f t="shared" si="22"/>
        <v>#NUM!</v>
      </c>
      <c r="FI38" s="62" t="e">
        <f t="shared" si="23"/>
        <v>#NUM!</v>
      </c>
      <c r="FJ38" s="62">
        <f ca="1">AVERAGE(OFFSET($FI$3,0,0,'Données projet'!$E$16+1,1))-AVERAGE(OFFSET($H$3,0,0,'Données projet'!$E$16+1,1))</f>
        <v>121.28977654040114</v>
      </c>
      <c r="FK38" s="62">
        <f t="shared" si="48"/>
        <v>615.69585264342595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100.57488804474178</v>
      </c>
      <c r="FR38" s="23">
        <f>EXP(-LN(2)/25)*FR37+(1-EXP(-LN(2)/25))/(LN(2)/25)*Calculateur!FM38*Calculateur!FO38*VLOOKUP('Données projet'!$B$16,Paramètres!$A$1:$I$89,3,0)*0.475*44/12</f>
        <v>21.545158579677985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122.12004662441977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11.4</v>
      </c>
      <c r="N39" s="14">
        <f>IF('Données projet'!$A$36&gt;35,N38+M39-V38,IF(A39&lt;'Données projet'!$A$36,$K$205^A39,IF(A39='Données projet'!$A$36,'Données projet'!$B$36,N38+M39-V38)))</f>
        <v>182.39999999999992</v>
      </c>
      <c r="O39" s="14">
        <f>N39*VLOOKUP('Données projet'!$B$9,Paramètres!$A$1:$I$89,3,0)*VLOOKUP('Données projet'!$B$9,Paramètres!$A$1:$I$89,5,0)</f>
        <v>145.11743999999993</v>
      </c>
      <c r="P39" s="14">
        <f t="shared" si="33"/>
        <v>37.466878406916173</v>
      </c>
      <c r="Q39" s="22">
        <f t="shared" si="53"/>
        <v>318.00102122537891</v>
      </c>
      <c r="R39" s="62">
        <f t="shared" si="0"/>
        <v>611.33435455871222</v>
      </c>
      <c r="S39" s="62">
        <f ca="1">AVERAGE(OFFSET($R$3,0,0,'Données projet'!$E$9+1,1))-AVERAGE(OFFSET($H$3,0,0,'Données projet'!$E$9+1,1))</f>
        <v>352.5736659365665</v>
      </c>
      <c r="T39" s="62">
        <f t="shared" si="34"/>
        <v>343.77208530767069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11.970465001573409</v>
      </c>
      <c r="AA39" s="23">
        <f>EXP(-LN(2)/25)*AA38+(1-EXP(-LN(2)/25))/(LN(2)/25)*Calculateur!V39*Calculateur!X39*VLOOKUP('Données projet'!$B$9,Paramètres!$A$1:$I$89,3,0)*0.475*44/12</f>
        <v>20.08452367877798</v>
      </c>
      <c r="AB39" s="23">
        <f>EXP(-LN(2)/2)*AB38+(1-EXP(-LN(2)/2))/(LN(2)/2)*V39*Y39*VLOOKUP('Données projet'!$B$9,Paramètres!$A$1:$I$89,3,0)*0.475*44/12</f>
        <v>0</v>
      </c>
      <c r="AC39" s="24">
        <f t="shared" si="3"/>
        <v>32.054988680351386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6.8</v>
      </c>
      <c r="AI39" s="14">
        <f>IF('Données projet'!$A$62&gt;35,AI38+AH39-AQ38,IF(A39&lt;'Données projet'!$A$62,$AF$205^A39,IF(A39='Données projet'!$A$62,'Données projet'!$B$62,AI38+AH39-AQ38)))</f>
        <v>117.80000000000007</v>
      </c>
      <c r="AJ39" s="14">
        <f>AI39*VLOOKUP('Données projet'!$B$10,Paramètres!$A$1:$I$89,3,0)*VLOOKUP('Données projet'!$B$10,Paramètres!$A$1:$I$89,5,0)</f>
        <v>77.182560000000052</v>
      </c>
      <c r="AK39" s="14">
        <f t="shared" si="35"/>
        <v>21.446874557671695</v>
      </c>
      <c r="AL39" s="22">
        <f t="shared" si="4"/>
        <v>171.7795985212783</v>
      </c>
      <c r="AM39" s="62">
        <f t="shared" si="5"/>
        <v>465.11293185461159</v>
      </c>
      <c r="AN39" s="62">
        <f ca="1">AVERAGE(OFFSET($AM$3,0,0,'Données projet'!$E$10+1,1))-AVERAGE(OFFSET($H$3,0,0,'Données projet'!$E$10+1,1))</f>
        <v>210.08998695869161</v>
      </c>
      <c r="AO39" s="62">
        <f t="shared" si="36"/>
        <v>207.30911916430881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2.308967837731335E-2</v>
      </c>
      <c r="AX39" s="23">
        <f t="shared" si="6"/>
        <v>2.308967837731335E-2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130.20000000000005</v>
      </c>
      <c r="BE39" s="14">
        <f>BD39*VLOOKUP('Données projet'!$B$11,Paramètres!$A$1:$I$89,3,0)*VLOOKUP('Données projet'!$B$11,Paramètres!$A$1:$I$89,5,0)</f>
        <v>87.33816000000003</v>
      </c>
      <c r="BF39" s="14">
        <f t="shared" si="37"/>
        <v>23.922135885857756</v>
      </c>
      <c r="BG39" s="22">
        <f t="shared" si="7"/>
        <v>193.77834866786895</v>
      </c>
      <c r="BH39" s="62">
        <f t="shared" si="8"/>
        <v>487.11168200120227</v>
      </c>
      <c r="BI39" s="62">
        <f ca="1">AVERAGE(OFFSET($BH$3,0,0,'Données projet'!$E$11+1,1))-AVERAGE(OFFSET($H$3,0,0,'Données projet'!$E$11+1,1))</f>
        <v>335.83558218229564</v>
      </c>
      <c r="BJ39" s="62">
        <f t="shared" si="38"/>
        <v>217.08423061559648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2.6216444457026671</v>
      </c>
      <c r="BS39" s="24">
        <f t="shared" si="9"/>
        <v>2.6216444457026671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11.5</v>
      </c>
      <c r="BY39" s="13">
        <f>IF('Données projet'!$A$114&gt;35,BY38+BX39-CG38,IF(A39&lt;'Données projet'!$A$114,$BV$205^A39,IF(A39='Données projet'!$A$114,'Données projet'!$B$114,BY38+BX39-CG38)))</f>
        <v>176.49999999999994</v>
      </c>
      <c r="BZ39" s="14">
        <f>BY39*VLOOKUP('Données projet'!$B$12,Paramètres!$A$1:$I$89,3,0)*VLOOKUP('Données projet'!$B$12,Paramètres!$A$1:$I$89,5,0)</f>
        <v>137.66999999999996</v>
      </c>
      <c r="CA39" s="14">
        <f t="shared" si="39"/>
        <v>35.762714965854656</v>
      </c>
      <c r="CB39" s="22">
        <f t="shared" si="10"/>
        <v>302.06197856553007</v>
      </c>
      <c r="CC39" s="62">
        <f t="shared" si="11"/>
        <v>595.39531189886338</v>
      </c>
      <c r="CD39" s="62">
        <f ca="1">AVERAGE(OFFSET($CC$3,0,0,'Données projet'!$E$12+1,1))-AVERAGE(OFFSET($H$3,0,0,'Données projet'!$E$12+1,1))</f>
        <v>288.82868507674738</v>
      </c>
      <c r="CE39" s="62">
        <f t="shared" si="40"/>
        <v>283.48738729114024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4.1251063644432371</v>
      </c>
      <c r="CM39" s="23">
        <f>EXP(-LN(2)/2)*CM38+(1-EXP(-LN(2)/2))/(LN(2)/2)*CG39*CJ39*VLOOKUP('Données projet'!$B$12,Paramètres!$A$1:$I$89,3,0)*0.475*44/12</f>
        <v>0.32247121247062277</v>
      </c>
      <c r="CN39" s="24">
        <f t="shared" si="12"/>
        <v>4.4475775769138597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11.4</v>
      </c>
      <c r="CT39" s="13">
        <f>IF('Données projet'!$A$140&gt;35,CT38+CS39-DB38,IF(A39&lt;'Données projet'!$A$140,$CQ$205^A39,IF(A39='Données projet'!$A$140,'Données projet'!$B$140,CT38+CS39-DB38)))</f>
        <v>182.39999999999992</v>
      </c>
      <c r="CU39" s="18">
        <f>CT39*VLOOKUP('Données projet'!$B$13,Paramètres!$A$1:$I$89,3,0)*VLOOKUP('Données projet'!$B$13,Paramètres!$A$1:$I$89,5,0)</f>
        <v>159.34463999999994</v>
      </c>
      <c r="CV39" s="14">
        <f t="shared" si="41"/>
        <v>40.694661837553809</v>
      </c>
      <c r="CW39" s="22">
        <f t="shared" si="13"/>
        <v>348.40178403373943</v>
      </c>
      <c r="CX39" s="62">
        <f t="shared" si="14"/>
        <v>641.73511736707269</v>
      </c>
      <c r="CY39" s="62">
        <f ca="1">AVERAGE(OFFSET($CX$3,0,0,'Données projet'!$E$13+1,1))-AVERAGE(OFFSET($H$3,0,0,'Données projet'!$E$13+1,1))</f>
        <v>383.46266660377637</v>
      </c>
      <c r="CZ39" s="62">
        <f t="shared" si="42"/>
        <v>373.1287543230714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13.595186297564199</v>
      </c>
      <c r="DH39" s="23">
        <f>EXP(-LN(2)/2)*DH38+(1-EXP(-LN(2)/2))/(LN(2)/2)*DB39*DE39*VLOOKUP('Données projet'!$B$13,Paramètres!$A$1:$I$89,3,0)*0.475*44/12</f>
        <v>2.6545547895610473</v>
      </c>
      <c r="DI39" s="24">
        <f t="shared" si="15"/>
        <v>16.249741087125248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>
        <f>DO39*VLOOKUP('Données projet'!$B$14,Paramètres!$A$1:$I$89,3,0)*VLOOKUP('Données projet'!$B$14,Paramètres!$A$1:$I$89,5,0)</f>
        <v>0</v>
      </c>
      <c r="DQ39" s="14" t="e">
        <f t="shared" si="43"/>
        <v>#NUM!</v>
      </c>
      <c r="DR39" s="22" t="e">
        <f t="shared" si="16"/>
        <v>#NUM!</v>
      </c>
      <c r="DS39" s="62" t="e">
        <f t="shared" si="17"/>
        <v>#NUM!</v>
      </c>
      <c r="DT39" s="62">
        <f ca="1">AVERAGE(OFFSET($DS$3,0,0,'Données projet'!$E$14+1,1))-AVERAGE(OFFSET($H$3,0,0,'Données projet'!$E$14+1,1))</f>
        <v>96.56611521638132</v>
      </c>
      <c r="DU39" s="62">
        <f t="shared" si="44"/>
        <v>465.03257878814094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73.183274995897662</v>
      </c>
      <c r="EB39" s="23">
        <f>EXP(-LN(2)/25)*EB38+(1-EXP(-LN(2)/25))/(LN(2)/25)*Calculateur!DW39*Calculateur!DY39*VLOOKUP('Données projet'!$B$14,Paramètres!$A$1:$I$89,3,0)*0.475*44/12</f>
        <v>15.553625395954796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88.736900391852458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11.4</v>
      </c>
      <c r="EJ39" s="13">
        <f>IF('Données projet'!$A$192&gt;35,EJ38+EI39-ER38,IF(A39&lt;'Données projet'!$A$192,$EG$205^A39,IF(A39='Données projet'!$A$192,'Données projet'!$B$192,EJ38+EI39-ER38)))</f>
        <v>182.39999999999992</v>
      </c>
      <c r="EK39" s="18">
        <f>EJ39*VLOOKUP('Données projet'!$B$15,Paramètres!$A$1:$I$89,3,0)*VLOOKUP('Données projet'!$B$15,Paramètres!$A$1:$I$89,5,0)</f>
        <v>147.96287999999993</v>
      </c>
      <c r="EL39" s="14">
        <f t="shared" si="45"/>
        <v>38.115275017059197</v>
      </c>
      <c r="EM39" s="22">
        <f t="shared" si="19"/>
        <v>324.08611998804457</v>
      </c>
      <c r="EN39" s="62">
        <f t="shared" si="20"/>
        <v>617.41945332137789</v>
      </c>
      <c r="EO39" s="62">
        <f ca="1">AVERAGE(OFFSET($EN$3,0,0,'Données projet'!$E$15+1,1))-AVERAGE(OFFSET($H$3,0,0,'Données projet'!$E$15+1,1))</f>
        <v>358.75637627589799</v>
      </c>
      <c r="EP39" s="62">
        <f t="shared" si="46"/>
        <v>349.64821164483607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8.5841664505499136</v>
      </c>
      <c r="EW39" s="23">
        <f>EXP(-LN(2)/25)*EW38+(1-EXP(-LN(2)/25))/(LN(2)/25)*Calculateur!ER39*Calculateur!ET39*VLOOKUP('Données projet'!$B$15,Paramètres!$A$1:$I$89,3,0)*0.475*44/12</f>
        <v>12.987337298829962</v>
      </c>
      <c r="EX39" s="23">
        <f>EXP(-LN(2)/2)*EX38+(1-EXP(-LN(2)/2))/(LN(2)/2)*ER39*EU39*VLOOKUP('Données projet'!$B$15,Paramètres!$A$1:$I$89,3,0)*0.475*44/12</f>
        <v>0.4557975212031144</v>
      </c>
      <c r="EY39" s="24">
        <f t="shared" si="21"/>
        <v>22.027301270582988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>
        <f>FE39*VLOOKUP('Données projet'!$B$16,Paramètres!$A$1:$I$89,3,0)*VLOOKUP('Données projet'!$B$16,Paramètres!$A$1:$I$89,5,0)</f>
        <v>0</v>
      </c>
      <c r="FG39" s="14" t="e">
        <f t="shared" si="47"/>
        <v>#NUM!</v>
      </c>
      <c r="FH39" s="22" t="e">
        <f t="shared" si="22"/>
        <v>#NUM!</v>
      </c>
      <c r="FI39" s="62" t="e">
        <f t="shared" si="23"/>
        <v>#NUM!</v>
      </c>
      <c r="FJ39" s="62">
        <f ca="1">AVERAGE(OFFSET($FI$3,0,0,'Données projet'!$E$16+1,1))-AVERAGE(OFFSET($H$3,0,0,'Données projet'!$E$16+1,1))</f>
        <v>121.28977654040114</v>
      </c>
      <c r="FK39" s="62">
        <f t="shared" si="48"/>
        <v>615.69585264342595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98.602675834808821</v>
      </c>
      <c r="FR39" s="23">
        <f>EXP(-LN(2)/25)*FR38+(1-EXP(-LN(2)/25))/(LN(2)/25)*Calculateur!FM39*Calculateur!FO39*VLOOKUP('Données projet'!$B$16,Paramètres!$A$1:$I$89,3,0)*0.475*44/12</f>
        <v>20.956005085306042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119.55868092011487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11.4</v>
      </c>
      <c r="N40" s="14">
        <f>IF('Données projet'!$A$36&gt;35,N39+M40-V39,IF(A40&lt;'Données projet'!$A$36,$K$205^A40,IF(A40='Données projet'!$A$36,'Données projet'!$B$36,N39+M40-V39)))</f>
        <v>193.79999999999993</v>
      </c>
      <c r="O40" s="14">
        <f>N40*VLOOKUP('Données projet'!$B$9,Paramètres!$A$1:$I$89,3,0)*VLOOKUP('Données projet'!$B$9,Paramètres!$A$1:$I$89,5,0)</f>
        <v>154.18727999999996</v>
      </c>
      <c r="P40" s="14">
        <f t="shared" si="33"/>
        <v>39.528629863903078</v>
      </c>
      <c r="Q40" s="22">
        <f t="shared" si="53"/>
        <v>337.38854301296448</v>
      </c>
      <c r="R40" s="62">
        <f t="shared" si="0"/>
        <v>630.72187634629779</v>
      </c>
      <c r="S40" s="62">
        <f ca="1">AVERAGE(OFFSET($R$3,0,0,'Données projet'!$E$9+1,1))-AVERAGE(OFFSET($H$3,0,0,'Données projet'!$E$9+1,1))</f>
        <v>352.5736659365665</v>
      </c>
      <c r="T40" s="62">
        <f t="shared" si="34"/>
        <v>343.77208530767069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11.735731484155265</v>
      </c>
      <c r="AA40" s="23">
        <f>EXP(-LN(2)/25)*AA39+(1-EXP(-LN(2)/25))/(LN(2)/25)*Calculateur!V40*Calculateur!X40*VLOOKUP('Données projet'!$B$9,Paramètres!$A$1:$I$89,3,0)*0.475*44/12</f>
        <v>19.535311322582601</v>
      </c>
      <c r="AB40" s="23">
        <f>EXP(-LN(2)/2)*AB39+(1-EXP(-LN(2)/2))/(LN(2)/2)*V40*Y40*VLOOKUP('Données projet'!$B$9,Paramètres!$A$1:$I$89,3,0)*0.475*44/12</f>
        <v>0</v>
      </c>
      <c r="AC40" s="24">
        <f t="shared" si="3"/>
        <v>31.271042806737867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6.8</v>
      </c>
      <c r="AI40" s="14">
        <f>IF('Données projet'!$A$62&gt;35,AI39+AH40-AQ39,IF(A40&lt;'Données projet'!$A$62,$AF$205^A40,IF(A40='Données projet'!$A$62,'Données projet'!$B$62,AI39+AH40-AQ39)))</f>
        <v>124.60000000000007</v>
      </c>
      <c r="AJ40" s="14">
        <f>AI40*VLOOKUP('Données projet'!$B$10,Paramètres!$A$1:$I$89,3,0)*VLOOKUP('Données projet'!$B$10,Paramètres!$A$1:$I$89,5,0)</f>
        <v>81.637920000000037</v>
      </c>
      <c r="AK40" s="14">
        <f t="shared" si="35"/>
        <v>22.537190474063692</v>
      </c>
      <c r="AL40" s="22">
        <f t="shared" si="4"/>
        <v>181.43831740899432</v>
      </c>
      <c r="AM40" s="62">
        <f t="shared" si="5"/>
        <v>474.77165074232767</v>
      </c>
      <c r="AN40" s="62">
        <f ca="1">AVERAGE(OFFSET($AM$3,0,0,'Données projet'!$E$10+1,1))-AVERAGE(OFFSET($H$3,0,0,'Données projet'!$E$10+1,1))</f>
        <v>210.08998695869161</v>
      </c>
      <c r="AO40" s="62">
        <f t="shared" si="36"/>
        <v>207.30911916430881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1.6326868156014668E-2</v>
      </c>
      <c r="AX40" s="23">
        <f t="shared" si="6"/>
        <v>1.6326868156014668E-2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141.40000000000003</v>
      </c>
      <c r="BE40" s="14">
        <f>BD40*VLOOKUP('Données projet'!$B$11,Paramètres!$A$1:$I$89,3,0)*VLOOKUP('Données projet'!$B$11,Paramètres!$A$1:$I$89,5,0)</f>
        <v>94.851120000000023</v>
      </c>
      <c r="BF40" s="14">
        <f t="shared" si="37"/>
        <v>25.731599638027415</v>
      </c>
      <c r="BG40" s="22">
        <f t="shared" si="7"/>
        <v>210.01490336956445</v>
      </c>
      <c r="BH40" s="62">
        <f t="shared" si="8"/>
        <v>503.34823670289779</v>
      </c>
      <c r="BI40" s="62">
        <f ca="1">AVERAGE(OFFSET($BH$3,0,0,'Données projet'!$E$11+1,1))-AVERAGE(OFFSET($H$3,0,0,'Données projet'!$E$11+1,1))</f>
        <v>335.83558218229564</v>
      </c>
      <c r="BJ40" s="62">
        <f t="shared" si="38"/>
        <v>217.08423061559648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1.8537825654164035</v>
      </c>
      <c r="BS40" s="24">
        <f t="shared" si="9"/>
        <v>1.8537825654164035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>
        <f>VLOOKUP(A40,'Données projet'!$A$113:$I$133,2,0)</f>
        <v>188</v>
      </c>
      <c r="BW40" s="13">
        <f>VLOOKUP(A40,'Données projet'!$A$113:$I$133,9,0)</f>
        <v>11.5</v>
      </c>
      <c r="BX40" s="13">
        <f t="array" ref="BX40">INDEX(BW:BW,MIN(IF(ISNUMBER(BW40:BW236),ROW(BW40:BW236),"")))</f>
        <v>11.5</v>
      </c>
      <c r="BY40" s="13">
        <f>IF('Données projet'!$A$114&gt;35,BY39+BX40-CG39,IF(A40&lt;'Données projet'!$A$114,$BV$205^A40,IF(A40='Données projet'!$A$114,'Données projet'!$B$114,BY39+BX40-CG39)))</f>
        <v>187.99999999999994</v>
      </c>
      <c r="BZ40" s="14">
        <f>BY40*VLOOKUP('Données projet'!$B$12,Paramètres!$A$1:$I$89,3,0)*VLOOKUP('Données projet'!$B$12,Paramètres!$A$1:$I$89,5,0)</f>
        <v>146.63999999999996</v>
      </c>
      <c r="CA40" s="14">
        <f t="shared" si="39"/>
        <v>37.814009712703026</v>
      </c>
      <c r="CB40" s="22">
        <f t="shared" si="10"/>
        <v>321.25740024962437</v>
      </c>
      <c r="CC40" s="62">
        <f t="shared" si="11"/>
        <v>614.59073358295768</v>
      </c>
      <c r="CD40" s="62">
        <f ca="1">AVERAGE(OFFSET($CC$3,0,0,'Données projet'!$E$12+1,1))-AVERAGE(OFFSET($H$3,0,0,'Données projet'!$E$12+1,1))</f>
        <v>288.82868507674738</v>
      </c>
      <c r="CE40" s="62">
        <f t="shared" si="40"/>
        <v>283.48738729114024</v>
      </c>
      <c r="CF40" s="16">
        <f>IF(ISNA(VLOOKUP(A40,'Données projet'!$A$113:$I$133,3,0)),0,VLOOKUP(A40,'Données projet'!$A$113:$I$133,3,0))</f>
        <v>5</v>
      </c>
      <c r="CG40" s="16">
        <f>IF(ISNA(VLOOKUP(A40,'Données projet'!$A$113:$I$133,4,0)),0,VLOOKUP(A40,'Données projet'!$A$113:$I$133,4,0))</f>
        <v>36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4.0123051139776207</v>
      </c>
      <c r="CM40" s="23">
        <f>EXP(-LN(2)/2)*CM39+(1-EXP(-LN(2)/2))/(LN(2)/2)*CG40*CJ40*VLOOKUP('Données projet'!$B$12,Paramètres!$A$1:$I$89,3,0)*0.475*44/12</f>
        <v>0.22802158107542533</v>
      </c>
      <c r="CN40" s="24">
        <f t="shared" si="12"/>
        <v>4.2403266950530458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11.4</v>
      </c>
      <c r="CT40" s="13">
        <f>IF('Données projet'!$A$140&gt;35,CT39+CS40-DB39,IF(A40&lt;'Données projet'!$A$140,$CQ$205^A40,IF(A40='Données projet'!$A$140,'Données projet'!$B$140,CT39+CS40-DB39)))</f>
        <v>193.79999999999993</v>
      </c>
      <c r="CU40" s="18">
        <f>CT40*VLOOKUP('Données projet'!$B$13,Paramètres!$A$1:$I$89,3,0)*VLOOKUP('Données projet'!$B$13,Paramètres!$A$1:$I$89,5,0)</f>
        <v>169.30367999999996</v>
      </c>
      <c r="CV40" s="14">
        <f t="shared" si="41"/>
        <v>42.934033834973214</v>
      </c>
      <c r="CW40" s="22">
        <f t="shared" si="13"/>
        <v>369.64735159591163</v>
      </c>
      <c r="CX40" s="62">
        <f t="shared" si="14"/>
        <v>662.98068492924494</v>
      </c>
      <c r="CY40" s="62">
        <f ca="1">AVERAGE(OFFSET($CX$3,0,0,'Données projet'!$E$13+1,1))-AVERAGE(OFFSET($H$3,0,0,'Données projet'!$E$13+1,1))</f>
        <v>383.46266660377637</v>
      </c>
      <c r="CZ40" s="62">
        <f t="shared" si="42"/>
        <v>373.1287543230714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13.223425213317531</v>
      </c>
      <c r="DH40" s="23">
        <f>EXP(-LN(2)/2)*DH39+(1-EXP(-LN(2)/2))/(LN(2)/2)*DB40*DE40*VLOOKUP('Données projet'!$B$13,Paramètres!$A$1:$I$89,3,0)*0.475*44/12</f>
        <v>1.8770536927298453</v>
      </c>
      <c r="DI40" s="24">
        <f t="shared" si="15"/>
        <v>15.100478906047377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>
        <f>DO40*VLOOKUP('Données projet'!$B$14,Paramètres!$A$1:$I$89,3,0)*VLOOKUP('Données projet'!$B$14,Paramètres!$A$1:$I$89,5,0)</f>
        <v>0</v>
      </c>
      <c r="DQ40" s="14" t="e">
        <f t="shared" si="43"/>
        <v>#NUM!</v>
      </c>
      <c r="DR40" s="22" t="e">
        <f t="shared" si="16"/>
        <v>#NUM!</v>
      </c>
      <c r="DS40" s="62" t="e">
        <f t="shared" si="17"/>
        <v>#NUM!</v>
      </c>
      <c r="DT40" s="62">
        <f ca="1">AVERAGE(OFFSET($DS$3,0,0,'Données projet'!$E$14+1,1))-AVERAGE(OFFSET($H$3,0,0,'Données projet'!$E$14+1,1))</f>
        <v>96.56611521638132</v>
      </c>
      <c r="DU40" s="62">
        <f t="shared" si="44"/>
        <v>465.03257878814094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71.748195610618282</v>
      </c>
      <c r="EB40" s="23">
        <f>EXP(-LN(2)/25)*EB39+(1-EXP(-LN(2)/25))/(LN(2)/25)*Calculateur!DW40*Calculateur!DY40*VLOOKUP('Données projet'!$B$14,Paramètres!$A$1:$I$89,3,0)*0.475*44/12</f>
        <v>15.128310691572802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86.876506302191089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11.4</v>
      </c>
      <c r="EJ40" s="13">
        <f>IF('Données projet'!$A$192&gt;35,EJ39+EI40-ER39,IF(A40&lt;'Données projet'!$A$192,$EG$205^A40,IF(A40='Données projet'!$A$192,'Données projet'!$B$192,EJ39+EI40-ER39)))</f>
        <v>193.79999999999993</v>
      </c>
      <c r="EK40" s="18">
        <f>EJ40*VLOOKUP('Données projet'!$B$15,Paramètres!$A$1:$I$89,3,0)*VLOOKUP('Données projet'!$B$15,Paramètres!$A$1:$I$89,5,0)</f>
        <v>157.21055999999996</v>
      </c>
      <c r="EL40" s="14">
        <f t="shared" si="45"/>
        <v>40.212706859296013</v>
      </c>
      <c r="EM40" s="22">
        <f t="shared" si="19"/>
        <v>343.84552311327383</v>
      </c>
      <c r="EN40" s="62">
        <f t="shared" si="20"/>
        <v>637.17885644660714</v>
      </c>
      <c r="EO40" s="62">
        <f ca="1">AVERAGE(OFFSET($EN$3,0,0,'Données projet'!$E$15+1,1))-AVERAGE(OFFSET($H$3,0,0,'Données projet'!$E$15+1,1))</f>
        <v>358.75637627589799</v>
      </c>
      <c r="EP40" s="62">
        <f t="shared" si="46"/>
        <v>349.64821164483607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8.4158361822791701</v>
      </c>
      <c r="EW40" s="23">
        <f>EXP(-LN(2)/25)*EW39+(1-EXP(-LN(2)/25))/(LN(2)/25)*Calculateur!ER40*Calculateur!ET40*VLOOKUP('Données projet'!$B$15,Paramètres!$A$1:$I$89,3,0)*0.475*44/12</f>
        <v>12.63219787741907</v>
      </c>
      <c r="EX40" s="23">
        <f>EXP(-LN(2)/2)*EX39+(1-EXP(-LN(2)/2))/(LN(2)/2)*ER40*EU40*VLOOKUP('Données projet'!$B$15,Paramètres!$A$1:$I$89,3,0)*0.475*44/12</f>
        <v>0.32229751809074136</v>
      </c>
      <c r="EY40" s="24">
        <f t="shared" si="21"/>
        <v>21.370331577788981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>
        <f>FE40*VLOOKUP('Données projet'!$B$16,Paramètres!$A$1:$I$89,3,0)*VLOOKUP('Données projet'!$B$16,Paramètres!$A$1:$I$89,5,0)</f>
        <v>0</v>
      </c>
      <c r="FG40" s="14" t="e">
        <f t="shared" si="47"/>
        <v>#NUM!</v>
      </c>
      <c r="FH40" s="22" t="e">
        <f t="shared" si="22"/>
        <v>#NUM!</v>
      </c>
      <c r="FI40" s="62" t="e">
        <f t="shared" si="23"/>
        <v>#NUM!</v>
      </c>
      <c r="FJ40" s="62">
        <f ca="1">AVERAGE(OFFSET($FI$3,0,0,'Données projet'!$E$16+1,1))-AVERAGE(OFFSET($H$3,0,0,'Données projet'!$E$16+1,1))</f>
        <v>121.28977654040114</v>
      </c>
      <c r="FK40" s="62">
        <f t="shared" si="48"/>
        <v>615.69585264342595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96.669137503381975</v>
      </c>
      <c r="FR40" s="23">
        <f>EXP(-LN(2)/25)*FR39+(1-EXP(-LN(2)/25))/(LN(2)/25)*Calculateur!FM40*Calculateur!FO40*VLOOKUP('Données projet'!$B$16,Paramètres!$A$1:$I$89,3,0)*0.475*44/12</f>
        <v>20.382962024219935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117.05209952760191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11.4</v>
      </c>
      <c r="N41" s="14">
        <f>IF('Données projet'!$A$36&gt;35,N40+M41-V40,IF(A41&lt;'Données projet'!$A$36,$K$205^A41,IF(A41='Données projet'!$A$36,'Données projet'!$B$36,N40+M41-V40)))</f>
        <v>205.19999999999993</v>
      </c>
      <c r="O41" s="14">
        <f>N41*VLOOKUP('Données projet'!$B$9,Paramètres!$A$1:$I$89,3,0)*VLOOKUP('Données projet'!$B$9,Paramètres!$A$1:$I$89,5,0)</f>
        <v>163.25711999999996</v>
      </c>
      <c r="P41" s="14">
        <f t="shared" si="33"/>
        <v>41.576304038313033</v>
      </c>
      <c r="Q41" s="22">
        <f t="shared" si="53"/>
        <v>356.7515468667284</v>
      </c>
      <c r="R41" s="62">
        <f t="shared" si="0"/>
        <v>650.08488020006166</v>
      </c>
      <c r="S41" s="62">
        <f ca="1">AVERAGE(OFFSET($R$3,0,0,'Données projet'!$E$9+1,1))-AVERAGE(OFFSET($H$3,0,0,'Données projet'!$E$9+1,1))</f>
        <v>352.5736659365665</v>
      </c>
      <c r="T41" s="62">
        <f t="shared" si="34"/>
        <v>343.77208530767069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11.505600947840383</v>
      </c>
      <c r="AA41" s="23">
        <f>EXP(-LN(2)/25)*AA40+(1-EXP(-LN(2)/25))/(LN(2)/25)*Calculateur!V41*Calculateur!X41*VLOOKUP('Données projet'!$B$9,Paramètres!$A$1:$I$89,3,0)*0.475*44/12</f>
        <v>19.001117207149207</v>
      </c>
      <c r="AB41" s="23">
        <f>EXP(-LN(2)/2)*AB40+(1-EXP(-LN(2)/2))/(LN(2)/2)*V41*Y41*VLOOKUP('Données projet'!$B$9,Paramètres!$A$1:$I$89,3,0)*0.475*44/12</f>
        <v>0</v>
      </c>
      <c r="AC41" s="24">
        <f t="shared" si="3"/>
        <v>30.506718154989592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6.8</v>
      </c>
      <c r="AI41" s="14">
        <f>IF('Données projet'!$A$62&gt;35,AI40+AH41-AQ40,IF(A41&lt;'Données projet'!$A$62,$AF$205^A41,IF(A41='Données projet'!$A$62,'Données projet'!$B$62,AI40+AH41-AQ40)))</f>
        <v>131.40000000000006</v>
      </c>
      <c r="AJ41" s="14">
        <f>AI41*VLOOKUP('Données projet'!$B$10,Paramètres!$A$1:$I$89,3,0)*VLOOKUP('Données projet'!$B$10,Paramètres!$A$1:$I$89,5,0)</f>
        <v>86.093280000000036</v>
      </c>
      <c r="AK41" s="14">
        <f t="shared" si="35"/>
        <v>23.620598504835936</v>
      </c>
      <c r="AL41" s="22">
        <f t="shared" si="4"/>
        <v>191.08500506258932</v>
      </c>
      <c r="AM41" s="62">
        <f t="shared" si="5"/>
        <v>484.41833839592266</v>
      </c>
      <c r="AN41" s="62">
        <f ca="1">AVERAGE(OFFSET($AM$3,0,0,'Données projet'!$E$10+1,1))-AVERAGE(OFFSET($H$3,0,0,'Données projet'!$E$10+1,1))</f>
        <v>210.08998695869161</v>
      </c>
      <c r="AO41" s="62">
        <f t="shared" si="36"/>
        <v>207.30911916430881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1.1544839188656675E-2</v>
      </c>
      <c r="AX41" s="23">
        <f t="shared" si="6"/>
        <v>1.1544839188656675E-2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152.60000000000002</v>
      </c>
      <c r="BE41" s="14">
        <f>BD41*VLOOKUP('Données projet'!$B$11,Paramètres!$A$1:$I$89,3,0)*VLOOKUP('Données projet'!$B$11,Paramètres!$A$1:$I$89,5,0)</f>
        <v>102.36408000000002</v>
      </c>
      <c r="BF41" s="14">
        <f t="shared" si="37"/>
        <v>27.524438824969181</v>
      </c>
      <c r="BG41" s="22">
        <f t="shared" si="7"/>
        <v>226.2225036201547</v>
      </c>
      <c r="BH41" s="62">
        <f t="shared" si="8"/>
        <v>519.55583695348798</v>
      </c>
      <c r="BI41" s="62">
        <f ca="1">AVERAGE(OFFSET($BH$3,0,0,'Données projet'!$E$11+1,1))-AVERAGE(OFFSET($H$3,0,0,'Données projet'!$E$11+1,1))</f>
        <v>335.83558218229564</v>
      </c>
      <c r="BJ41" s="62">
        <f t="shared" si="38"/>
        <v>217.08423061559648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1.3108222228513338</v>
      </c>
      <c r="BS41" s="24">
        <f t="shared" si="9"/>
        <v>1.3108222228513338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11.142857142857142</v>
      </c>
      <c r="BY41" s="13">
        <f>IF('Données projet'!$A$114&gt;35,BY40+BX41-CG40,IF(A41&lt;'Données projet'!$A$114,$BV$205^A41,IF(A41='Données projet'!$A$114,'Données projet'!$B$114,BY40+BX41-CG40)))</f>
        <v>163.14285714285708</v>
      </c>
      <c r="BZ41" s="14">
        <f>BY41*VLOOKUP('Données projet'!$B$12,Paramètres!$A$1:$I$89,3,0)*VLOOKUP('Données projet'!$B$12,Paramètres!$A$1:$I$89,5,0)</f>
        <v>127.25142857142853</v>
      </c>
      <c r="CA41" s="14">
        <f t="shared" si="39"/>
        <v>33.360457439554281</v>
      </c>
      <c r="CB41" s="22">
        <f t="shared" si="10"/>
        <v>279.73236813579501</v>
      </c>
      <c r="CC41" s="62">
        <f t="shared" si="11"/>
        <v>573.06570146912827</v>
      </c>
      <c r="CD41" s="62">
        <f ca="1">AVERAGE(OFFSET($CC$3,0,0,'Données projet'!$E$12+1,1))-AVERAGE(OFFSET($H$3,0,0,'Données projet'!$E$12+1,1))</f>
        <v>288.82868507674738</v>
      </c>
      <c r="CE41" s="62">
        <f t="shared" si="40"/>
        <v>283.48738729114024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3.9025884196379468</v>
      </c>
      <c r="CM41" s="23">
        <f>EXP(-LN(2)/2)*CM40+(1-EXP(-LN(2)/2))/(LN(2)/2)*CG41*CJ41*VLOOKUP('Données projet'!$B$12,Paramètres!$A$1:$I$89,3,0)*0.475*44/12</f>
        <v>0.16123560623531139</v>
      </c>
      <c r="CN41" s="24">
        <f t="shared" si="12"/>
        <v>4.0638240258732585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11.4</v>
      </c>
      <c r="CT41" s="13">
        <f>IF('Données projet'!$A$140&gt;35,CT40+CS41-DB40,IF(A41&lt;'Données projet'!$A$140,$CQ$205^A41,IF(A41='Données projet'!$A$140,'Données projet'!$B$140,CT40+CS41-DB40)))</f>
        <v>205.19999999999993</v>
      </c>
      <c r="CU41" s="18">
        <f>CT41*VLOOKUP('Données projet'!$B$13,Paramètres!$A$1:$I$89,3,0)*VLOOKUP('Données projet'!$B$13,Paramètres!$A$1:$I$89,5,0)</f>
        <v>179.26271999999997</v>
      </c>
      <c r="CV41" s="14">
        <f t="shared" si="41"/>
        <v>45.158115787467153</v>
      </c>
      <c r="CW41" s="22">
        <f t="shared" si="13"/>
        <v>390.86628899650526</v>
      </c>
      <c r="CX41" s="62">
        <f t="shared" si="14"/>
        <v>684.19962232983858</v>
      </c>
      <c r="CY41" s="62">
        <f ca="1">AVERAGE(OFFSET($CX$3,0,0,'Données projet'!$E$13+1,1))-AVERAGE(OFFSET($H$3,0,0,'Données projet'!$E$13+1,1))</f>
        <v>383.46266660377637</v>
      </c>
      <c r="CZ41" s="62">
        <f t="shared" si="42"/>
        <v>373.1287543230714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12.861829955469654</v>
      </c>
      <c r="DH41" s="23">
        <f>EXP(-LN(2)/2)*DH40+(1-EXP(-LN(2)/2))/(LN(2)/2)*DB41*DE41*VLOOKUP('Données projet'!$B$13,Paramètres!$A$1:$I$89,3,0)*0.475*44/12</f>
        <v>1.3272773947805239</v>
      </c>
      <c r="DI41" s="24">
        <f t="shared" si="15"/>
        <v>14.189107350250177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>
        <f>DO41*VLOOKUP('Données projet'!$B$14,Paramètres!$A$1:$I$89,3,0)*VLOOKUP('Données projet'!$B$14,Paramètres!$A$1:$I$89,5,0)</f>
        <v>0</v>
      </c>
      <c r="DQ41" s="14" t="e">
        <f t="shared" si="43"/>
        <v>#NUM!</v>
      </c>
      <c r="DR41" s="22" t="e">
        <f t="shared" si="16"/>
        <v>#NUM!</v>
      </c>
      <c r="DS41" s="62" t="e">
        <f t="shared" si="17"/>
        <v>#NUM!</v>
      </c>
      <c r="DT41" s="62">
        <f ca="1">AVERAGE(OFFSET($DS$3,0,0,'Données projet'!$E$14+1,1))-AVERAGE(OFFSET($H$3,0,0,'Données projet'!$E$14+1,1))</f>
        <v>96.56611521638132</v>
      </c>
      <c r="DU41" s="62">
        <f t="shared" si="44"/>
        <v>465.03257878814094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70.341257256772238</v>
      </c>
      <c r="EB41" s="23">
        <f>EXP(-LN(2)/25)*EB40+(1-EXP(-LN(2)/25))/(LN(2)/25)*Calculateur!DW41*Calculateur!DY41*VLOOKUP('Données projet'!$B$14,Paramètres!$A$1:$I$89,3,0)*0.475*44/12</f>
        <v>14.71462624014846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85.0558834969207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11.4</v>
      </c>
      <c r="EJ41" s="13">
        <f>IF('Données projet'!$A$192&gt;35,EJ40+EI41-ER40,IF(A41&lt;'Données projet'!$A$192,$EG$205^A41,IF(A41='Données projet'!$A$192,'Données projet'!$B$192,EJ40+EI41-ER40)))</f>
        <v>205.19999999999993</v>
      </c>
      <c r="EK41" s="18">
        <f>EJ41*VLOOKUP('Données projet'!$B$15,Paramètres!$A$1:$I$89,3,0)*VLOOKUP('Données projet'!$B$15,Paramètres!$A$1:$I$89,5,0)</f>
        <v>166.45823999999996</v>
      </c>
      <c r="EL41" s="14">
        <f t="shared" si="45"/>
        <v>42.295817799452642</v>
      </c>
      <c r="EM41" s="22">
        <f t="shared" si="19"/>
        <v>363.5799840007133</v>
      </c>
      <c r="EN41" s="62">
        <f t="shared" si="20"/>
        <v>656.91331733404661</v>
      </c>
      <c r="EO41" s="62">
        <f ca="1">AVERAGE(OFFSET($EN$3,0,0,'Données projet'!$E$15+1,1))-AVERAGE(OFFSET($H$3,0,0,'Données projet'!$E$15+1,1))</f>
        <v>358.75637627589799</v>
      </c>
      <c r="EP41" s="62">
        <f t="shared" si="46"/>
        <v>349.64821164483607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8.25080676789789</v>
      </c>
      <c r="EW41" s="23">
        <f>EXP(-LN(2)/25)*EW40+(1-EXP(-LN(2)/25))/(LN(2)/25)*Calculateur!ER41*Calculateur!ET41*VLOOKUP('Données projet'!$B$15,Paramètres!$A$1:$I$89,3,0)*0.475*44/12</f>
        <v>12.286769762162631</v>
      </c>
      <c r="EX41" s="23">
        <f>EXP(-LN(2)/2)*EX40+(1-EXP(-LN(2)/2))/(LN(2)/2)*ER41*EU41*VLOOKUP('Données projet'!$B$15,Paramètres!$A$1:$I$89,3,0)*0.475*44/12</f>
        <v>0.2278987606015572</v>
      </c>
      <c r="EY41" s="24">
        <f t="shared" si="21"/>
        <v>20.765475290662078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>
        <f>FE41*VLOOKUP('Données projet'!$B$16,Paramètres!$A$1:$I$89,3,0)*VLOOKUP('Données projet'!$B$16,Paramètres!$A$1:$I$89,5,0)</f>
        <v>0</v>
      </c>
      <c r="FG41" s="14" t="e">
        <f t="shared" si="47"/>
        <v>#NUM!</v>
      </c>
      <c r="FH41" s="22" t="e">
        <f t="shared" si="22"/>
        <v>#NUM!</v>
      </c>
      <c r="FI41" s="62" t="e">
        <f t="shared" si="23"/>
        <v>#NUM!</v>
      </c>
      <c r="FJ41" s="62">
        <f ca="1">AVERAGE(OFFSET($FI$3,0,0,'Données projet'!$E$16+1,1))-AVERAGE(OFFSET($H$3,0,0,'Données projet'!$E$16+1,1))</f>
        <v>121.28977654040114</v>
      </c>
      <c r="FK41" s="62">
        <f t="shared" si="48"/>
        <v>615.69585264342595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94.773514679292489</v>
      </c>
      <c r="FR41" s="23">
        <f>EXP(-LN(2)/25)*FR40+(1-EXP(-LN(2)/25))/(LN(2)/25)*Calculateur!FM41*Calculateur!FO41*VLOOKUP('Données projet'!$B$16,Paramètres!$A$1:$I$89,3,0)*0.475*44/12</f>
        <v>19.825588855774253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114.59910353506675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11.4</v>
      </c>
      <c r="N42" s="14">
        <f>IF('Données projet'!$A$36&gt;35,N41+M42-V41,IF(A42&lt;'Données projet'!$A$36,$K$205^A42,IF(A42='Données projet'!$A$36,'Données projet'!$B$36,N41+M42-V41)))</f>
        <v>216.59999999999994</v>
      </c>
      <c r="O42" s="14">
        <f>N42*VLOOKUP('Données projet'!$B$9,Paramètres!$A$1:$I$89,3,0)*VLOOKUP('Données projet'!$B$9,Paramètres!$A$1:$I$89,5,0)</f>
        <v>172.32695999999996</v>
      </c>
      <c r="P42" s="14">
        <f t="shared" si="33"/>
        <v>43.610772138081288</v>
      </c>
      <c r="Q42" s="22">
        <f t="shared" si="53"/>
        <v>376.09155014049139</v>
      </c>
      <c r="R42" s="62">
        <f t="shared" si="0"/>
        <v>669.42488347382471</v>
      </c>
      <c r="S42" s="62">
        <f ca="1">AVERAGE(OFFSET($R$3,0,0,'Données projet'!$E$9+1,1))-AVERAGE(OFFSET($H$3,0,0,'Données projet'!$E$9+1,1))</f>
        <v>352.5736659365665</v>
      </c>
      <c r="T42" s="62">
        <f t="shared" si="34"/>
        <v>343.77208530767069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11.279983130976868</v>
      </c>
      <c r="AA42" s="23">
        <f>EXP(-LN(2)/25)*AA41+(1-EXP(-LN(2)/25))/(LN(2)/25)*Calculateur!V42*Calculateur!X42*VLOOKUP('Données projet'!$B$9,Paramètres!$A$1:$I$89,3,0)*0.475*44/12</f>
        <v>18.481530657894385</v>
      </c>
      <c r="AB42" s="23">
        <f>EXP(-LN(2)/2)*AB41+(1-EXP(-LN(2)/2))/(LN(2)/2)*V42*Y42*VLOOKUP('Données projet'!$B$9,Paramètres!$A$1:$I$89,3,0)*0.475*44/12</f>
        <v>0</v>
      </c>
      <c r="AC42" s="24">
        <f t="shared" si="3"/>
        <v>29.761513788871255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6.8</v>
      </c>
      <c r="AI42" s="14">
        <f>IF('Données projet'!$A$62&gt;35,AI41+AH42-AQ41,IF(A42&lt;'Données projet'!$A$62,$AF$205^A42,IF(A42='Données projet'!$A$62,'Données projet'!$B$62,AI41+AH42-AQ41)))</f>
        <v>138.20000000000007</v>
      </c>
      <c r="AJ42" s="14">
        <f>AI42*VLOOKUP('Données projet'!$B$10,Paramètres!$A$1:$I$89,3,0)*VLOOKUP('Données projet'!$B$10,Paramètres!$A$1:$I$89,5,0)</f>
        <v>90.548640000000049</v>
      </c>
      <c r="AK42" s="14">
        <f t="shared" si="35"/>
        <v>24.69749691183889</v>
      </c>
      <c r="AL42" s="22">
        <f t="shared" si="4"/>
        <v>200.7203551214528</v>
      </c>
      <c r="AM42" s="62">
        <f t="shared" si="5"/>
        <v>494.05368845478608</v>
      </c>
      <c r="AN42" s="62">
        <f ca="1">AVERAGE(OFFSET($AM$3,0,0,'Données projet'!$E$10+1,1))-AVERAGE(OFFSET($H$3,0,0,'Données projet'!$E$10+1,1))</f>
        <v>210.08998695869161</v>
      </c>
      <c r="AO42" s="62">
        <f t="shared" si="36"/>
        <v>207.30911916430881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8.1634340780073339E-3</v>
      </c>
      <c r="AX42" s="23">
        <f t="shared" si="6"/>
        <v>8.1634340780073339E-3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163.80000000000001</v>
      </c>
      <c r="BE42" s="14">
        <f>BD42*VLOOKUP('Données projet'!$B$11,Paramètres!$A$1:$I$89,3,0)*VLOOKUP('Données projet'!$B$11,Paramètres!$A$1:$I$89,5,0)</f>
        <v>109.87703999999999</v>
      </c>
      <c r="BF42" s="14">
        <f t="shared" si="37"/>
        <v>29.302012351998378</v>
      </c>
      <c r="BG42" s="22">
        <f t="shared" si="7"/>
        <v>242.40351617973047</v>
      </c>
      <c r="BH42" s="62">
        <f t="shared" si="8"/>
        <v>535.73684951306382</v>
      </c>
      <c r="BI42" s="62">
        <f ca="1">AVERAGE(OFFSET($BH$3,0,0,'Données projet'!$E$11+1,1))-AVERAGE(OFFSET($H$3,0,0,'Données projet'!$E$11+1,1))</f>
        <v>335.83558218229564</v>
      </c>
      <c r="BJ42" s="62">
        <f t="shared" si="38"/>
        <v>217.08423061559648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0.92689128270820198</v>
      </c>
      <c r="BS42" s="24">
        <f t="shared" si="9"/>
        <v>0.92689128270820198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11.142857142857142</v>
      </c>
      <c r="BY42" s="13">
        <f>IF('Données projet'!$A$114&gt;35,BY41+BX42-CG41,IF(A42&lt;'Données projet'!$A$114,$BV$205^A42,IF(A42='Données projet'!$A$114,'Données projet'!$B$114,BY41+BX42-CG41)))</f>
        <v>174.28571428571422</v>
      </c>
      <c r="BZ42" s="14">
        <f>BY42*VLOOKUP('Données projet'!$B$12,Paramètres!$A$1:$I$89,3,0)*VLOOKUP('Données projet'!$B$12,Paramètres!$A$1:$I$89,5,0)</f>
        <v>135.94285714285709</v>
      </c>
      <c r="CA42" s="14">
        <f t="shared" si="39"/>
        <v>35.365986273808367</v>
      </c>
      <c r="CB42" s="22">
        <f t="shared" si="10"/>
        <v>298.36290228402567</v>
      </c>
      <c r="CC42" s="62">
        <f t="shared" si="11"/>
        <v>591.69623561735898</v>
      </c>
      <c r="CD42" s="62">
        <f ca="1">AVERAGE(OFFSET($CC$3,0,0,'Données projet'!$E$12+1,1))-AVERAGE(OFFSET($H$3,0,0,'Données projet'!$E$12+1,1))</f>
        <v>288.82868507674738</v>
      </c>
      <c r="CE42" s="62">
        <f t="shared" si="40"/>
        <v>283.48738729114024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3.7958719340747415</v>
      </c>
      <c r="CM42" s="23">
        <f>EXP(-LN(2)/2)*CM41+(1-EXP(-LN(2)/2))/(LN(2)/2)*CG42*CJ42*VLOOKUP('Données projet'!$B$12,Paramètres!$A$1:$I$89,3,0)*0.475*44/12</f>
        <v>0.11401079053771267</v>
      </c>
      <c r="CN42" s="24">
        <f t="shared" si="12"/>
        <v>3.9098827246124541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11.4</v>
      </c>
      <c r="CT42" s="13">
        <f>IF('Données projet'!$A$140&gt;35,CT41+CS42-DB41,IF(A42&lt;'Données projet'!$A$140,$CQ$205^A42,IF(A42='Données projet'!$A$140,'Données projet'!$B$140,CT41+CS42-DB41)))</f>
        <v>216.59999999999994</v>
      </c>
      <c r="CU42" s="18">
        <f>CT42*VLOOKUP('Données projet'!$B$13,Paramètres!$A$1:$I$89,3,0)*VLOOKUP('Données projet'!$B$13,Paramètres!$A$1:$I$89,5,0)</f>
        <v>189.22175999999996</v>
      </c>
      <c r="CV42" s="14">
        <f t="shared" si="41"/>
        <v>47.367853957810034</v>
      </c>
      <c r="CW42" s="22">
        <f t="shared" si="13"/>
        <v>412.06024430985235</v>
      </c>
      <c r="CX42" s="62">
        <f t="shared" si="14"/>
        <v>705.39357764318561</v>
      </c>
      <c r="CY42" s="62">
        <f ca="1">AVERAGE(OFFSET($CX$3,0,0,'Données projet'!$E$13+1,1))-AVERAGE(OFFSET($H$3,0,0,'Données projet'!$E$13+1,1))</f>
        <v>383.46266660377637</v>
      </c>
      <c r="CZ42" s="62">
        <f t="shared" si="42"/>
        <v>373.1287543230714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12.510122538963095</v>
      </c>
      <c r="DH42" s="23">
        <f>EXP(-LN(2)/2)*DH41+(1-EXP(-LN(2)/2))/(LN(2)/2)*DB42*DE42*VLOOKUP('Données projet'!$B$13,Paramètres!$A$1:$I$89,3,0)*0.475*44/12</f>
        <v>0.93852684636492278</v>
      </c>
      <c r="DI42" s="24">
        <f t="shared" si="15"/>
        <v>13.448649385328018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>
        <f>DO42*VLOOKUP('Données projet'!$B$14,Paramètres!$A$1:$I$89,3,0)*VLOOKUP('Données projet'!$B$14,Paramètres!$A$1:$I$89,5,0)</f>
        <v>0</v>
      </c>
      <c r="DQ42" s="14" t="e">
        <f t="shared" si="43"/>
        <v>#NUM!</v>
      </c>
      <c r="DR42" s="22" t="e">
        <f t="shared" si="16"/>
        <v>#NUM!</v>
      </c>
      <c r="DS42" s="62" t="e">
        <f t="shared" si="17"/>
        <v>#NUM!</v>
      </c>
      <c r="DT42" s="62">
        <f ca="1">AVERAGE(OFFSET($DS$3,0,0,'Données projet'!$E$14+1,1))-AVERAGE(OFFSET($H$3,0,0,'Données projet'!$E$14+1,1))</f>
        <v>96.56611521638132</v>
      </c>
      <c r="DU42" s="62">
        <f t="shared" si="44"/>
        <v>465.03257878814094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68.96190810589745</v>
      </c>
      <c r="EB42" s="23">
        <f>EXP(-LN(2)/25)*EB41+(1-EXP(-LN(2)/25))/(LN(2)/25)*Calculateur!DW42*Calculateur!DY42*VLOOKUP('Données projet'!$B$14,Paramètres!$A$1:$I$89,3,0)*0.475*44/12</f>
        <v>14.312254011803038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83.274162117700484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11.4</v>
      </c>
      <c r="EJ42" s="13">
        <f>IF('Données projet'!$A$192&gt;35,EJ41+EI42-ER41,IF(A42&lt;'Données projet'!$A$192,$EG$205^A42,IF(A42='Données projet'!$A$192,'Données projet'!$B$192,EJ41+EI42-ER41)))</f>
        <v>216.59999999999994</v>
      </c>
      <c r="EK42" s="18">
        <f>EJ42*VLOOKUP('Données projet'!$B$15,Paramètres!$A$1:$I$89,3,0)*VLOOKUP('Données projet'!$B$15,Paramètres!$A$1:$I$89,5,0)</f>
        <v>175.70591999999996</v>
      </c>
      <c r="EL42" s="14">
        <f t="shared" si="45"/>
        <v>44.365494122468299</v>
      </c>
      <c r="EM42" s="22">
        <f t="shared" si="19"/>
        <v>383.29104626329894</v>
      </c>
      <c r="EN42" s="62">
        <f t="shared" si="20"/>
        <v>676.62437959663225</v>
      </c>
      <c r="EO42" s="62">
        <f ca="1">AVERAGE(OFFSET($EN$3,0,0,'Données projet'!$E$15+1,1))-AVERAGE(OFFSET($H$3,0,0,'Données projet'!$E$15+1,1))</f>
        <v>358.75637627589799</v>
      </c>
      <c r="EP42" s="62">
        <f t="shared" si="46"/>
        <v>349.64821164483607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8.0890134796746231</v>
      </c>
      <c r="EW42" s="23">
        <f>EXP(-LN(2)/25)*EW41+(1-EXP(-LN(2)/25))/(LN(2)/25)*Calculateur!ER42*Calculateur!ET42*VLOOKUP('Données projet'!$B$15,Paramètres!$A$1:$I$89,3,0)*0.475*44/12</f>
        <v>11.950787396883154</v>
      </c>
      <c r="EX42" s="23">
        <f>EXP(-LN(2)/2)*EX41+(1-EXP(-LN(2)/2))/(LN(2)/2)*ER42*EU42*VLOOKUP('Données projet'!$B$15,Paramètres!$A$1:$I$89,3,0)*0.475*44/12</f>
        <v>0.16114875904537068</v>
      </c>
      <c r="EY42" s="24">
        <f t="shared" si="21"/>
        <v>20.200949635603148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>
        <f>FE42*VLOOKUP('Données projet'!$B$16,Paramètres!$A$1:$I$89,3,0)*VLOOKUP('Données projet'!$B$16,Paramètres!$A$1:$I$89,5,0)</f>
        <v>0</v>
      </c>
      <c r="FG42" s="14" t="e">
        <f t="shared" si="47"/>
        <v>#NUM!</v>
      </c>
      <c r="FH42" s="22" t="e">
        <f t="shared" si="22"/>
        <v>#NUM!</v>
      </c>
      <c r="FI42" s="62" t="e">
        <f t="shared" si="23"/>
        <v>#NUM!</v>
      </c>
      <c r="FJ42" s="62">
        <f ca="1">AVERAGE(OFFSET($FI$3,0,0,'Données projet'!$E$16+1,1))-AVERAGE(OFFSET($H$3,0,0,'Données projet'!$E$16+1,1))</f>
        <v>121.28977654040114</v>
      </c>
      <c r="FK42" s="62">
        <f t="shared" si="48"/>
        <v>615.69585264342595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92.915063862567635</v>
      </c>
      <c r="FR42" s="23">
        <f>EXP(-LN(2)/25)*FR41+(1-EXP(-LN(2)/25))/(LN(2)/25)*Calculateur!FM42*Calculateur!FO42*VLOOKUP('Données projet'!$B$16,Paramètres!$A$1:$I$89,3,0)*0.475*44/12</f>
        <v>19.283457085930699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112.19852094849833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228</v>
      </c>
      <c r="L43" s="13">
        <f>VLOOKUP(A43,'Données projet'!$A$35:$I$55,9,0)</f>
        <v>11.4</v>
      </c>
      <c r="M43" s="13">
        <f t="array" ref="M43">INDEX(L:L,MIN(IF(ISNUMBER(L43:L239),ROW(L43:L239),"")))</f>
        <v>11.4</v>
      </c>
      <c r="N43" s="14">
        <f>IF('Données projet'!$A$36&gt;35,N42+M43-V42,IF(A43&lt;'Données projet'!$A$36,$K$205^A43,IF(A43='Données projet'!$A$36,'Données projet'!$B$36,N42+M43-V42)))</f>
        <v>227.99999999999994</v>
      </c>
      <c r="O43" s="14">
        <f>N43*VLOOKUP('Données projet'!$B$9,Paramètres!$A$1:$I$89,3,0)*VLOOKUP('Données projet'!$B$9,Paramètres!$A$1:$I$89,5,0)</f>
        <v>181.39679999999996</v>
      </c>
      <c r="P43" s="14">
        <f t="shared" si="33"/>
        <v>45.63280848550832</v>
      </c>
      <c r="Q43" s="22">
        <f t="shared" si="53"/>
        <v>395.40990144559356</v>
      </c>
      <c r="R43" s="62">
        <f t="shared" si="0"/>
        <v>688.74323477892688</v>
      </c>
      <c r="S43" s="62">
        <f ca="1">AVERAGE(OFFSET($R$3,0,0,'Données projet'!$E$9+1,1))-AVERAGE(OFFSET($H$3,0,0,'Données projet'!$E$9+1,1))</f>
        <v>352.5736659365665</v>
      </c>
      <c r="T43" s="62">
        <f t="shared" si="34"/>
        <v>343.77208530767069</v>
      </c>
      <c r="U43" s="16">
        <f>IF(ISNA(VLOOKUP(A43,'Données projet'!$A$35:$I$55,3,0)),0,VLOOKUP(A43,'Données projet'!$A$35:$I$55,3,0))</f>
        <v>7</v>
      </c>
      <c r="V43" s="16">
        <f>IF(ISNA(VLOOKUP(A43,'Données projet'!$A$35:$I$55,4,0)),0,VLOOKUP(A43,'Données projet'!$A$35:$I$55,4,0))</f>
        <v>35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11.058789541888768</v>
      </c>
      <c r="AA43" s="23">
        <f>EXP(-LN(2)/25)*AA42+(1-EXP(-LN(2)/25))/(LN(2)/25)*Calculateur!V43*Calculateur!X43*VLOOKUP('Données projet'!$B$9,Paramètres!$A$1:$I$89,3,0)*0.475*44/12</f>
        <v>17.976152230152806</v>
      </c>
      <c r="AB43" s="23">
        <f>EXP(-LN(2)/2)*AB42+(1-EXP(-LN(2)/2))/(LN(2)/2)*V43*Y43*VLOOKUP('Données projet'!$B$9,Paramètres!$A$1:$I$89,3,0)*0.475*44/12</f>
        <v>0</v>
      </c>
      <c r="AC43" s="24">
        <f t="shared" si="3"/>
        <v>29.034941772041574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145</v>
      </c>
      <c r="AG43" s="13">
        <f>VLOOKUP(A43,'Données projet'!$A$61:$I$81,9,0)</f>
        <v>6.8</v>
      </c>
      <c r="AH43" s="13">
        <f t="array" ref="AH43">INDEX(AG:AG,MIN(IF(ISNUMBER(AG43:AG239),ROW(AG43:AG239),"")))</f>
        <v>6.8</v>
      </c>
      <c r="AI43" s="14">
        <f>IF('Données projet'!$A$62&gt;35,AI42+AH43-AQ42,IF(A43&lt;'Données projet'!$A$62,$AF$205^A43,IF(A43='Données projet'!$A$62,'Données projet'!$B$62,AI42+AH43-AQ42)))</f>
        <v>145.00000000000009</v>
      </c>
      <c r="AJ43" s="14">
        <f>AI43*VLOOKUP('Données projet'!$B$10,Paramètres!$A$1:$I$89,3,0)*VLOOKUP('Données projet'!$B$10,Paramètres!$A$1:$I$89,5,0)</f>
        <v>95.004000000000062</v>
      </c>
      <c r="AK43" s="14">
        <f t="shared" si="35"/>
        <v>25.768242550600785</v>
      </c>
      <c r="AL43" s="22">
        <f t="shared" si="4"/>
        <v>210.34498910896312</v>
      </c>
      <c r="AM43" s="62">
        <f t="shared" si="5"/>
        <v>503.67832244229646</v>
      </c>
      <c r="AN43" s="62">
        <f ca="1">AVERAGE(OFFSET($AM$3,0,0,'Données projet'!$E$10+1,1))-AVERAGE(OFFSET($H$3,0,0,'Données projet'!$E$10+1,1))</f>
        <v>210.08998695869161</v>
      </c>
      <c r="AO43" s="62">
        <f t="shared" si="36"/>
        <v>207.30911916430881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22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5.7724195943283374E-3</v>
      </c>
      <c r="AX43" s="23">
        <f t="shared" si="6"/>
        <v>5.7724195943283374E-3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</v>
      </c>
      <c r="BE43" s="14">
        <f>BD43*VLOOKUP('Données projet'!$B$11,Paramètres!$A$1:$I$89,3,0)*VLOOKUP('Données projet'!$B$11,Paramètres!$A$1:$I$89,5,0)</f>
        <v>117.39</v>
      </c>
      <c r="BF43" s="14">
        <f t="shared" si="37"/>
        <v>31.065482772413461</v>
      </c>
      <c r="BG43" s="22">
        <f t="shared" si="7"/>
        <v>258.55996582862014</v>
      </c>
      <c r="BH43" s="62">
        <f t="shared" si="8"/>
        <v>551.89329916195345</v>
      </c>
      <c r="BI43" s="62">
        <f ca="1">AVERAGE(OFFSET($BH$3,0,0,'Données projet'!$E$11+1,1))-AVERAGE(OFFSET($H$3,0,0,'Données projet'!$E$11+1,1))</f>
        <v>335.83558218229564</v>
      </c>
      <c r="BJ43" s="62">
        <f t="shared" si="38"/>
        <v>217.08423061559648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0.65541111142566699</v>
      </c>
      <c r="BS43" s="24">
        <f t="shared" si="9"/>
        <v>0.65541111142566699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11.142857142857142</v>
      </c>
      <c r="BY43" s="13">
        <f>IF('Données projet'!$A$114&gt;35,BY42+BX43-CG42,IF(A43&lt;'Données projet'!$A$114,$BV$205^A43,IF(A43='Données projet'!$A$114,'Données projet'!$B$114,BY42+BX43-CG42)))</f>
        <v>185.42857142857136</v>
      </c>
      <c r="BZ43" s="14">
        <f>BY43*VLOOKUP('Données projet'!$B$12,Paramètres!$A$1:$I$89,3,0)*VLOOKUP('Données projet'!$B$12,Paramètres!$A$1:$I$89,5,0)</f>
        <v>144.63428571428565</v>
      </c>
      <c r="CA43" s="14">
        <f t="shared" si="39"/>
        <v>37.356634728420524</v>
      </c>
      <c r="CB43" s="22">
        <f t="shared" si="10"/>
        <v>316.96751977104657</v>
      </c>
      <c r="CC43" s="62">
        <f t="shared" si="11"/>
        <v>610.30085310437994</v>
      </c>
      <c r="CD43" s="62">
        <f ca="1">AVERAGE(OFFSET($CC$3,0,0,'Données projet'!$E$12+1,1))-AVERAGE(OFFSET($H$3,0,0,'Données projet'!$E$12+1,1))</f>
        <v>288.82868507674738</v>
      </c>
      <c r="CE43" s="62">
        <f t="shared" si="40"/>
        <v>283.48738729114024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3.6920736164212382</v>
      </c>
      <c r="CM43" s="23">
        <f>EXP(-LN(2)/2)*CM42+(1-EXP(-LN(2)/2))/(LN(2)/2)*CG43*CJ43*VLOOKUP('Données projet'!$B$12,Paramètres!$A$1:$I$89,3,0)*0.475*44/12</f>
        <v>8.0617803117655693E-2</v>
      </c>
      <c r="CN43" s="24">
        <f t="shared" si="12"/>
        <v>3.7726914195388939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228</v>
      </c>
      <c r="CR43" s="13">
        <f>VLOOKUP(A43,'Données projet'!$A$139:$I$159,9,0)</f>
        <v>11.4</v>
      </c>
      <c r="CS43" s="13">
        <f t="array" ref="CS43">INDEX(CR:CR,MIN(IF(ISNUMBER(CR43:CR239),ROW(CR43:CR239),"")))</f>
        <v>11.4</v>
      </c>
      <c r="CT43" s="13">
        <f>IF('Données projet'!$A$140&gt;35,CT42+CS43-DB42,IF(A43&lt;'Données projet'!$A$140,$CQ$205^A43,IF(A43='Données projet'!$A$140,'Données projet'!$B$140,CT42+CS43-DB42)))</f>
        <v>227.99999999999994</v>
      </c>
      <c r="CU43" s="18">
        <f>CT43*VLOOKUP('Données projet'!$B$13,Paramètres!$A$1:$I$89,3,0)*VLOOKUP('Données projet'!$B$13,Paramètres!$A$1:$I$89,5,0)</f>
        <v>199.18079999999998</v>
      </c>
      <c r="CV43" s="14">
        <f t="shared" si="41"/>
        <v>49.564089376413683</v>
      </c>
      <c r="CW43" s="22">
        <f t="shared" si="13"/>
        <v>433.23068233058711</v>
      </c>
      <c r="CX43" s="62">
        <f t="shared" si="14"/>
        <v>726.56401566392037</v>
      </c>
      <c r="CY43" s="62">
        <f ca="1">AVERAGE(OFFSET($CX$3,0,0,'Données projet'!$E$13+1,1))-AVERAGE(OFFSET($H$3,0,0,'Données projet'!$E$13+1,1))</f>
        <v>383.46266660377637</v>
      </c>
      <c r="CZ43" s="62">
        <f t="shared" si="42"/>
        <v>373.1287543230714</v>
      </c>
      <c r="DA43" s="16">
        <f>IF(ISNA(VLOOKUP(A43,'Données projet'!$A$139:$I$159,3,0)),0,VLOOKUP(A43,'Données projet'!$A$139:$I$159,3,0))</f>
        <v>7</v>
      </c>
      <c r="DB43" s="16">
        <f>IF(ISNA(VLOOKUP(A43,'Données projet'!$A$139:$I$159,4,0)),0,VLOOKUP(A43,'Données projet'!$A$139:$I$159,4,0))</f>
        <v>35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12.168032580256398</v>
      </c>
      <c r="DH43" s="23">
        <f>EXP(-LN(2)/2)*DH42+(1-EXP(-LN(2)/2))/(LN(2)/2)*DB43*DE43*VLOOKUP('Données projet'!$B$13,Paramètres!$A$1:$I$89,3,0)*0.475*44/12</f>
        <v>0.66363869739026204</v>
      </c>
      <c r="DI43" s="24">
        <f t="shared" si="15"/>
        <v>12.831671277646659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>
        <f>DO43*VLOOKUP('Données projet'!$B$14,Paramètres!$A$1:$I$89,3,0)*VLOOKUP('Données projet'!$B$14,Paramètres!$A$1:$I$89,5,0)</f>
        <v>0</v>
      </c>
      <c r="DQ43" s="14" t="e">
        <f t="shared" si="43"/>
        <v>#NUM!</v>
      </c>
      <c r="DR43" s="22" t="e">
        <f t="shared" si="16"/>
        <v>#NUM!</v>
      </c>
      <c r="DS43" s="62" t="e">
        <f t="shared" si="17"/>
        <v>#NUM!</v>
      </c>
      <c r="DT43" s="62">
        <f ca="1">AVERAGE(OFFSET($DS$3,0,0,'Données projet'!$E$14+1,1))-AVERAGE(OFFSET($H$3,0,0,'Données projet'!$E$14+1,1))</f>
        <v>96.56611521638132</v>
      </c>
      <c r="DU43" s="62">
        <f t="shared" si="44"/>
        <v>465.03257878814094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67.609607150551412</v>
      </c>
      <c r="EB43" s="23">
        <f>EXP(-LN(2)/25)*EB42+(1-EXP(-LN(2)/25))/(LN(2)/25)*Calculateur!DW43*Calculateur!DY43*VLOOKUP('Données projet'!$B$14,Paramètres!$A$1:$I$89,3,0)*0.475*44/12</f>
        <v>13.920884673201556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81.530491823752968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228</v>
      </c>
      <c r="EH43" s="13">
        <f>VLOOKUP(A43,'Données projet'!$A$191:$I$211,9,0)</f>
        <v>11.4</v>
      </c>
      <c r="EI43" s="13">
        <f t="array" ref="EI43">INDEX(EH:EH,MIN(IF(ISNUMBER(EH43:EH239),ROW(EH43:EH239),"")))</f>
        <v>11.4</v>
      </c>
      <c r="EJ43" s="13">
        <f>IF('Données projet'!$A$192&gt;35,EJ42+EI43-ER42,IF(A43&lt;'Données projet'!$A$192,$EG$205^A43,IF(A43='Données projet'!$A$192,'Données projet'!$B$192,EJ42+EI43-ER42)))</f>
        <v>227.99999999999994</v>
      </c>
      <c r="EK43" s="18">
        <f>EJ43*VLOOKUP('Données projet'!$B$15,Paramètres!$A$1:$I$89,3,0)*VLOOKUP('Données projet'!$B$15,Paramètres!$A$1:$I$89,5,0)</f>
        <v>184.95359999999997</v>
      </c>
      <c r="EL43" s="14">
        <f t="shared" si="45"/>
        <v>46.42252355095799</v>
      </c>
      <c r="EM43" s="22">
        <f t="shared" si="19"/>
        <v>402.98008185125178</v>
      </c>
      <c r="EN43" s="62">
        <f t="shared" si="20"/>
        <v>696.3134151845851</v>
      </c>
      <c r="EO43" s="62">
        <f ca="1">AVERAGE(OFFSET($EN$3,0,0,'Données projet'!$E$15+1,1))-AVERAGE(OFFSET($H$3,0,0,'Données projet'!$E$15+1,1))</f>
        <v>358.75637627589799</v>
      </c>
      <c r="EP43" s="62">
        <f t="shared" si="46"/>
        <v>349.64821164483607</v>
      </c>
      <c r="EQ43" s="16">
        <f>IF(ISNA(VLOOKUP(A43,'Données projet'!$A$191:$I$211,3,0)),0,VLOOKUP(A43,'Données projet'!$A$191:$I$211,3,0))</f>
        <v>7</v>
      </c>
      <c r="ER43" s="16">
        <f>IF(ISNA(VLOOKUP(A43,'Données projet'!$A$191:$I$211,4,0)),0,VLOOKUP(A43,'Données projet'!$A$191:$I$211,4,0))</f>
        <v>35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7.9303928591492534</v>
      </c>
      <c r="EW43" s="23">
        <f>EXP(-LN(2)/25)*EW42+(1-EXP(-LN(2)/25))/(LN(2)/25)*Calculateur!ER43*Calculateur!ET43*VLOOKUP('Données projet'!$B$15,Paramètres!$A$1:$I$89,3,0)*0.475*44/12</f>
        <v>11.623992487050788</v>
      </c>
      <c r="EX43" s="23">
        <f>EXP(-LN(2)/2)*EX42+(1-EXP(-LN(2)/2))/(LN(2)/2)*ER43*EU43*VLOOKUP('Données projet'!$B$15,Paramètres!$A$1:$I$89,3,0)*0.475*44/12</f>
        <v>0.1139493803007786</v>
      </c>
      <c r="EY43" s="24">
        <f t="shared" si="21"/>
        <v>19.66833472650082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>
        <f>FE43*VLOOKUP('Données projet'!$B$16,Paramètres!$A$1:$I$89,3,0)*VLOOKUP('Données projet'!$B$16,Paramètres!$A$1:$I$89,5,0)</f>
        <v>0</v>
      </c>
      <c r="FG43" s="14" t="e">
        <f t="shared" si="47"/>
        <v>#NUM!</v>
      </c>
      <c r="FH43" s="22" t="e">
        <f t="shared" si="22"/>
        <v>#NUM!</v>
      </c>
      <c r="FI43" s="62" t="e">
        <f t="shared" si="23"/>
        <v>#NUM!</v>
      </c>
      <c r="FJ43" s="62">
        <f ca="1">AVERAGE(OFFSET($FI$3,0,0,'Données projet'!$E$16+1,1))-AVERAGE(OFFSET($H$3,0,0,'Données projet'!$E$16+1,1))</f>
        <v>121.28977654040114</v>
      </c>
      <c r="FK43" s="62">
        <f t="shared" si="48"/>
        <v>615.69585264342595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91.09305613281569</v>
      </c>
      <c r="FR43" s="23">
        <f>EXP(-LN(2)/25)*FR42+(1-EXP(-LN(2)/25))/(LN(2)/25)*Calculateur!FM43*Calculateur!FO43*VLOOKUP('Données projet'!$B$16,Paramètres!$A$1:$I$89,3,0)*0.475*44/12</f>
        <v>18.756149937842988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109.84920607065868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9.8000000000000007</v>
      </c>
      <c r="N44" s="14">
        <f>IF('Données projet'!$A$36&gt;35,N43+M44-V43,IF(A44&lt;'Données projet'!$A$36,$K$205^A44,IF(A44='Données projet'!$A$36,'Données projet'!$B$36,N43+M44-V43)))</f>
        <v>202.79999999999995</v>
      </c>
      <c r="O44" s="14">
        <f>N44*VLOOKUP('Données projet'!$B$9,Paramètres!$A$1:$I$89,3,0)*VLOOKUP('Données projet'!$B$9,Paramètres!$A$1:$I$89,5,0)</f>
        <v>161.34767999999997</v>
      </c>
      <c r="P44" s="14">
        <f t="shared" si="33"/>
        <v>41.146339844316657</v>
      </c>
      <c r="Q44" s="22">
        <f t="shared" si="53"/>
        <v>352.67708456218475</v>
      </c>
      <c r="R44" s="62">
        <f t="shared" si="0"/>
        <v>646.010417895518</v>
      </c>
      <c r="S44" s="62">
        <f ca="1">AVERAGE(OFFSET($R$3,0,0,'Données projet'!$E$9+1,1))-AVERAGE(OFFSET($H$3,0,0,'Données projet'!$E$9+1,1))</f>
        <v>352.5736659365665</v>
      </c>
      <c r="T44" s="62">
        <f t="shared" si="34"/>
        <v>343.77208530767069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10.841933424167916</v>
      </c>
      <c r="AA44" s="23">
        <f>EXP(-LN(2)/25)*AA43+(1-EXP(-LN(2)/25))/(LN(2)/25)*Calculateur!V44*Calculateur!X44*VLOOKUP('Données projet'!$B$9,Paramètres!$A$1:$I$89,3,0)*0.475*44/12</f>
        <v>17.484593402094518</v>
      </c>
      <c r="AB44" s="23">
        <f>EXP(-LN(2)/2)*AB43+(1-EXP(-LN(2)/2))/(LN(2)/2)*V44*Y44*VLOOKUP('Données projet'!$B$9,Paramètres!$A$1:$I$89,3,0)*0.475*44/12</f>
        <v>0</v>
      </c>
      <c r="AC44" s="24">
        <f t="shared" si="3"/>
        <v>28.326526826262434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6.4</v>
      </c>
      <c r="AI44" s="14">
        <f>IF('Données projet'!$A$62&gt;35,AI43+AH44-AQ43,IF(A44&lt;'Données projet'!$A$62,$AF$205^A44,IF(A44='Données projet'!$A$62,'Données projet'!$B$62,AI43+AH44-AQ43)))</f>
        <v>129.40000000000009</v>
      </c>
      <c r="AJ44" s="14">
        <f>AI44*VLOOKUP('Données projet'!$B$10,Paramètres!$A$1:$I$89,3,0)*VLOOKUP('Données projet'!$B$10,Paramètres!$A$1:$I$89,5,0)</f>
        <v>84.782880000000063</v>
      </c>
      <c r="AK44" s="14">
        <f t="shared" si="35"/>
        <v>23.302641807417039</v>
      </c>
      <c r="AL44" s="22">
        <f t="shared" si="4"/>
        <v>188.24895048125146</v>
      </c>
      <c r="AM44" s="62">
        <f t="shared" si="5"/>
        <v>481.5822838145848</v>
      </c>
      <c r="AN44" s="62">
        <f ca="1">AVERAGE(OFFSET($AM$3,0,0,'Données projet'!$E$10+1,1))-AVERAGE(OFFSET($H$3,0,0,'Données projet'!$E$10+1,1))</f>
        <v>210.08998695869161</v>
      </c>
      <c r="AO44" s="62">
        <f t="shared" si="36"/>
        <v>207.30911916430881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4.0817170390036669E-3</v>
      </c>
      <c r="AX44" s="23">
        <f t="shared" si="6"/>
        <v>4.0817170390036669E-3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158.4</v>
      </c>
      <c r="BE44" s="14">
        <f>BD44*VLOOKUP('Données projet'!$B$11,Paramètres!$A$1:$I$89,3,0)*VLOOKUP('Données projet'!$B$11,Paramètres!$A$1:$I$89,5,0)</f>
        <v>106.25471999999999</v>
      </c>
      <c r="BF44" s="14">
        <f t="shared" si="37"/>
        <v>28.446796237064529</v>
      </c>
      <c r="BG44" s="22">
        <f t="shared" si="7"/>
        <v>234.60514077955398</v>
      </c>
      <c r="BH44" s="62">
        <f t="shared" si="8"/>
        <v>527.93847411288732</v>
      </c>
      <c r="BI44" s="62">
        <f ca="1">AVERAGE(OFFSET($BH$3,0,0,'Données projet'!$E$11+1,1))-AVERAGE(OFFSET($H$3,0,0,'Données projet'!$E$11+1,1))</f>
        <v>335.83558218229564</v>
      </c>
      <c r="BJ44" s="62">
        <f t="shared" si="38"/>
        <v>217.08423061559648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0.46344564135410105</v>
      </c>
      <c r="BS44" s="24">
        <f t="shared" si="9"/>
        <v>0.46344564135410105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11.142857142857142</v>
      </c>
      <c r="BY44" s="13">
        <f>IF('Données projet'!$A$114&gt;35,BY43+BX44-CG43,IF(A44&lt;'Données projet'!$A$114,$BV$205^A44,IF(A44='Données projet'!$A$114,'Données projet'!$B$114,BY43+BX44-CG43)))</f>
        <v>196.5714285714285</v>
      </c>
      <c r="BZ44" s="14">
        <f>BY44*VLOOKUP('Données projet'!$B$12,Paramètres!$A$1:$I$89,3,0)*VLOOKUP('Données projet'!$B$12,Paramètres!$A$1:$I$89,5,0)</f>
        <v>153.32571428571424</v>
      </c>
      <c r="CA44" s="14">
        <f t="shared" si="39"/>
        <v>39.333398837614155</v>
      </c>
      <c r="CB44" s="22">
        <f t="shared" si="10"/>
        <v>335.5479553564636</v>
      </c>
      <c r="CC44" s="62">
        <f t="shared" si="11"/>
        <v>628.88128868979697</v>
      </c>
      <c r="CD44" s="62">
        <f ca="1">AVERAGE(OFFSET($CC$3,0,0,'Données projet'!$E$12+1,1))-AVERAGE(OFFSET($H$3,0,0,'Données projet'!$E$12+1,1))</f>
        <v>288.82868507674738</v>
      </c>
      <c r="CE44" s="62">
        <f t="shared" si="40"/>
        <v>283.48738729114024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3.5911136692224863</v>
      </c>
      <c r="CM44" s="23">
        <f>EXP(-LN(2)/2)*CM43+(1-EXP(-LN(2)/2))/(LN(2)/2)*CG44*CJ44*VLOOKUP('Données projet'!$B$12,Paramètres!$A$1:$I$89,3,0)*0.475*44/12</f>
        <v>5.7005395268856333E-2</v>
      </c>
      <c r="CN44" s="24">
        <f t="shared" si="12"/>
        <v>3.6481190644913428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9.8000000000000007</v>
      </c>
      <c r="CT44" s="13">
        <f>IF('Données projet'!$A$140&gt;35,CT43+CS44-DB43,IF(A44&lt;'Données projet'!$A$140,$CQ$205^A44,IF(A44='Données projet'!$A$140,'Données projet'!$B$140,CT43+CS44-DB43)))</f>
        <v>202.79999999999995</v>
      </c>
      <c r="CU44" s="18">
        <f>CT44*VLOOKUP('Données projet'!$B$13,Paramètres!$A$1:$I$89,3,0)*VLOOKUP('Données projet'!$B$13,Paramètres!$A$1:$I$89,5,0)</f>
        <v>177.16607999999999</v>
      </c>
      <c r="CV44" s="14">
        <f t="shared" si="41"/>
        <v>44.691110042101649</v>
      </c>
      <c r="CW44" s="22">
        <f t="shared" si="13"/>
        <v>386.40127265666041</v>
      </c>
      <c r="CX44" s="62">
        <f t="shared" si="14"/>
        <v>679.73460598999372</v>
      </c>
      <c r="CY44" s="62">
        <f ca="1">AVERAGE(OFFSET($CX$3,0,0,'Données projet'!$E$13+1,1))-AVERAGE(OFFSET($H$3,0,0,'Données projet'!$E$13+1,1))</f>
        <v>383.46266660377637</v>
      </c>
      <c r="CZ44" s="62">
        <f t="shared" si="42"/>
        <v>373.1287543230714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11.835297089460264</v>
      </c>
      <c r="DH44" s="23">
        <f>EXP(-LN(2)/2)*DH43+(1-EXP(-LN(2)/2))/(LN(2)/2)*DB44*DE44*VLOOKUP('Données projet'!$B$13,Paramètres!$A$1:$I$89,3,0)*0.475*44/12</f>
        <v>0.4692634231824615</v>
      </c>
      <c r="DI44" s="24">
        <f t="shared" si="15"/>
        <v>12.304560512642725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>
        <f>DO44*VLOOKUP('Données projet'!$B$14,Paramètres!$A$1:$I$89,3,0)*VLOOKUP('Données projet'!$B$14,Paramètres!$A$1:$I$89,5,0)</f>
        <v>0</v>
      </c>
      <c r="DQ44" s="14" t="e">
        <f t="shared" si="43"/>
        <v>#NUM!</v>
      </c>
      <c r="DR44" s="22" t="e">
        <f t="shared" si="16"/>
        <v>#NUM!</v>
      </c>
      <c r="DS44" s="62" t="e">
        <f t="shared" si="17"/>
        <v>#NUM!</v>
      </c>
      <c r="DT44" s="62">
        <f ca="1">AVERAGE(OFFSET($DS$3,0,0,'Données projet'!$E$14+1,1))-AVERAGE(OFFSET($H$3,0,0,'Données projet'!$E$14+1,1))</f>
        <v>96.56611521638132</v>
      </c>
      <c r="DU44" s="62">
        <f t="shared" si="44"/>
        <v>465.03257878814094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66.283823992117561</v>
      </c>
      <c r="EB44" s="23">
        <f>EXP(-LN(2)/25)*EB43+(1-EXP(-LN(2)/25))/(LN(2)/25)*Calculateur!DW44*Calculateur!DY44*VLOOKUP('Données projet'!$B$14,Paramètres!$A$1:$I$89,3,0)*0.475*44/12</f>
        <v>13.540217349745351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79.824041341862909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9.8000000000000007</v>
      </c>
      <c r="EJ44" s="13">
        <f>IF('Données projet'!$A$192&gt;35,EJ43+EI44-ER43,IF(A44&lt;'Données projet'!$A$192,$EG$205^A44,IF(A44='Données projet'!$A$192,'Données projet'!$B$192,EJ43+EI44-ER43)))</f>
        <v>202.79999999999995</v>
      </c>
      <c r="EK44" s="18">
        <f>EJ44*VLOOKUP('Données projet'!$B$15,Paramètres!$A$1:$I$89,3,0)*VLOOKUP('Données projet'!$B$15,Paramètres!$A$1:$I$89,5,0)</f>
        <v>164.51135999999997</v>
      </c>
      <c r="EL44" s="14">
        <f t="shared" si="45"/>
        <v>41.858412704646653</v>
      </c>
      <c r="EM44" s="22">
        <f t="shared" si="19"/>
        <v>359.42735412725943</v>
      </c>
      <c r="EN44" s="62">
        <f t="shared" si="20"/>
        <v>652.76068746059275</v>
      </c>
      <c r="EO44" s="62">
        <f ca="1">AVERAGE(OFFSET($EN$3,0,0,'Données projet'!$E$15+1,1))-AVERAGE(OFFSET($H$3,0,0,'Données projet'!$E$15+1,1))</f>
        <v>358.75637627589799</v>
      </c>
      <c r="EP44" s="62">
        <f t="shared" si="46"/>
        <v>349.64821164483607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7.7748826922433603</v>
      </c>
      <c r="EW44" s="23">
        <f>EXP(-LN(2)/25)*EW43+(1-EXP(-LN(2)/25))/(LN(2)/25)*Calculateur!ER44*Calculateur!ET44*VLOOKUP('Données projet'!$B$15,Paramètres!$A$1:$I$89,3,0)*0.475*44/12</f>
        <v>11.306133801213187</v>
      </c>
      <c r="EX44" s="23">
        <f>EXP(-LN(2)/2)*EX43+(1-EXP(-LN(2)/2))/(LN(2)/2)*ER44*EU44*VLOOKUP('Données projet'!$B$15,Paramètres!$A$1:$I$89,3,0)*0.475*44/12</f>
        <v>8.0574379522685341E-2</v>
      </c>
      <c r="EY44" s="24">
        <f t="shared" si="21"/>
        <v>19.161590872979232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>
        <f>FE44*VLOOKUP('Données projet'!$B$16,Paramètres!$A$1:$I$89,3,0)*VLOOKUP('Données projet'!$B$16,Paramètres!$A$1:$I$89,5,0)</f>
        <v>0</v>
      </c>
      <c r="FG44" s="14" t="e">
        <f t="shared" si="47"/>
        <v>#NUM!</v>
      </c>
      <c r="FH44" s="22" t="e">
        <f t="shared" si="22"/>
        <v>#NUM!</v>
      </c>
      <c r="FI44" s="62" t="e">
        <f t="shared" si="23"/>
        <v>#NUM!</v>
      </c>
      <c r="FJ44" s="62">
        <f ca="1">AVERAGE(OFFSET($FI$3,0,0,'Données projet'!$E$16+1,1))-AVERAGE(OFFSET($H$3,0,0,'Données projet'!$E$16+1,1))</f>
        <v>121.28977654040114</v>
      </c>
      <c r="FK44" s="62">
        <f t="shared" si="48"/>
        <v>615.69585264342595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89.306776863329191</v>
      </c>
      <c r="FR44" s="23">
        <f>EXP(-LN(2)/25)*FR43+(1-EXP(-LN(2)/25))/(LN(2)/25)*Calculateur!FM44*Calculateur!FO44*VLOOKUP('Données projet'!$B$16,Paramètres!$A$1:$I$89,3,0)*0.475*44/12</f>
        <v>18.243262031449614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107.55003889477881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9.8000000000000007</v>
      </c>
      <c r="N45" s="14">
        <f>IF('Données projet'!$A$36&gt;35,N44+M45-V44,IF(A45&lt;'Données projet'!$A$36,$K$205^A45,IF(A45='Données projet'!$A$36,'Données projet'!$B$36,N44+M45-V44)))</f>
        <v>212.59999999999997</v>
      </c>
      <c r="O45" s="14">
        <f>N45*VLOOKUP('Données projet'!$B$9,Paramètres!$A$1:$I$89,3,0)*VLOOKUP('Données projet'!$B$9,Paramètres!$A$1:$I$89,5,0)</f>
        <v>169.14455999999998</v>
      </c>
      <c r="P45" s="14">
        <f t="shared" si="33"/>
        <v>42.898377267189964</v>
      </c>
      <c r="Q45" s="22">
        <f t="shared" si="53"/>
        <v>369.30811574035579</v>
      </c>
      <c r="R45" s="62">
        <f t="shared" si="0"/>
        <v>662.64144907368905</v>
      </c>
      <c r="S45" s="62">
        <f ca="1">AVERAGE(OFFSET($R$3,0,0,'Données projet'!$E$9+1,1))-AVERAGE(OFFSET($H$3,0,0,'Données projet'!$E$9+1,1))</f>
        <v>352.5736659365665</v>
      </c>
      <c r="T45" s="62">
        <f t="shared" si="34"/>
        <v>343.77208530767069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10.6293297226464</v>
      </c>
      <c r="AA45" s="23">
        <f>EXP(-LN(2)/25)*AA44+(1-EXP(-LN(2)/25))/(LN(2)/25)*Calculateur!V45*Calculateur!X45*VLOOKUP('Données projet'!$B$9,Paramètres!$A$1:$I$89,3,0)*0.475*44/12</f>
        <v>17.006476276039439</v>
      </c>
      <c r="AB45" s="23">
        <f>EXP(-LN(2)/2)*AB44+(1-EXP(-LN(2)/2))/(LN(2)/2)*V45*Y45*VLOOKUP('Données projet'!$B$9,Paramètres!$A$1:$I$89,3,0)*0.475*44/12</f>
        <v>0</v>
      </c>
      <c r="AC45" s="24">
        <f t="shared" si="3"/>
        <v>27.635805998685839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6.4</v>
      </c>
      <c r="AI45" s="14">
        <f>IF('Données projet'!$A$62&gt;35,AI44+AH45-AQ44,IF(A45&lt;'Données projet'!$A$62,$AF$205^A45,IF(A45='Données projet'!$A$62,'Données projet'!$B$62,AI44+AH45-AQ44)))</f>
        <v>135.8000000000001</v>
      </c>
      <c r="AJ45" s="14">
        <f>AI45*VLOOKUP('Données projet'!$B$10,Paramètres!$A$1:$I$89,3,0)*VLOOKUP('Données projet'!$B$10,Paramètres!$A$1:$I$89,5,0)</f>
        <v>88.976160000000064</v>
      </c>
      <c r="AK45" s="14">
        <f t="shared" si="35"/>
        <v>24.318135258370972</v>
      </c>
      <c r="AL45" s="22">
        <f t="shared" si="4"/>
        <v>197.32089757499622</v>
      </c>
      <c r="AM45" s="62">
        <f t="shared" si="5"/>
        <v>490.65423090832951</v>
      </c>
      <c r="AN45" s="62">
        <f ca="1">AVERAGE(OFFSET($AM$3,0,0,'Données projet'!$E$10+1,1))-AVERAGE(OFFSET($H$3,0,0,'Données projet'!$E$10+1,1))</f>
        <v>210.08998695869161</v>
      </c>
      <c r="AO45" s="62">
        <f t="shared" si="36"/>
        <v>207.30911916430881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2.8862097971641687E-3</v>
      </c>
      <c r="AX45" s="23">
        <f t="shared" si="6"/>
        <v>2.8862097971641687E-3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169.8</v>
      </c>
      <c r="BE45" s="14">
        <f>BD45*VLOOKUP('Données projet'!$B$11,Paramètres!$A$1:$I$89,3,0)*VLOOKUP('Données projet'!$B$11,Paramètres!$A$1:$I$89,5,0)</f>
        <v>113.90184000000002</v>
      </c>
      <c r="BF45" s="14">
        <f t="shared" si="37"/>
        <v>30.248415264444404</v>
      </c>
      <c r="BG45" s="22">
        <f t="shared" si="7"/>
        <v>251.06169458557397</v>
      </c>
      <c r="BH45" s="62">
        <f t="shared" si="8"/>
        <v>544.39502791890732</v>
      </c>
      <c r="BI45" s="62">
        <f ca="1">AVERAGE(OFFSET($BH$3,0,0,'Données projet'!$E$11+1,1))-AVERAGE(OFFSET($H$3,0,0,'Données projet'!$E$11+1,1))</f>
        <v>335.83558218229564</v>
      </c>
      <c r="BJ45" s="62">
        <f t="shared" si="38"/>
        <v>217.08423061559648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0.32770555571283355</v>
      </c>
      <c r="BS45" s="24">
        <f t="shared" si="9"/>
        <v>0.32770555571283355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11.142857142857142</v>
      </c>
      <c r="BY45" s="13">
        <f>IF('Données projet'!$A$114&gt;35,BY44+BX45-CG44,IF(A45&lt;'Données projet'!$A$114,$BV$205^A45,IF(A45='Données projet'!$A$114,'Données projet'!$B$114,BY44+BX45-CG44)))</f>
        <v>207.71428571428564</v>
      </c>
      <c r="BZ45" s="14">
        <f>BY45*VLOOKUP('Données projet'!$B$12,Paramètres!$A$1:$I$89,3,0)*VLOOKUP('Données projet'!$B$12,Paramètres!$A$1:$I$89,5,0)</f>
        <v>162.0171428571428</v>
      </c>
      <c r="CA45" s="14">
        <f t="shared" si="39"/>
        <v>41.29715533509664</v>
      </c>
      <c r="CB45" s="22">
        <f t="shared" si="10"/>
        <v>354.10573601815037</v>
      </c>
      <c r="CC45" s="62">
        <f t="shared" si="11"/>
        <v>647.43906935148368</v>
      </c>
      <c r="CD45" s="62">
        <f ca="1">AVERAGE(OFFSET($CC$3,0,0,'Données projet'!$E$12+1,1))-AVERAGE(OFFSET($H$3,0,0,'Données projet'!$E$12+1,1))</f>
        <v>288.82868507674738</v>
      </c>
      <c r="CE45" s="62">
        <f t="shared" si="40"/>
        <v>283.48738729114024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3.4929144770891374</v>
      </c>
      <c r="CM45" s="23">
        <f>EXP(-LN(2)/2)*CM44+(1-EXP(-LN(2)/2))/(LN(2)/2)*CG45*CJ45*VLOOKUP('Données projet'!$B$12,Paramètres!$A$1:$I$89,3,0)*0.475*44/12</f>
        <v>4.0308901558827846E-2</v>
      </c>
      <c r="CN45" s="24">
        <f t="shared" si="12"/>
        <v>3.5332233786479654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9.8000000000000007</v>
      </c>
      <c r="CT45" s="13">
        <f>IF('Données projet'!$A$140&gt;35,CT44+CS45-DB44,IF(A45&lt;'Données projet'!$A$140,$CQ$205^A45,IF(A45='Données projet'!$A$140,'Données projet'!$B$140,CT44+CS45-DB44)))</f>
        <v>212.59999999999997</v>
      </c>
      <c r="CU45" s="18">
        <f>CT45*VLOOKUP('Données projet'!$B$13,Paramètres!$A$1:$I$89,3,0)*VLOOKUP('Données projet'!$B$13,Paramètres!$A$1:$I$89,5,0)</f>
        <v>185.72736</v>
      </c>
      <c r="CV45" s="14">
        <f t="shared" si="41"/>
        <v>46.594086043363802</v>
      </c>
      <c r="CW45" s="22">
        <f t="shared" si="13"/>
        <v>404.62651852552534</v>
      </c>
      <c r="CX45" s="62">
        <f t="shared" si="14"/>
        <v>697.95985185885866</v>
      </c>
      <c r="CY45" s="62">
        <f ca="1">AVERAGE(OFFSET($CX$3,0,0,'Données projet'!$E$13+1,1))-AVERAGE(OFFSET($H$3,0,0,'Données projet'!$E$13+1,1))</f>
        <v>383.46266660377637</v>
      </c>
      <c r="CZ45" s="62">
        <f t="shared" si="42"/>
        <v>373.1287543230714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11.511660268157749</v>
      </c>
      <c r="DH45" s="23">
        <f>EXP(-LN(2)/2)*DH44+(1-EXP(-LN(2)/2))/(LN(2)/2)*DB45*DE45*VLOOKUP('Données projet'!$B$13,Paramètres!$A$1:$I$89,3,0)*0.475*44/12</f>
        <v>0.33181934869513108</v>
      </c>
      <c r="DI45" s="24">
        <f t="shared" si="15"/>
        <v>11.84347961685288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>
        <f>DO45*VLOOKUP('Données projet'!$B$14,Paramètres!$A$1:$I$89,3,0)*VLOOKUP('Données projet'!$B$14,Paramètres!$A$1:$I$89,5,0)</f>
        <v>0</v>
      </c>
      <c r="DQ45" s="14" t="e">
        <f t="shared" si="43"/>
        <v>#NUM!</v>
      </c>
      <c r="DR45" s="22" t="e">
        <f t="shared" si="16"/>
        <v>#NUM!</v>
      </c>
      <c r="DS45" s="62" t="e">
        <f t="shared" si="17"/>
        <v>#NUM!</v>
      </c>
      <c r="DT45" s="62">
        <f ca="1">AVERAGE(OFFSET($DS$3,0,0,'Données projet'!$E$14+1,1))-AVERAGE(OFFSET($H$3,0,0,'Données projet'!$E$14+1,1))</f>
        <v>96.56611521638132</v>
      </c>
      <c r="DU45" s="62">
        <f t="shared" si="44"/>
        <v>465.03257878814094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64.984038632772723</v>
      </c>
      <c r="EB45" s="23">
        <f>EXP(-LN(2)/25)*EB44+(1-EXP(-LN(2)/25))/(LN(2)/25)*Calculateur!DW45*Calculateur!DY45*VLOOKUP('Données projet'!$B$14,Paramètres!$A$1:$I$89,3,0)*0.475*44/12</f>
        <v>13.169959394267481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78.153998027040203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9.8000000000000007</v>
      </c>
      <c r="EJ45" s="13">
        <f>IF('Données projet'!$A$192&gt;35,EJ44+EI45-ER44,IF(A45&lt;'Données projet'!$A$192,$EG$205^A45,IF(A45='Données projet'!$A$192,'Données projet'!$B$192,EJ44+EI45-ER44)))</f>
        <v>212.59999999999997</v>
      </c>
      <c r="EK45" s="18">
        <f>EJ45*VLOOKUP('Données projet'!$B$15,Paramètres!$A$1:$I$89,3,0)*VLOOKUP('Données projet'!$B$15,Paramètres!$A$1:$I$89,5,0)</f>
        <v>172.46111999999999</v>
      </c>
      <c r="EL45" s="14">
        <f t="shared" si="45"/>
        <v>43.640770644577643</v>
      </c>
      <c r="EM45" s="22">
        <f t="shared" si="19"/>
        <v>376.37745953930602</v>
      </c>
      <c r="EN45" s="62">
        <f t="shared" si="20"/>
        <v>669.71079287263933</v>
      </c>
      <c r="EO45" s="62">
        <f ca="1">AVERAGE(OFFSET($EN$3,0,0,'Données projet'!$E$15+1,1))-AVERAGE(OFFSET($H$3,0,0,'Données projet'!$E$15+1,1))</f>
        <v>358.75637627589799</v>
      </c>
      <c r="EP45" s="62">
        <f t="shared" si="46"/>
        <v>349.64821164483607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7.6224219848586561</v>
      </c>
      <c r="EW45" s="23">
        <f>EXP(-LN(2)/25)*EW44+(1-EXP(-LN(2)/25))/(LN(2)/25)*Calculateur!ER45*Calculateur!ET45*VLOOKUP('Données projet'!$B$15,Paramètres!$A$1:$I$89,3,0)*0.475*44/12</f>
        <v>10.996966977855276</v>
      </c>
      <c r="EX45" s="23">
        <f>EXP(-LN(2)/2)*EX44+(1-EXP(-LN(2)/2))/(LN(2)/2)*ER45*EU45*VLOOKUP('Données projet'!$B$15,Paramètres!$A$1:$I$89,3,0)*0.475*44/12</f>
        <v>5.69746901503893E-2</v>
      </c>
      <c r="EY45" s="24">
        <f t="shared" si="21"/>
        <v>18.676363652864325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>
        <f>FE45*VLOOKUP('Données projet'!$B$16,Paramètres!$A$1:$I$89,3,0)*VLOOKUP('Données projet'!$B$16,Paramètres!$A$1:$I$89,5,0)</f>
        <v>0</v>
      </c>
      <c r="FG45" s="14" t="e">
        <f t="shared" si="47"/>
        <v>#NUM!</v>
      </c>
      <c r="FH45" s="22" t="e">
        <f t="shared" si="22"/>
        <v>#NUM!</v>
      </c>
      <c r="FI45" s="62" t="e">
        <f t="shared" si="23"/>
        <v>#NUM!</v>
      </c>
      <c r="FJ45" s="62">
        <f ca="1">AVERAGE(OFFSET($FI$3,0,0,'Données projet'!$E$16+1,1))-AVERAGE(OFFSET($H$3,0,0,'Données projet'!$E$16+1,1))</f>
        <v>121.28977654040114</v>
      </c>
      <c r="FK45" s="62">
        <f t="shared" si="48"/>
        <v>615.69585264342595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87.555525440794554</v>
      </c>
      <c r="FR45" s="23">
        <f>EXP(-LN(2)/25)*FR44+(1-EXP(-LN(2)/25))/(LN(2)/25)*Calculateur!FM45*Calculateur!FO45*VLOOKUP('Données projet'!$B$16,Paramètres!$A$1:$I$89,3,0)*0.475*44/12</f>
        <v>17.74439907182817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105.29992451262272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9.8000000000000007</v>
      </c>
      <c r="N46" s="14">
        <f>IF('Données projet'!$A$36&gt;35,N45+M46-V45,IF(A46&lt;'Données projet'!$A$36,$K$205^A46,IF(A46='Données projet'!$A$36,'Données projet'!$B$36,N45+M46-V45)))</f>
        <v>222.39999999999998</v>
      </c>
      <c r="O46" s="14">
        <f>N46*VLOOKUP('Données projet'!$B$9,Paramètres!$A$1:$I$89,3,0)*VLOOKUP('Données projet'!$B$9,Paramètres!$A$1:$I$89,5,0)</f>
        <v>176.94144</v>
      </c>
      <c r="P46" s="14">
        <f t="shared" si="33"/>
        <v>44.641035679901449</v>
      </c>
      <c r="Q46" s="22">
        <f t="shared" si="53"/>
        <v>385.92281180916166</v>
      </c>
      <c r="R46" s="62">
        <f t="shared" si="0"/>
        <v>679.25614514249492</v>
      </c>
      <c r="S46" s="62">
        <f ca="1">AVERAGE(OFFSET($R$3,0,0,'Données projet'!$E$9+1,1))-AVERAGE(OFFSET($H$3,0,0,'Données projet'!$E$9+1,1))</f>
        <v>352.5736659365665</v>
      </c>
      <c r="T46" s="62">
        <f t="shared" si="34"/>
        <v>343.77208530767069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10.420895050036266</v>
      </c>
      <c r="AA46" s="23">
        <f>EXP(-LN(2)/25)*AA45+(1-EXP(-LN(2)/25))/(LN(2)/25)*Calculateur!V46*Calculateur!X46*VLOOKUP('Données projet'!$B$9,Paramètres!$A$1:$I$89,3,0)*0.475*44/12</f>
        <v>16.541433287939423</v>
      </c>
      <c r="AB46" s="23">
        <f>EXP(-LN(2)/2)*AB45+(1-EXP(-LN(2)/2))/(LN(2)/2)*V46*Y46*VLOOKUP('Données projet'!$B$9,Paramètres!$A$1:$I$89,3,0)*0.475*44/12</f>
        <v>0</v>
      </c>
      <c r="AC46" s="24">
        <f t="shared" si="3"/>
        <v>26.962328337975691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6.4</v>
      </c>
      <c r="AI46" s="14">
        <f>IF('Données projet'!$A$62&gt;35,AI45+AH46-AQ45,IF(A46&lt;'Données projet'!$A$62,$AF$205^A46,IF(A46='Données projet'!$A$62,'Données projet'!$B$62,AI45+AH46-AQ45)))</f>
        <v>142.2000000000001</v>
      </c>
      <c r="AJ46" s="14">
        <f>AI46*VLOOKUP('Données projet'!$B$10,Paramètres!$A$1:$I$89,3,0)*VLOOKUP('Données projet'!$B$10,Paramètres!$A$1:$I$89,5,0)</f>
        <v>93.169440000000066</v>
      </c>
      <c r="AK46" s="14">
        <f t="shared" si="35"/>
        <v>25.328071081901747</v>
      </c>
      <c r="AL46" s="22">
        <f t="shared" si="4"/>
        <v>206.38316513431232</v>
      </c>
      <c r="AM46" s="62">
        <f t="shared" si="5"/>
        <v>499.71649846764564</v>
      </c>
      <c r="AN46" s="62">
        <f ca="1">AVERAGE(OFFSET($AM$3,0,0,'Données projet'!$E$10+1,1))-AVERAGE(OFFSET($H$3,0,0,'Données projet'!$E$10+1,1))</f>
        <v>210.08998695869161</v>
      </c>
      <c r="AO46" s="62">
        <f t="shared" si="36"/>
        <v>207.30911916430881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2.0408585195018335E-3</v>
      </c>
      <c r="AX46" s="23">
        <f t="shared" si="6"/>
        <v>2.0408585195018335E-3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181.20000000000002</v>
      </c>
      <c r="BE46" s="14">
        <f>BD46*VLOOKUP('Données projet'!$B$11,Paramètres!$A$1:$I$89,3,0)*VLOOKUP('Données projet'!$B$11,Paramètres!$A$1:$I$89,5,0)</f>
        <v>121.54896000000002</v>
      </c>
      <c r="BF46" s="14">
        <f t="shared" si="37"/>
        <v>32.035998670049096</v>
      </c>
      <c r="BG46" s="22">
        <f t="shared" si="7"/>
        <v>267.49380301700216</v>
      </c>
      <c r="BH46" s="62">
        <f t="shared" si="8"/>
        <v>560.82713635033542</v>
      </c>
      <c r="BI46" s="62">
        <f ca="1">AVERAGE(OFFSET($BH$3,0,0,'Données projet'!$E$11+1,1))-AVERAGE(OFFSET($H$3,0,0,'Données projet'!$E$11+1,1))</f>
        <v>335.83558218229564</v>
      </c>
      <c r="BJ46" s="62">
        <f t="shared" si="38"/>
        <v>217.08423061559648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0.23172282067705058</v>
      </c>
      <c r="BS46" s="24">
        <f t="shared" si="9"/>
        <v>0.23172282067705058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11.142857142857142</v>
      </c>
      <c r="BY46" s="13">
        <f>IF('Données projet'!$A$114&gt;35,BY45+BX46-CG45,IF(A46&lt;'Données projet'!$A$114,$BV$205^A46,IF(A46='Données projet'!$A$114,'Données projet'!$B$114,BY45+BX46-CG45)))</f>
        <v>218.85714285714278</v>
      </c>
      <c r="BZ46" s="14">
        <f>BY46*VLOOKUP('Données projet'!$B$12,Paramètres!$A$1:$I$89,3,0)*VLOOKUP('Données projet'!$B$12,Paramètres!$A$1:$I$89,5,0)</f>
        <v>170.70857142857136</v>
      </c>
      <c r="CA46" s="14">
        <f t="shared" si="39"/>
        <v>43.248681576985376</v>
      </c>
      <c r="CB46" s="22">
        <f t="shared" si="10"/>
        <v>372.64221565134466</v>
      </c>
      <c r="CC46" s="62">
        <f t="shared" si="11"/>
        <v>665.97554898467797</v>
      </c>
      <c r="CD46" s="62">
        <f ca="1">AVERAGE(OFFSET($CC$3,0,0,'Données projet'!$E$12+1,1))-AVERAGE(OFFSET($H$3,0,0,'Données projet'!$E$12+1,1))</f>
        <v>288.82868507674738</v>
      </c>
      <c r="CE46" s="62">
        <f t="shared" si="40"/>
        <v>283.48738729114024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3.3974005470287456</v>
      </c>
      <c r="CM46" s="23">
        <f>EXP(-LN(2)/2)*CM45+(1-EXP(-LN(2)/2))/(LN(2)/2)*CG46*CJ46*VLOOKUP('Données projet'!$B$12,Paramètres!$A$1:$I$89,3,0)*0.475*44/12</f>
        <v>2.8502697634428167E-2</v>
      </c>
      <c r="CN46" s="24">
        <f t="shared" si="12"/>
        <v>3.4259032446631736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9.8000000000000007</v>
      </c>
      <c r="CT46" s="13">
        <f>IF('Données projet'!$A$140&gt;35,CT45+CS46-DB45,IF(A46&lt;'Données projet'!$A$140,$CQ$205^A46,IF(A46='Données projet'!$A$140,'Données projet'!$B$140,CT45+CS46-DB45)))</f>
        <v>222.39999999999998</v>
      </c>
      <c r="CU46" s="18">
        <f>CT46*VLOOKUP('Données projet'!$B$13,Paramètres!$A$1:$I$89,3,0)*VLOOKUP('Données projet'!$B$13,Paramètres!$A$1:$I$89,5,0)</f>
        <v>194.28864000000002</v>
      </c>
      <c r="CV46" s="14">
        <f t="shared" si="41"/>
        <v>48.486875029770822</v>
      </c>
      <c r="CW46" s="22">
        <f t="shared" si="13"/>
        <v>422.83402201018413</v>
      </c>
      <c r="CX46" s="62">
        <f t="shared" si="14"/>
        <v>716.16735534351744</v>
      </c>
      <c r="CY46" s="62">
        <f ca="1">AVERAGE(OFFSET($CX$3,0,0,'Données projet'!$E$13+1,1))-AVERAGE(OFFSET($H$3,0,0,'Données projet'!$E$13+1,1))</f>
        <v>383.46266660377637</v>
      </c>
      <c r="CZ46" s="62">
        <f t="shared" si="42"/>
        <v>373.1287543230714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11.196873312753073</v>
      </c>
      <c r="DH46" s="23">
        <f>EXP(-LN(2)/2)*DH45+(1-EXP(-LN(2)/2))/(LN(2)/2)*DB46*DE46*VLOOKUP('Données projet'!$B$13,Paramètres!$A$1:$I$89,3,0)*0.475*44/12</f>
        <v>0.23463171159123078</v>
      </c>
      <c r="DI46" s="24">
        <f t="shared" si="15"/>
        <v>11.431505024344304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>
        <f>DO46*VLOOKUP('Données projet'!$B$14,Paramètres!$A$1:$I$89,3,0)*VLOOKUP('Données projet'!$B$14,Paramètres!$A$1:$I$89,5,0)</f>
        <v>0</v>
      </c>
      <c r="DQ46" s="14" t="e">
        <f t="shared" si="43"/>
        <v>#NUM!</v>
      </c>
      <c r="DR46" s="22" t="e">
        <f t="shared" si="16"/>
        <v>#NUM!</v>
      </c>
      <c r="DS46" s="62" t="e">
        <f t="shared" si="17"/>
        <v>#NUM!</v>
      </c>
      <c r="DT46" s="62">
        <f ca="1">AVERAGE(OFFSET($DS$3,0,0,'Données projet'!$E$14+1,1))-AVERAGE(OFFSET($H$3,0,0,'Données projet'!$E$14+1,1))</f>
        <v>96.56611521638132</v>
      </c>
      <c r="DU46" s="62">
        <f t="shared" si="44"/>
        <v>465.03257878814094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63.709741271533851</v>
      </c>
      <c r="EB46" s="23">
        <f>EXP(-LN(2)/25)*EB45+(1-EXP(-LN(2)/25))/(LN(2)/25)*Calculateur!DW46*Calculateur!DY46*VLOOKUP('Données projet'!$B$14,Paramètres!$A$1:$I$89,3,0)*0.475*44/12</f>
        <v>12.809826162053174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76.519567433587028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9.8000000000000007</v>
      </c>
      <c r="EJ46" s="13">
        <f>IF('Données projet'!$A$192&gt;35,EJ45+EI46-ER45,IF(A46&lt;'Données projet'!$A$192,$EG$205^A46,IF(A46='Données projet'!$A$192,'Données projet'!$B$192,EJ45+EI46-ER45)))</f>
        <v>222.39999999999998</v>
      </c>
      <c r="EK46" s="18">
        <f>EJ46*VLOOKUP('Données projet'!$B$15,Paramètres!$A$1:$I$89,3,0)*VLOOKUP('Données projet'!$B$15,Paramètres!$A$1:$I$89,5,0)</f>
        <v>180.41087999999999</v>
      </c>
      <c r="EL46" s="14">
        <f t="shared" si="45"/>
        <v>45.413587262495533</v>
      </c>
      <c r="EM46" s="22">
        <f t="shared" si="19"/>
        <v>393.31094714884631</v>
      </c>
      <c r="EN46" s="62">
        <f t="shared" si="20"/>
        <v>686.64428048217962</v>
      </c>
      <c r="EO46" s="62">
        <f ca="1">AVERAGE(OFFSET($EN$3,0,0,'Données projet'!$E$15+1,1))-AVERAGE(OFFSET($H$3,0,0,'Données projet'!$E$15+1,1))</f>
        <v>358.75637627589799</v>
      </c>
      <c r="EP46" s="62">
        <f t="shared" si="46"/>
        <v>349.64821164483607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7.4729509389539164</v>
      </c>
      <c r="EW46" s="23">
        <f>EXP(-LN(2)/25)*EW45+(1-EXP(-LN(2)/25))/(LN(2)/25)*Calculateur!ER46*Calculateur!ET46*VLOOKUP('Données projet'!$B$15,Paramètres!$A$1:$I$89,3,0)*0.475*44/12</f>
        <v>10.696254337540465</v>
      </c>
      <c r="EX46" s="23">
        <f>EXP(-LN(2)/2)*EX45+(1-EXP(-LN(2)/2))/(LN(2)/2)*ER46*EU46*VLOOKUP('Données projet'!$B$15,Paramètres!$A$1:$I$89,3,0)*0.475*44/12</f>
        <v>4.028718976134267E-2</v>
      </c>
      <c r="EY46" s="24">
        <f t="shared" si="21"/>
        <v>18.209492466255725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>
        <f>FE46*VLOOKUP('Données projet'!$B$16,Paramètres!$A$1:$I$89,3,0)*VLOOKUP('Données projet'!$B$16,Paramètres!$A$1:$I$89,5,0)</f>
        <v>0</v>
      </c>
      <c r="FG46" s="14" t="e">
        <f t="shared" si="47"/>
        <v>#NUM!</v>
      </c>
      <c r="FH46" s="22" t="e">
        <f t="shared" si="22"/>
        <v>#NUM!</v>
      </c>
      <c r="FI46" s="62" t="e">
        <f t="shared" si="23"/>
        <v>#NUM!</v>
      </c>
      <c r="FJ46" s="62">
        <f ca="1">AVERAGE(OFFSET($FI$3,0,0,'Données projet'!$E$16+1,1))-AVERAGE(OFFSET($H$3,0,0,'Données projet'!$E$16+1,1))</f>
        <v>121.28977654040114</v>
      </c>
      <c r="FK46" s="62">
        <f t="shared" si="48"/>
        <v>615.69585264342595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85.838614990497931</v>
      </c>
      <c r="FR46" s="23">
        <f>EXP(-LN(2)/25)*FR45+(1-EXP(-LN(2)/25))/(LN(2)/25)*Calculateur!FM46*Calculateur!FO46*VLOOKUP('Données projet'!$B$16,Paramètres!$A$1:$I$89,3,0)*0.475*44/12</f>
        <v>17.259177546071637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103.09779253656957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9.8000000000000007</v>
      </c>
      <c r="N47" s="14">
        <f>IF('Données projet'!$A$36&gt;35,N46+M47-V46,IF(A47&lt;'Données projet'!$A$36,$K$205^A47,IF(A47='Données projet'!$A$36,'Données projet'!$B$36,N46+M47-V46)))</f>
        <v>232.2</v>
      </c>
      <c r="O47" s="14">
        <f>N47*VLOOKUP('Données projet'!$B$9,Paramètres!$A$1:$I$89,3,0)*VLOOKUP('Données projet'!$B$9,Paramètres!$A$1:$I$89,5,0)</f>
        <v>184.73832000000002</v>
      </c>
      <c r="P47" s="14">
        <f t="shared" si="33"/>
        <v>46.374775595471988</v>
      </c>
      <c r="Q47" s="22">
        <f t="shared" si="53"/>
        <v>402.5219748287804</v>
      </c>
      <c r="R47" s="62">
        <f t="shared" si="0"/>
        <v>695.85530816211372</v>
      </c>
      <c r="S47" s="62">
        <f ca="1">AVERAGE(OFFSET($R$3,0,0,'Données projet'!$E$9+1,1))-AVERAGE(OFFSET($H$3,0,0,'Données projet'!$E$9+1,1))</f>
        <v>352.5736659365665</v>
      </c>
      <c r="T47" s="62">
        <f t="shared" si="34"/>
        <v>343.77208530767069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10.216547654223421</v>
      </c>
      <c r="AA47" s="23">
        <f>EXP(-LN(2)/25)*AA46+(1-EXP(-LN(2)/25))/(LN(2)/25)*Calculateur!V47*Calculateur!X47*VLOOKUP('Données projet'!$B$9,Paramètres!$A$1:$I$89,3,0)*0.475*44/12</f>
        <v>16.08910692480455</v>
      </c>
      <c r="AB47" s="23">
        <f>EXP(-LN(2)/2)*AB46+(1-EXP(-LN(2)/2))/(LN(2)/2)*V47*Y47*VLOOKUP('Données projet'!$B$9,Paramètres!$A$1:$I$89,3,0)*0.475*44/12</f>
        <v>0</v>
      </c>
      <c r="AC47" s="24">
        <f t="shared" si="3"/>
        <v>26.305654579027973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6.4</v>
      </c>
      <c r="AI47" s="14">
        <f>IF('Données projet'!$A$62&gt;35,AI46+AH47-AQ46,IF(A47&lt;'Données projet'!$A$62,$AF$205^A47,IF(A47='Données projet'!$A$62,'Données projet'!$B$62,AI46+AH47-AQ46)))</f>
        <v>148.60000000000011</v>
      </c>
      <c r="AJ47" s="14">
        <f>AI47*VLOOKUP('Données projet'!$B$10,Paramètres!$A$1:$I$89,3,0)*VLOOKUP('Données projet'!$B$10,Paramètres!$A$1:$I$89,5,0)</f>
        <v>97.362720000000067</v>
      </c>
      <c r="AK47" s="14">
        <f t="shared" si="35"/>
        <v>26.332727987771989</v>
      </c>
      <c r="AL47" s="22">
        <f t="shared" si="4"/>
        <v>215.43623857870298</v>
      </c>
      <c r="AM47" s="62">
        <f t="shared" si="5"/>
        <v>508.76957191203633</v>
      </c>
      <c r="AN47" s="62">
        <f ca="1">AVERAGE(OFFSET($AM$3,0,0,'Données projet'!$E$10+1,1))-AVERAGE(OFFSET($H$3,0,0,'Données projet'!$E$10+1,1))</f>
        <v>210.08998695869161</v>
      </c>
      <c r="AO47" s="62">
        <f t="shared" si="36"/>
        <v>207.30911916430881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1.4431048985820843E-3</v>
      </c>
      <c r="AX47" s="23">
        <f t="shared" si="6"/>
        <v>1.4431048985820843E-3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192.60000000000002</v>
      </c>
      <c r="BE47" s="14">
        <f>BD47*VLOOKUP('Données projet'!$B$11,Paramètres!$A$1:$I$89,3,0)*VLOOKUP('Données projet'!$B$11,Paramètres!$A$1:$I$89,5,0)</f>
        <v>129.19608000000002</v>
      </c>
      <c r="BF47" s="14">
        <f t="shared" si="37"/>
        <v>33.810530012169728</v>
      </c>
      <c r="BG47" s="22">
        <f t="shared" si="7"/>
        <v>283.90317910452893</v>
      </c>
      <c r="BH47" s="62">
        <f t="shared" si="8"/>
        <v>577.2365124378623</v>
      </c>
      <c r="BI47" s="62">
        <f ca="1">AVERAGE(OFFSET($BH$3,0,0,'Données projet'!$E$11+1,1))-AVERAGE(OFFSET($H$3,0,0,'Données projet'!$E$11+1,1))</f>
        <v>335.83558218229564</v>
      </c>
      <c r="BJ47" s="62">
        <f t="shared" si="38"/>
        <v>217.08423061559648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0.1638527778564168</v>
      </c>
      <c r="BS47" s="24">
        <f t="shared" si="9"/>
        <v>0.1638527778564168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230</v>
      </c>
      <c r="BW47" s="13">
        <f>VLOOKUP(A47,'Données projet'!$A$113:$I$133,9,0)</f>
        <v>11.142857142857142</v>
      </c>
      <c r="BX47" s="13">
        <f t="array" ref="BX47">INDEX(BW:BW,MIN(IF(ISNUMBER(BW47:BW243),ROW(BW47:BW243),"")))</f>
        <v>11.142857142857142</v>
      </c>
      <c r="BY47" s="13">
        <f>IF('Données projet'!$A$114&gt;35,BY46+BX47-CG46,IF(A47&lt;'Données projet'!$A$114,$BV$205^A47,IF(A47='Données projet'!$A$114,'Données projet'!$B$114,BY46+BX47-CG46)))</f>
        <v>229.99999999999991</v>
      </c>
      <c r="BZ47" s="14">
        <f>BY47*VLOOKUP('Données projet'!$B$12,Paramètres!$A$1:$I$89,3,0)*VLOOKUP('Données projet'!$B$12,Paramètres!$A$1:$I$89,5,0)</f>
        <v>179.39999999999995</v>
      </c>
      <c r="CA47" s="14">
        <f t="shared" si="39"/>
        <v>45.188671291872232</v>
      </c>
      <c r="CB47" s="22">
        <f t="shared" si="10"/>
        <v>391.15860250001066</v>
      </c>
      <c r="CC47" s="62">
        <f t="shared" si="11"/>
        <v>684.49193583334397</v>
      </c>
      <c r="CD47" s="62">
        <f ca="1">AVERAGE(OFFSET($CC$3,0,0,'Données projet'!$E$12+1,1))-AVERAGE(OFFSET($H$3,0,0,'Données projet'!$E$12+1,1))</f>
        <v>288.82868507674738</v>
      </c>
      <c r="CE47" s="62">
        <f t="shared" si="40"/>
        <v>283.48738729114024</v>
      </c>
      <c r="CF47" s="16">
        <f>IF(ISNA(VLOOKUP(A47,'Données projet'!$A$113:$I$133,3,0)),0,VLOOKUP(A47,'Données projet'!$A$113:$I$133,3,0))</f>
        <v>6</v>
      </c>
      <c r="CG47" s="16">
        <f>IF(ISNA(VLOOKUP(A47,'Données projet'!$A$113:$I$133,4,0)),0,VLOOKUP(A47,'Données projet'!$A$113:$I$133,4,0))</f>
        <v>43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3.3044984504087145</v>
      </c>
      <c r="CM47" s="23">
        <f>EXP(-LN(2)/2)*CM46+(1-EXP(-LN(2)/2))/(LN(2)/2)*CG47*CJ47*VLOOKUP('Données projet'!$B$12,Paramètres!$A$1:$I$89,3,0)*0.475*44/12</f>
        <v>2.0154450779413923E-2</v>
      </c>
      <c r="CN47" s="24">
        <f t="shared" si="12"/>
        <v>3.3246529011881285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9.8000000000000007</v>
      </c>
      <c r="CT47" s="13">
        <f>IF('Données projet'!$A$140&gt;35,CT46+CS47-DB46,IF(A47&lt;'Données projet'!$A$140,$CQ$205^A47,IF(A47='Données projet'!$A$140,'Données projet'!$B$140,CT46+CS47-DB46)))</f>
        <v>232.2</v>
      </c>
      <c r="CU47" s="18">
        <f>CT47*VLOOKUP('Données projet'!$B$13,Paramètres!$A$1:$I$89,3,0)*VLOOKUP('Données projet'!$B$13,Paramètres!$A$1:$I$89,5,0)</f>
        <v>202.84992000000003</v>
      </c>
      <c r="CV47" s="14">
        <f t="shared" si="41"/>
        <v>50.369977187686075</v>
      </c>
      <c r="CW47" s="22">
        <f t="shared" si="13"/>
        <v>441.02465426855332</v>
      </c>
      <c r="CX47" s="62">
        <f t="shared" si="14"/>
        <v>734.35798760188663</v>
      </c>
      <c r="CY47" s="62">
        <f ca="1">AVERAGE(OFFSET($CX$3,0,0,'Données projet'!$E$13+1,1))-AVERAGE(OFFSET($H$3,0,0,'Données projet'!$E$13+1,1))</f>
        <v>383.46266660377637</v>
      </c>
      <c r="CZ47" s="62">
        <f t="shared" si="42"/>
        <v>373.1287543230714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10.890694223197864</v>
      </c>
      <c r="DH47" s="23">
        <f>EXP(-LN(2)/2)*DH46+(1-EXP(-LN(2)/2))/(LN(2)/2)*DB47*DE47*VLOOKUP('Données projet'!$B$13,Paramètres!$A$1:$I$89,3,0)*0.475*44/12</f>
        <v>0.16590967434756557</v>
      </c>
      <c r="DI47" s="24">
        <f t="shared" si="15"/>
        <v>11.056603897545429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>
        <f>DO47*VLOOKUP('Données projet'!$B$14,Paramètres!$A$1:$I$89,3,0)*VLOOKUP('Données projet'!$B$14,Paramètres!$A$1:$I$89,5,0)</f>
        <v>0</v>
      </c>
      <c r="DQ47" s="14" t="e">
        <f t="shared" si="43"/>
        <v>#NUM!</v>
      </c>
      <c r="DR47" s="22" t="e">
        <f t="shared" si="16"/>
        <v>#NUM!</v>
      </c>
      <c r="DS47" s="62" t="e">
        <f t="shared" si="17"/>
        <v>#NUM!</v>
      </c>
      <c r="DT47" s="62">
        <f ca="1">AVERAGE(OFFSET($DS$3,0,0,'Données projet'!$E$14+1,1))-AVERAGE(OFFSET($H$3,0,0,'Données projet'!$E$14+1,1))</f>
        <v>96.56611521638132</v>
      </c>
      <c r="DU47" s="62">
        <f t="shared" si="44"/>
        <v>465.03257878814094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62.460432104304232</v>
      </c>
      <c r="EB47" s="23">
        <f>EXP(-LN(2)/25)*EB46+(1-EXP(-LN(2)/25))/(LN(2)/25)*Calculateur!DW47*Calculateur!DY47*VLOOKUP('Données projet'!$B$14,Paramètres!$A$1:$I$89,3,0)*0.475*44/12</f>
        <v>12.45954079201235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74.91997289631658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9.8000000000000007</v>
      </c>
      <c r="EJ47" s="13">
        <f>IF('Données projet'!$A$192&gt;35,EJ46+EI47-ER46,IF(A47&lt;'Données projet'!$A$192,$EG$205^A47,IF(A47='Données projet'!$A$192,'Données projet'!$B$192,EJ46+EI47-ER46)))</f>
        <v>232.2</v>
      </c>
      <c r="EK47" s="18">
        <f>EJ47*VLOOKUP('Données projet'!$B$15,Paramètres!$A$1:$I$89,3,0)*VLOOKUP('Données projet'!$B$15,Paramètres!$A$1:$I$89,5,0)</f>
        <v>188.36064000000002</v>
      </c>
      <c r="EL47" s="14">
        <f t="shared" si="45"/>
        <v>47.177331040995796</v>
      </c>
      <c r="EM47" s="22">
        <f t="shared" si="19"/>
        <v>410.228632896401</v>
      </c>
      <c r="EN47" s="62">
        <f t="shared" si="20"/>
        <v>703.56196622973425</v>
      </c>
      <c r="EO47" s="62">
        <f ca="1">AVERAGE(OFFSET($EN$3,0,0,'Données projet'!$E$15+1,1))-AVERAGE(OFFSET($H$3,0,0,'Données projet'!$E$15+1,1))</f>
        <v>358.75637627589799</v>
      </c>
      <c r="EP47" s="62">
        <f t="shared" si="46"/>
        <v>349.64821164483607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7.3264109290910326</v>
      </c>
      <c r="EW47" s="23">
        <f>EXP(-LN(2)/25)*EW46+(1-EXP(-LN(2)/25))/(LN(2)/25)*Calculateur!ER47*Calculateur!ET47*VLOOKUP('Données projet'!$B$15,Paramètres!$A$1:$I$89,3,0)*0.475*44/12</f>
        <v>10.403764700188852</v>
      </c>
      <c r="EX47" s="23">
        <f>EXP(-LN(2)/2)*EX46+(1-EXP(-LN(2)/2))/(LN(2)/2)*ER47*EU47*VLOOKUP('Données projet'!$B$15,Paramètres!$A$1:$I$89,3,0)*0.475*44/12</f>
        <v>2.848734507519465E-2</v>
      </c>
      <c r="EY47" s="24">
        <f t="shared" si="21"/>
        <v>17.758662974355079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>
        <f>FE47*VLOOKUP('Données projet'!$B$16,Paramètres!$A$1:$I$89,3,0)*VLOOKUP('Données projet'!$B$16,Paramètres!$A$1:$I$89,5,0)</f>
        <v>0</v>
      </c>
      <c r="FG47" s="14" t="e">
        <f t="shared" si="47"/>
        <v>#NUM!</v>
      </c>
      <c r="FH47" s="22" t="e">
        <f t="shared" si="22"/>
        <v>#NUM!</v>
      </c>
      <c r="FI47" s="62" t="e">
        <f t="shared" si="23"/>
        <v>#NUM!</v>
      </c>
      <c r="FJ47" s="62">
        <f ca="1">AVERAGE(OFFSET($FI$3,0,0,'Données projet'!$E$16+1,1))-AVERAGE(OFFSET($H$3,0,0,'Données projet'!$E$16+1,1))</f>
        <v>121.28977654040114</v>
      </c>
      <c r="FK47" s="62">
        <f t="shared" si="48"/>
        <v>615.69585264342595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84.155372106919643</v>
      </c>
      <c r="FR47" s="23">
        <f>EXP(-LN(2)/25)*FR46+(1-EXP(-LN(2)/25))/(LN(2)/25)*Calculateur!FM47*Calculateur!FO47*VLOOKUP('Données projet'!$B$16,Paramètres!$A$1:$I$89,3,0)*0.475*44/12</f>
        <v>16.787224428453609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100.94259653537326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242</v>
      </c>
      <c r="L48" s="13">
        <f>VLOOKUP(A48,'Données projet'!$A$35:$I$55,9,0)</f>
        <v>9.8000000000000007</v>
      </c>
      <c r="M48" s="13">
        <f t="array" ref="M48">INDEX(L:L,MIN(IF(ISNUMBER(L48:L244),ROW(L48:L244),"")))</f>
        <v>9.8000000000000007</v>
      </c>
      <c r="N48" s="14">
        <f>IF('Données projet'!$A$36&gt;35,N47+M48-V47,IF(A48&lt;'Données projet'!$A$36,$K$205^A48,IF(A48='Données projet'!$A$36,'Données projet'!$B$36,N47+M48-V47)))</f>
        <v>242</v>
      </c>
      <c r="O48" s="14">
        <f>N48*VLOOKUP('Données projet'!$B$9,Paramètres!$A$1:$I$89,3,0)*VLOOKUP('Données projet'!$B$9,Paramètres!$A$1:$I$89,5,0)</f>
        <v>192.5352</v>
      </c>
      <c r="P48" s="14">
        <f t="shared" si="33"/>
        <v>48.100016456123079</v>
      </c>
      <c r="Q48" s="22">
        <f t="shared" si="53"/>
        <v>419.10633532774767</v>
      </c>
      <c r="R48" s="62">
        <f t="shared" si="0"/>
        <v>712.43966866108099</v>
      </c>
      <c r="S48" s="62">
        <f ca="1">AVERAGE(OFFSET($R$3,0,0,'Données projet'!$E$9+1,1))-AVERAGE(OFFSET($H$3,0,0,'Données projet'!$E$9+1,1))</f>
        <v>352.5736659365665</v>
      </c>
      <c r="T48" s="62">
        <f t="shared" si="34"/>
        <v>343.77208530767069</v>
      </c>
      <c r="U48" s="16">
        <f>IF(ISNA(VLOOKUP(A48,'Données projet'!$A$35:$I$55,3,0)),0,VLOOKUP(A48,'Données projet'!$A$35:$I$55,3,0))</f>
        <v>8</v>
      </c>
      <c r="V48" s="16">
        <f>IF(ISNA(VLOOKUP(A48,'Données projet'!$A$35:$I$55,4,0)),0,VLOOKUP(A48,'Données projet'!$A$35:$I$55,4,0))</f>
        <v>24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10.016207386202861</v>
      </c>
      <c r="AA48" s="23">
        <f>EXP(-LN(2)/25)*AA47+(1-EXP(-LN(2)/25))/(LN(2)/25)*Calculateur!V48*Calculateur!X48*VLOOKUP('Données projet'!$B$9,Paramètres!$A$1:$I$89,3,0)*0.475*44/12</f>
        <v>15.649149449856409</v>
      </c>
      <c r="AB48" s="23">
        <f>EXP(-LN(2)/2)*AB47+(1-EXP(-LN(2)/2))/(LN(2)/2)*V48*Y48*VLOOKUP('Données projet'!$B$9,Paramètres!$A$1:$I$89,3,0)*0.475*44/12</f>
        <v>0</v>
      </c>
      <c r="AC48" s="24">
        <f t="shared" si="3"/>
        <v>25.665356836059271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155</v>
      </c>
      <c r="AG48" s="13">
        <f>VLOOKUP(A48,'Données projet'!$A$61:$I$81,9,0)</f>
        <v>6.4</v>
      </c>
      <c r="AH48" s="13">
        <f t="array" ref="AH48">INDEX(AG:AG,MIN(IF(ISNUMBER(AG48:AG244),ROW(AG48:AG244),"")))</f>
        <v>6.4</v>
      </c>
      <c r="AI48" s="14">
        <f>IF('Données projet'!$A$62&gt;35,AI47+AH48-AQ47,IF(A48&lt;'Données projet'!$A$62,$AF$205^A48,IF(A48='Données projet'!$A$62,'Données projet'!$B$62,AI47+AH48-AQ47)))</f>
        <v>155.00000000000011</v>
      </c>
      <c r="AJ48" s="14">
        <f>AI48*VLOOKUP('Données projet'!$B$10,Paramètres!$A$1:$I$89,3,0)*VLOOKUP('Données projet'!$B$10,Paramètres!$A$1:$I$89,5,0)</f>
        <v>101.55600000000008</v>
      </c>
      <c r="AK48" s="14">
        <f t="shared" si="35"/>
        <v>27.332359320696934</v>
      </c>
      <c r="AL48" s="22">
        <f t="shared" si="4"/>
        <v>224.48055915021396</v>
      </c>
      <c r="AM48" s="62">
        <f t="shared" si="5"/>
        <v>517.81389248354731</v>
      </c>
      <c r="AN48" s="62">
        <f ca="1">AVERAGE(OFFSET($AM$3,0,0,'Données projet'!$E$10+1,1))-AVERAGE(OFFSET($H$3,0,0,'Données projet'!$E$10+1,1))</f>
        <v>210.08998695869161</v>
      </c>
      <c r="AO48" s="62">
        <f t="shared" si="36"/>
        <v>207.30911916430881</v>
      </c>
      <c r="AP48" s="16">
        <f>IF(ISNA(VLOOKUP(A48,'Données projet'!$A$61:$I$81,3,0)),0,VLOOKUP(A48,'Données projet'!$A$61:$I$81,3,0))</f>
        <v>8</v>
      </c>
      <c r="AQ48" s="16">
        <f>IF(ISNA(VLOOKUP(A48,'Données projet'!$A$61:$I$81,4,0)),0,VLOOKUP(A48,'Données projet'!$A$61:$I$81,4,0))</f>
        <v>22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1.0204292597509167E-3</v>
      </c>
      <c r="AX48" s="23">
        <f t="shared" si="6"/>
        <v>1.0204292597509167E-3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204.00000000000003</v>
      </c>
      <c r="BE48" s="14">
        <f>BD48*VLOOKUP('Données projet'!$B$11,Paramètres!$A$1:$I$89,3,0)*VLOOKUP('Données projet'!$B$11,Paramètres!$A$1:$I$89,5,0)</f>
        <v>136.84320000000002</v>
      </c>
      <c r="BF48" s="14">
        <f t="shared" si="37"/>
        <v>35.572869837729648</v>
      </c>
      <c r="BG48" s="22">
        <f t="shared" si="7"/>
        <v>300.2913216340458</v>
      </c>
      <c r="BH48" s="62">
        <f t="shared" si="8"/>
        <v>593.62465496737912</v>
      </c>
      <c r="BI48" s="62">
        <f ca="1">AVERAGE(OFFSET($BH$3,0,0,'Données projet'!$E$11+1,1))-AVERAGE(OFFSET($H$3,0,0,'Données projet'!$E$11+1,1))</f>
        <v>335.83558218229564</v>
      </c>
      <c r="BJ48" s="62">
        <f t="shared" si="38"/>
        <v>217.08423061559648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0.1158614103385253</v>
      </c>
      <c r="BS48" s="24">
        <f t="shared" si="9"/>
        <v>0.1158614103385253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10.375</v>
      </c>
      <c r="BY48" s="13">
        <f>IF('Données projet'!$A$114&gt;35,BY47+BX48-CG47,IF(A48&lt;'Données projet'!$A$114,$BV$205^A48,IF(A48='Données projet'!$A$114,'Données projet'!$B$114,BY47+BX48-CG47)))</f>
        <v>197.37499999999991</v>
      </c>
      <c r="BZ48" s="14">
        <f>BY48*VLOOKUP('Données projet'!$B$12,Paramètres!$A$1:$I$89,3,0)*VLOOKUP('Données projet'!$B$12,Paramètres!$A$1:$I$89,5,0)</f>
        <v>153.95249999999993</v>
      </c>
      <c r="CA48" s="14">
        <f t="shared" si="39"/>
        <v>39.475441267837361</v>
      </c>
      <c r="CB48" s="22">
        <f t="shared" si="10"/>
        <v>336.88699770814992</v>
      </c>
      <c r="CC48" s="62">
        <f t="shared" si="11"/>
        <v>630.22033104148318</v>
      </c>
      <c r="CD48" s="62">
        <f ca="1">AVERAGE(OFFSET($CC$3,0,0,'Données projet'!$E$12+1,1))-AVERAGE(OFFSET($H$3,0,0,'Données projet'!$E$12+1,1))</f>
        <v>288.82868507674738</v>
      </c>
      <c r="CE48" s="62">
        <f t="shared" si="40"/>
        <v>283.48738729114024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3.2141367665062672</v>
      </c>
      <c r="CM48" s="23">
        <f>EXP(-LN(2)/2)*CM47+(1-EXP(-LN(2)/2))/(LN(2)/2)*CG48*CJ48*VLOOKUP('Données projet'!$B$12,Paramètres!$A$1:$I$89,3,0)*0.475*44/12</f>
        <v>1.4251348817214083E-2</v>
      </c>
      <c r="CN48" s="24">
        <f t="shared" si="12"/>
        <v>3.2283881153234812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242</v>
      </c>
      <c r="CR48" s="13">
        <f>VLOOKUP(A48,'Données projet'!$A$139:$I$159,9,0)</f>
        <v>9.8000000000000007</v>
      </c>
      <c r="CS48" s="13">
        <f t="array" ref="CS48">INDEX(CR:CR,MIN(IF(ISNUMBER(CR48:CR244),ROW(CR48:CR244),"")))</f>
        <v>9.8000000000000007</v>
      </c>
      <c r="CT48" s="13">
        <f>IF('Données projet'!$A$140&gt;35,CT47+CS48-DB47,IF(A48&lt;'Données projet'!$A$140,$CQ$205^A48,IF(A48='Données projet'!$A$140,'Données projet'!$B$140,CT47+CS48-DB47)))</f>
        <v>242</v>
      </c>
      <c r="CU48" s="18">
        <f>CT48*VLOOKUP('Données projet'!$B$13,Paramètres!$A$1:$I$89,3,0)*VLOOKUP('Données projet'!$B$13,Paramètres!$A$1:$I$89,5,0)</f>
        <v>211.41120000000004</v>
      </c>
      <c r="CV48" s="14">
        <f t="shared" si="41"/>
        <v>52.243848094411156</v>
      </c>
      <c r="CW48" s="22">
        <f t="shared" si="13"/>
        <v>459.19920876443285</v>
      </c>
      <c r="CX48" s="62">
        <f t="shared" si="14"/>
        <v>752.53254209776617</v>
      </c>
      <c r="CY48" s="62">
        <f ca="1">AVERAGE(OFFSET($CX$3,0,0,'Données projet'!$E$13+1,1))-AVERAGE(OFFSET($H$3,0,0,'Données projet'!$E$13+1,1))</f>
        <v>383.46266660377637</v>
      </c>
      <c r="CZ48" s="62">
        <f t="shared" si="42"/>
        <v>373.1287543230714</v>
      </c>
      <c r="DA48" s="16">
        <f>IF(ISNA(VLOOKUP(A48,'Données projet'!$A$139:$I$159,3,0)),0,VLOOKUP(A48,'Données projet'!$A$139:$I$159,3,0))</f>
        <v>8</v>
      </c>
      <c r="DB48" s="16">
        <f>IF(ISNA(VLOOKUP(A48,'Données projet'!$A$139:$I$159,4,0)),0,VLOOKUP(A48,'Données projet'!$A$139:$I$159,4,0))</f>
        <v>24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10.592887616947801</v>
      </c>
      <c r="DH48" s="23">
        <f>EXP(-LN(2)/2)*DH47+(1-EXP(-LN(2)/2))/(LN(2)/2)*DB48*DE48*VLOOKUP('Données projet'!$B$13,Paramètres!$A$1:$I$89,3,0)*0.475*44/12</f>
        <v>0.1173158557956154</v>
      </c>
      <c r="DI48" s="24">
        <f t="shared" si="15"/>
        <v>10.710203472743416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>
        <f>DO48*VLOOKUP('Données projet'!$B$14,Paramètres!$A$1:$I$89,3,0)*VLOOKUP('Données projet'!$B$14,Paramètres!$A$1:$I$89,5,0)</f>
        <v>0</v>
      </c>
      <c r="DQ48" s="14" t="e">
        <f t="shared" si="43"/>
        <v>#NUM!</v>
      </c>
      <c r="DR48" s="22" t="e">
        <f t="shared" si="16"/>
        <v>#NUM!</v>
      </c>
      <c r="DS48" s="62" t="e">
        <f t="shared" si="17"/>
        <v>#NUM!</v>
      </c>
      <c r="DT48" s="62">
        <f ca="1">AVERAGE(OFFSET($DS$3,0,0,'Données projet'!$E$14+1,1))-AVERAGE(OFFSET($H$3,0,0,'Données projet'!$E$14+1,1))</f>
        <v>96.56611521638132</v>
      </c>
      <c r="DU48" s="62">
        <f t="shared" si="44"/>
        <v>465.03257878814094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61.235621127840631</v>
      </c>
      <c r="EB48" s="23">
        <f>EXP(-LN(2)/25)*EB47+(1-EXP(-LN(2)/25))/(LN(2)/25)*Calculateur!DW48*Calculateur!DY48*VLOOKUP('Données projet'!$B$14,Paramètres!$A$1:$I$89,3,0)*0.475*44/12</f>
        <v>12.118833993835999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73.354455121676637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242</v>
      </c>
      <c r="EH48" s="13">
        <f>VLOOKUP(A48,'Données projet'!$A$191:$I$211,9,0)</f>
        <v>9.8000000000000007</v>
      </c>
      <c r="EI48" s="13">
        <f t="array" ref="EI48">INDEX(EH:EH,MIN(IF(ISNUMBER(EH48:EH244),ROW(EH48:EH244),"")))</f>
        <v>9.8000000000000007</v>
      </c>
      <c r="EJ48" s="13">
        <f>IF('Données projet'!$A$192&gt;35,EJ47+EI48-ER47,IF(A48&lt;'Données projet'!$A$192,$EG$205^A48,IF(A48='Données projet'!$A$192,'Données projet'!$B$192,EJ47+EI48-ER47)))</f>
        <v>242</v>
      </c>
      <c r="EK48" s="18">
        <f>EJ48*VLOOKUP('Données projet'!$B$15,Paramètres!$A$1:$I$89,3,0)*VLOOKUP('Données projet'!$B$15,Paramètres!$A$1:$I$89,5,0)</f>
        <v>196.31040000000002</v>
      </c>
      <c r="EL48" s="14">
        <f t="shared" si="45"/>
        <v>48.932428681108973</v>
      </c>
      <c r="EM48" s="22">
        <f t="shared" si="19"/>
        <v>427.13125995293149</v>
      </c>
      <c r="EN48" s="62">
        <f t="shared" si="20"/>
        <v>720.46459328626474</v>
      </c>
      <c r="EO48" s="62">
        <f ca="1">AVERAGE(OFFSET($EN$3,0,0,'Données projet'!$E$15+1,1))-AVERAGE(OFFSET($H$3,0,0,'Données projet'!$E$15+1,1))</f>
        <v>358.75637627589799</v>
      </c>
      <c r="EP48" s="62">
        <f t="shared" si="46"/>
        <v>349.64821164483607</v>
      </c>
      <c r="EQ48" s="16">
        <f>IF(ISNA(VLOOKUP(A48,'Données projet'!$A$191:$I$211,3,0)),0,VLOOKUP(A48,'Données projet'!$A$191:$I$211,3,0))</f>
        <v>8</v>
      </c>
      <c r="ER48" s="16">
        <f>IF(ISNA(VLOOKUP(A48,'Données projet'!$A$191:$I$211,4,0)),0,VLOOKUP(A48,'Données projet'!$A$191:$I$211,4,0))</f>
        <v>24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7.1827444794409798</v>
      </c>
      <c r="EW48" s="23">
        <f>EXP(-LN(2)/25)*EW47+(1-EXP(-LN(2)/25))/(LN(2)/25)*Calculateur!ER48*Calculateur!ET48*VLOOKUP('Données projet'!$B$15,Paramètres!$A$1:$I$89,3,0)*0.475*44/12</f>
        <v>10.119273207351981</v>
      </c>
      <c r="EX48" s="23">
        <f>EXP(-LN(2)/2)*EX47+(1-EXP(-LN(2)/2))/(LN(2)/2)*ER48*EU48*VLOOKUP('Données projet'!$B$15,Paramètres!$A$1:$I$89,3,0)*0.475*44/12</f>
        <v>2.0143594880671335E-2</v>
      </c>
      <c r="EY48" s="24">
        <f t="shared" si="21"/>
        <v>17.322161281673633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>
        <f>FE48*VLOOKUP('Données projet'!$B$16,Paramètres!$A$1:$I$89,3,0)*VLOOKUP('Données projet'!$B$16,Paramètres!$A$1:$I$89,5,0)</f>
        <v>0</v>
      </c>
      <c r="FG48" s="14" t="e">
        <f t="shared" si="47"/>
        <v>#NUM!</v>
      </c>
      <c r="FH48" s="22" t="e">
        <f t="shared" si="22"/>
        <v>#NUM!</v>
      </c>
      <c r="FI48" s="62" t="e">
        <f t="shared" si="23"/>
        <v>#NUM!</v>
      </c>
      <c r="FJ48" s="62">
        <f ca="1">AVERAGE(OFFSET($FI$3,0,0,'Données projet'!$E$16+1,1))-AVERAGE(OFFSET($H$3,0,0,'Données projet'!$E$16+1,1))</f>
        <v>121.28977654040114</v>
      </c>
      <c r="FK48" s="62">
        <f t="shared" si="48"/>
        <v>615.69585264342595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82.505136589611553</v>
      </c>
      <c r="FR48" s="23">
        <f>EXP(-LN(2)/25)*FR47+(1-EXP(-LN(2)/25))/(LN(2)/25)*Calculateur!FM48*Calculateur!FO48*VLOOKUP('Données projet'!$B$16,Paramètres!$A$1:$I$89,3,0)*0.475*44/12</f>
        <v>16.32817689365578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98.833313483267332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226.4</v>
      </c>
      <c r="O49" s="14">
        <f>N49*VLOOKUP('Données projet'!$B$9,Paramètres!$A$1:$I$89,3,0)*VLOOKUP('Données projet'!$B$9,Paramètres!$A$1:$I$89,5,0)</f>
        <v>180.12384</v>
      </c>
      <c r="P49" s="14">
        <f t="shared" si="33"/>
        <v>45.349737181998847</v>
      </c>
      <c r="Q49" s="22">
        <f t="shared" si="53"/>
        <v>392.69981359198135</v>
      </c>
      <c r="R49" s="62">
        <f t="shared" si="0"/>
        <v>686.03314692531467</v>
      </c>
      <c r="S49" s="62">
        <f ca="1">AVERAGE(OFFSET($R$3,0,0,'Données projet'!$E$9+1,1))-AVERAGE(OFFSET($H$3,0,0,'Données projet'!$E$9+1,1))</f>
        <v>352.5736659365665</v>
      </c>
      <c r="T49" s="62">
        <f t="shared" si="34"/>
        <v>343.77208530767069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9.819795668642687</v>
      </c>
      <c r="AA49" s="23">
        <f>EXP(-LN(2)/25)*AA48+(1-EXP(-LN(2)/25))/(LN(2)/25)*Calculateur!V49*Calculateur!X49*VLOOKUP('Données projet'!$B$9,Paramètres!$A$1:$I$89,3,0)*0.475*44/12</f>
        <v>15.221222635197083</v>
      </c>
      <c r="AB49" s="23">
        <f>EXP(-LN(2)/2)*AB48+(1-EXP(-LN(2)/2))/(LN(2)/2)*V49*Y49*VLOOKUP('Données projet'!$B$9,Paramètres!$A$1:$I$89,3,0)*0.475*44/12</f>
        <v>0</v>
      </c>
      <c r="AC49" s="24">
        <f t="shared" si="3"/>
        <v>25.04101830383977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</v>
      </c>
      <c r="AI49" s="14">
        <f>IF('Données projet'!$A$62&gt;35,AI48+AH49-AQ48,IF(A49&lt;'Données projet'!$A$62,$AF$205^A49,IF(A49='Données projet'!$A$62,'Données projet'!$B$62,AI48+AH49-AQ48)))</f>
        <v>139.00000000000011</v>
      </c>
      <c r="AJ49" s="14">
        <f>AI49*VLOOKUP('Données projet'!$B$10,Paramètres!$A$1:$I$89,3,0)*VLOOKUP('Données projet'!$B$10,Paramètres!$A$1:$I$89,5,0)</f>
        <v>91.072800000000072</v>
      </c>
      <c r="AK49" s="14">
        <f t="shared" si="35"/>
        <v>24.82377981733238</v>
      </c>
      <c r="AL49" s="22">
        <f t="shared" si="4"/>
        <v>201.85320984852066</v>
      </c>
      <c r="AM49" s="62">
        <f t="shared" si="5"/>
        <v>495.18654318185395</v>
      </c>
      <c r="AN49" s="62">
        <f ca="1">AVERAGE(OFFSET($AM$3,0,0,'Données projet'!$E$10+1,1))-AVERAGE(OFFSET($H$3,0,0,'Données projet'!$E$10+1,1))</f>
        <v>210.08998695869161</v>
      </c>
      <c r="AO49" s="62">
        <f t="shared" si="36"/>
        <v>207.30911916430881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7.2155244929104217E-4</v>
      </c>
      <c r="AX49" s="23">
        <f t="shared" si="6"/>
        <v>7.2155244929104217E-4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187.00000000000003</v>
      </c>
      <c r="BE49" s="14">
        <f>BD49*VLOOKUP('Données projet'!$B$11,Paramètres!$A$1:$I$89,3,0)*VLOOKUP('Données projet'!$B$11,Paramètres!$A$1:$I$89,5,0)</f>
        <v>125.43960000000003</v>
      </c>
      <c r="BF49" s="14">
        <f t="shared" si="37"/>
        <v>32.940404724987246</v>
      </c>
      <c r="BG49" s="22">
        <f t="shared" si="7"/>
        <v>275.8451748960195</v>
      </c>
      <c r="BH49" s="62">
        <f t="shared" si="8"/>
        <v>569.17850822935281</v>
      </c>
      <c r="BI49" s="62">
        <f ca="1">AVERAGE(OFFSET($BH$3,0,0,'Données projet'!$E$11+1,1))-AVERAGE(OFFSET($H$3,0,0,'Données projet'!$E$11+1,1))</f>
        <v>335.83558218229564</v>
      </c>
      <c r="BJ49" s="62">
        <f t="shared" si="38"/>
        <v>217.08423061559648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8.1926388928208416E-2</v>
      </c>
      <c r="BS49" s="24">
        <f t="shared" si="9"/>
        <v>8.1926388928208416E-2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10.375</v>
      </c>
      <c r="BY49" s="13">
        <f>IF('Données projet'!$A$114&gt;35,BY48+BX49-CG48,IF(A49&lt;'Données projet'!$A$114,$BV$205^A49,IF(A49='Données projet'!$A$114,'Données projet'!$B$114,BY48+BX49-CG48)))</f>
        <v>207.74999999999991</v>
      </c>
      <c r="BZ49" s="14">
        <f>BY49*VLOOKUP('Données projet'!$B$12,Paramètres!$A$1:$I$89,3,0)*VLOOKUP('Données projet'!$B$12,Paramètres!$A$1:$I$89,5,0)</f>
        <v>162.04499999999993</v>
      </c>
      <c r="CA49" s="14">
        <f t="shared" si="39"/>
        <v>41.303429372463391</v>
      </c>
      <c r="CB49" s="22">
        <f t="shared" si="10"/>
        <v>354.16518115704025</v>
      </c>
      <c r="CC49" s="62">
        <f t="shared" si="11"/>
        <v>647.49851449037351</v>
      </c>
      <c r="CD49" s="62">
        <f ca="1">AVERAGE(OFFSET($CC$3,0,0,'Données projet'!$E$12+1,1))-AVERAGE(OFFSET($H$3,0,0,'Données projet'!$E$12+1,1))</f>
        <v>288.82868507674738</v>
      </c>
      <c r="CE49" s="62">
        <f t="shared" si="40"/>
        <v>283.48738729114024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3.126246027602047</v>
      </c>
      <c r="CM49" s="23">
        <f>EXP(-LN(2)/2)*CM48+(1-EXP(-LN(2)/2))/(LN(2)/2)*CG49*CJ49*VLOOKUP('Données projet'!$B$12,Paramètres!$A$1:$I$89,3,0)*0.475*44/12</f>
        <v>1.0077225389706962E-2</v>
      </c>
      <c r="CN49" s="24">
        <f t="shared" si="12"/>
        <v>3.1363232529917537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8.4</v>
      </c>
      <c r="CT49" s="13">
        <f>IF('Données projet'!$A$140&gt;35,CT48+CS49-DB48,IF(A49&lt;'Données projet'!$A$140,$CQ$205^A49,IF(A49='Données projet'!$A$140,'Données projet'!$B$140,CT48+CS49-DB48)))</f>
        <v>226.4</v>
      </c>
      <c r="CU49" s="18">
        <f>CT49*VLOOKUP('Données projet'!$B$13,Paramètres!$A$1:$I$89,3,0)*VLOOKUP('Données projet'!$B$13,Paramètres!$A$1:$I$89,5,0)</f>
        <v>197.78304000000003</v>
      </c>
      <c r="CV49" s="14">
        <f t="shared" si="41"/>
        <v>49.256631390532817</v>
      </c>
      <c r="CW49" s="22">
        <f t="shared" si="13"/>
        <v>430.26076100517804</v>
      </c>
      <c r="CX49" s="62">
        <f t="shared" si="14"/>
        <v>723.59409433851135</v>
      </c>
      <c r="CY49" s="62">
        <f ca="1">AVERAGE(OFFSET($CX$3,0,0,'Données projet'!$E$13+1,1))-AVERAGE(OFFSET($H$3,0,0,'Données projet'!$E$13+1,1))</f>
        <v>383.46266660377637</v>
      </c>
      <c r="CZ49" s="62">
        <f t="shared" si="42"/>
        <v>373.1287543230714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10.303224548006613</v>
      </c>
      <c r="DH49" s="23">
        <f>EXP(-LN(2)/2)*DH48+(1-EXP(-LN(2)/2))/(LN(2)/2)*DB49*DE49*VLOOKUP('Données projet'!$B$13,Paramètres!$A$1:$I$89,3,0)*0.475*44/12</f>
        <v>8.2954837173782783E-2</v>
      </c>
      <c r="DI49" s="24">
        <f t="shared" si="15"/>
        <v>10.386179385180396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>
        <f>DO49*VLOOKUP('Données projet'!$B$14,Paramètres!$A$1:$I$89,3,0)*VLOOKUP('Données projet'!$B$14,Paramètres!$A$1:$I$89,5,0)</f>
        <v>0</v>
      </c>
      <c r="DQ49" s="14" t="e">
        <f t="shared" si="43"/>
        <v>#NUM!</v>
      </c>
      <c r="DR49" s="22" t="e">
        <f t="shared" si="16"/>
        <v>#NUM!</v>
      </c>
      <c r="DS49" s="62" t="e">
        <f t="shared" si="17"/>
        <v>#NUM!</v>
      </c>
      <c r="DT49" s="62">
        <f ca="1">AVERAGE(OFFSET($DS$3,0,0,'Données projet'!$E$14+1,1))-AVERAGE(OFFSET($H$3,0,0,'Données projet'!$E$14+1,1))</f>
        <v>96.56611521638132</v>
      </c>
      <c r="DU49" s="62">
        <f t="shared" si="44"/>
        <v>465.03257878814094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60.034827947564551</v>
      </c>
      <c r="EB49" s="23">
        <f>EXP(-LN(2)/25)*EB48+(1-EXP(-LN(2)/25))/(LN(2)/25)*Calculateur!DW49*Calculateur!DY49*VLOOKUP('Données projet'!$B$14,Paramètres!$A$1:$I$89,3,0)*0.475*44/12</f>
        <v>11.787443840972772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71.822271788537321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8.4</v>
      </c>
      <c r="EJ49" s="13">
        <f>IF('Données projet'!$A$192&gt;35,EJ48+EI49-ER48,IF(A49&lt;'Données projet'!$A$192,$EG$205^A49,IF(A49='Données projet'!$A$192,'Données projet'!$B$192,EJ48+EI49-ER48)))</f>
        <v>226.4</v>
      </c>
      <c r="EK49" s="18">
        <f>EJ49*VLOOKUP('Données projet'!$B$15,Paramètres!$A$1:$I$89,3,0)*VLOOKUP('Données projet'!$B$15,Paramètres!$A$1:$I$89,5,0)</f>
        <v>183.65568000000002</v>
      </c>
      <c r="EL49" s="14">
        <f t="shared" si="45"/>
        <v>46.134553454663255</v>
      </c>
      <c r="EM49" s="22">
        <f t="shared" si="19"/>
        <v>400.21798993353849</v>
      </c>
      <c r="EN49" s="62">
        <f t="shared" si="20"/>
        <v>693.5513232668718</v>
      </c>
      <c r="EO49" s="62">
        <f ca="1">AVERAGE(OFFSET($EN$3,0,0,'Données projet'!$E$15+1,1))-AVERAGE(OFFSET($H$3,0,0,'Données projet'!$E$15+1,1))</f>
        <v>358.75637627589799</v>
      </c>
      <c r="EP49" s="62">
        <f t="shared" si="46"/>
        <v>349.64821164483607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7.0418952412406828</v>
      </c>
      <c r="EW49" s="23">
        <f>EXP(-LN(2)/25)*EW48+(1-EXP(-LN(2)/25))/(LN(2)/25)*Calculateur!ER49*Calculateur!ET49*VLOOKUP('Données projet'!$B$15,Paramètres!$A$1:$I$89,3,0)*0.475*44/12</f>
        <v>9.8425611493474907</v>
      </c>
      <c r="EX49" s="23">
        <f>EXP(-LN(2)/2)*EX48+(1-EXP(-LN(2)/2))/(LN(2)/2)*ER49*EU49*VLOOKUP('Données projet'!$B$15,Paramètres!$A$1:$I$89,3,0)*0.475*44/12</f>
        <v>1.4243672537597325E-2</v>
      </c>
      <c r="EY49" s="24">
        <f t="shared" si="21"/>
        <v>16.898700063125769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>
        <f>FE49*VLOOKUP('Données projet'!$B$16,Paramètres!$A$1:$I$89,3,0)*VLOOKUP('Données projet'!$B$16,Paramètres!$A$1:$I$89,5,0)</f>
        <v>0</v>
      </c>
      <c r="FG49" s="14" t="e">
        <f t="shared" si="47"/>
        <v>#NUM!</v>
      </c>
      <c r="FH49" s="22" t="e">
        <f t="shared" si="22"/>
        <v>#NUM!</v>
      </c>
      <c r="FI49" s="62" t="e">
        <f t="shared" si="23"/>
        <v>#NUM!</v>
      </c>
      <c r="FJ49" s="62">
        <f ca="1">AVERAGE(OFFSET($FI$3,0,0,'Données projet'!$E$16+1,1))-AVERAGE(OFFSET($H$3,0,0,'Données projet'!$E$16+1,1))</f>
        <v>121.28977654040114</v>
      </c>
      <c r="FK49" s="62">
        <f t="shared" si="48"/>
        <v>615.69585264342595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80.887261184253589</v>
      </c>
      <c r="FR49" s="23">
        <f>EXP(-LN(2)/25)*FR48+(1-EXP(-LN(2)/25))/(LN(2)/25)*Calculateur!FM49*Calculateur!FO49*VLOOKUP('Données projet'!$B$16,Paramètres!$A$1:$I$89,3,0)*0.475*44/12</f>
        <v>15.881682037837258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96.768943222090854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234.8</v>
      </c>
      <c r="O50" s="14">
        <f>N50*VLOOKUP('Données projet'!$B$9,Paramètres!$A$1:$I$89,3,0)*VLOOKUP('Données projet'!$B$9,Paramètres!$A$1:$I$89,5,0)</f>
        <v>186.80688000000001</v>
      </c>
      <c r="P50" s="14">
        <f t="shared" si="33"/>
        <v>46.833304503358612</v>
      </c>
      <c r="Q50" s="22">
        <f t="shared" si="53"/>
        <v>406.92332134334953</v>
      </c>
      <c r="R50" s="62">
        <f t="shared" si="0"/>
        <v>700.25665467668284</v>
      </c>
      <c r="S50" s="62">
        <f ca="1">AVERAGE(OFFSET($R$3,0,0,'Données projet'!$E$9+1,1))-AVERAGE(OFFSET($H$3,0,0,'Données projet'!$E$9+1,1))</f>
        <v>352.5736659365665</v>
      </c>
      <c r="T50" s="62">
        <f t="shared" si="34"/>
        <v>343.77208530767069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9.6272354650645493</v>
      </c>
      <c r="AA50" s="23">
        <f>EXP(-LN(2)/25)*AA49+(1-EXP(-LN(2)/25))/(LN(2)/25)*Calculateur!V50*Calculateur!X50*VLOOKUP('Données projet'!$B$9,Paramètres!$A$1:$I$89,3,0)*0.475*44/12</f>
        <v>14.804997501788309</v>
      </c>
      <c r="AB50" s="23">
        <f>EXP(-LN(2)/2)*AB49+(1-EXP(-LN(2)/2))/(LN(2)/2)*V50*Y50*VLOOKUP('Données projet'!$B$9,Paramètres!$A$1:$I$89,3,0)*0.475*44/12</f>
        <v>0</v>
      </c>
      <c r="AC50" s="24">
        <f t="shared" si="3"/>
        <v>24.432232966852858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</v>
      </c>
      <c r="AI50" s="14">
        <f>IF('Données projet'!$A$62&gt;35,AI49+AH50-AQ49,IF(A50&lt;'Données projet'!$A$62,$AF$205^A50,IF(A50='Données projet'!$A$62,'Données projet'!$B$62,AI49+AH50-AQ49)))</f>
        <v>145.00000000000011</v>
      </c>
      <c r="AJ50" s="14">
        <f>AI50*VLOOKUP('Données projet'!$B$10,Paramètres!$A$1:$I$89,3,0)*VLOOKUP('Données projet'!$B$10,Paramètres!$A$1:$I$89,5,0)</f>
        <v>95.004000000000076</v>
      </c>
      <c r="AK50" s="14">
        <f t="shared" si="35"/>
        <v>25.768242550600785</v>
      </c>
      <c r="AL50" s="22">
        <f t="shared" si="4"/>
        <v>210.34498910896318</v>
      </c>
      <c r="AM50" s="62">
        <f t="shared" si="5"/>
        <v>503.67832244229646</v>
      </c>
      <c r="AN50" s="62">
        <f ca="1">AVERAGE(OFFSET($AM$3,0,0,'Données projet'!$E$10+1,1))-AVERAGE(OFFSET($H$3,0,0,'Données projet'!$E$10+1,1))</f>
        <v>210.08998695869161</v>
      </c>
      <c r="AO50" s="62">
        <f t="shared" si="36"/>
        <v>207.30911916430881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5.1021462987545837E-4</v>
      </c>
      <c r="AX50" s="23">
        <f t="shared" si="6"/>
        <v>5.1021462987545837E-4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198.00000000000003</v>
      </c>
      <c r="BE50" s="14">
        <f>BD50*VLOOKUP('Données projet'!$B$11,Paramètres!$A$1:$I$89,3,0)*VLOOKUP('Données projet'!$B$11,Paramètres!$A$1:$I$89,5,0)</f>
        <v>132.81840000000003</v>
      </c>
      <c r="BF50" s="14">
        <f t="shared" si="37"/>
        <v>34.646793645681022</v>
      </c>
      <c r="BG50" s="22">
        <f t="shared" si="7"/>
        <v>291.66854559956113</v>
      </c>
      <c r="BH50" s="62">
        <f t="shared" si="8"/>
        <v>585.00187893289444</v>
      </c>
      <c r="BI50" s="62">
        <f ca="1">AVERAGE(OFFSET($BH$3,0,0,'Données projet'!$E$11+1,1))-AVERAGE(OFFSET($H$3,0,0,'Données projet'!$E$11+1,1))</f>
        <v>335.83558218229564</v>
      </c>
      <c r="BJ50" s="62">
        <f t="shared" si="38"/>
        <v>217.08423061559648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5.7930705169262658E-2</v>
      </c>
      <c r="BS50" s="24">
        <f t="shared" si="9"/>
        <v>5.7930705169262658E-2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10.375</v>
      </c>
      <c r="BY50" s="13">
        <f>IF('Données projet'!$A$114&gt;35,BY49+BX50-CG49,IF(A50&lt;'Données projet'!$A$114,$BV$205^A50,IF(A50='Données projet'!$A$114,'Données projet'!$B$114,BY49+BX50-CG49)))</f>
        <v>218.12499999999991</v>
      </c>
      <c r="BZ50" s="14">
        <f>BY50*VLOOKUP('Données projet'!$B$12,Paramètres!$A$1:$I$89,3,0)*VLOOKUP('Données projet'!$B$12,Paramètres!$A$1:$I$89,5,0)</f>
        <v>170.13749999999993</v>
      </c>
      <c r="CA50" s="14">
        <f t="shared" si="39"/>
        <v>43.120817562072375</v>
      </c>
      <c r="CB50" s="22">
        <f t="shared" si="10"/>
        <v>371.42490308727588</v>
      </c>
      <c r="CC50" s="62">
        <f t="shared" si="11"/>
        <v>664.75823642060914</v>
      </c>
      <c r="CD50" s="62">
        <f ca="1">AVERAGE(OFFSET($CC$3,0,0,'Données projet'!$E$12+1,1))-AVERAGE(OFFSET($H$3,0,0,'Données projet'!$E$12+1,1))</f>
        <v>288.82868507674738</v>
      </c>
      <c r="CE50" s="62">
        <f t="shared" si="40"/>
        <v>283.48738729114024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3.0407586655751353</v>
      </c>
      <c r="CM50" s="23">
        <f>EXP(-LN(2)/2)*CM49+(1-EXP(-LN(2)/2))/(LN(2)/2)*CG50*CJ50*VLOOKUP('Données projet'!$B$12,Paramètres!$A$1:$I$89,3,0)*0.475*44/12</f>
        <v>7.1256744086070417E-3</v>
      </c>
      <c r="CN50" s="24">
        <f t="shared" si="12"/>
        <v>3.0478843399837423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8.4</v>
      </c>
      <c r="CT50" s="13">
        <f>IF('Données projet'!$A$140&gt;35,CT49+CS50-DB49,IF(A50&lt;'Données projet'!$A$140,$CQ$205^A50,IF(A50='Données projet'!$A$140,'Données projet'!$B$140,CT49+CS50-DB49)))</f>
        <v>234.8</v>
      </c>
      <c r="CU50" s="18">
        <f>CT50*VLOOKUP('Données projet'!$B$13,Paramètres!$A$1:$I$89,3,0)*VLOOKUP('Données projet'!$B$13,Paramètres!$A$1:$I$89,5,0)</f>
        <v>205.12128000000004</v>
      </c>
      <c r="CV50" s="14">
        <f t="shared" si="41"/>
        <v>50.86800850608234</v>
      </c>
      <c r="CW50" s="22">
        <f t="shared" si="13"/>
        <v>445.84801081476007</v>
      </c>
      <c r="CX50" s="62">
        <f t="shared" si="14"/>
        <v>739.18134414809333</v>
      </c>
      <c r="CY50" s="62">
        <f ca="1">AVERAGE(OFFSET($CX$3,0,0,'Données projet'!$E$13+1,1))-AVERAGE(OFFSET($H$3,0,0,'Données projet'!$E$13+1,1))</f>
        <v>383.46266660377637</v>
      </c>
      <c r="CZ50" s="62">
        <f t="shared" si="42"/>
        <v>373.1287543230714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10.021482330918341</v>
      </c>
      <c r="DH50" s="23">
        <f>EXP(-LN(2)/2)*DH49+(1-EXP(-LN(2)/2))/(LN(2)/2)*DB50*DE50*VLOOKUP('Données projet'!$B$13,Paramètres!$A$1:$I$89,3,0)*0.475*44/12</f>
        <v>5.8657927897807702E-2</v>
      </c>
      <c r="DI50" s="24">
        <f t="shared" si="15"/>
        <v>10.080140258816149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>
        <f>DO50*VLOOKUP('Données projet'!$B$14,Paramètres!$A$1:$I$89,3,0)*VLOOKUP('Données projet'!$B$14,Paramètres!$A$1:$I$89,5,0)</f>
        <v>0</v>
      </c>
      <c r="DQ50" s="14" t="e">
        <f t="shared" si="43"/>
        <v>#NUM!</v>
      </c>
      <c r="DR50" s="22" t="e">
        <f t="shared" si="16"/>
        <v>#NUM!</v>
      </c>
      <c r="DS50" s="62" t="e">
        <f t="shared" si="17"/>
        <v>#NUM!</v>
      </c>
      <c r="DT50" s="62">
        <f ca="1">AVERAGE(OFFSET($DS$3,0,0,'Données projet'!$E$14+1,1))-AVERAGE(OFFSET($H$3,0,0,'Données projet'!$E$14+1,1))</f>
        <v>96.56611521638132</v>
      </c>
      <c r="DU50" s="62">
        <f t="shared" si="44"/>
        <v>465.03257878814094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58.857581589142171</v>
      </c>
      <c r="EB50" s="23">
        <f>EXP(-LN(2)/25)*EB49+(1-EXP(-LN(2)/25))/(LN(2)/25)*Calculateur!DW50*Calculateur!DY50*VLOOKUP('Données projet'!$B$14,Paramètres!$A$1:$I$89,3,0)*0.475*44/12</f>
        <v>11.46511556926664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70.322697158408815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8.4</v>
      </c>
      <c r="EJ50" s="13">
        <f>IF('Données projet'!$A$192&gt;35,EJ49+EI50-ER49,IF(A50&lt;'Données projet'!$A$192,$EG$205^A50,IF(A50='Données projet'!$A$192,'Données projet'!$B$192,EJ49+EI50-ER49)))</f>
        <v>234.8</v>
      </c>
      <c r="EK50" s="18">
        <f>EJ50*VLOOKUP('Données projet'!$B$15,Paramètres!$A$1:$I$89,3,0)*VLOOKUP('Données projet'!$B$15,Paramètres!$A$1:$I$89,5,0)</f>
        <v>190.46976000000001</v>
      </c>
      <c r="EL50" s="14">
        <f t="shared" si="45"/>
        <v>47.643795186675625</v>
      </c>
      <c r="EM50" s="22">
        <f t="shared" si="19"/>
        <v>414.71444195012668</v>
      </c>
      <c r="EN50" s="62">
        <f t="shared" si="20"/>
        <v>708.04777528345994</v>
      </c>
      <c r="EO50" s="62">
        <f ca="1">AVERAGE(OFFSET($EN$3,0,0,'Données projet'!$E$15+1,1))-AVERAGE(OFFSET($H$3,0,0,'Données projet'!$E$15+1,1))</f>
        <v>358.75637627589799</v>
      </c>
      <c r="EP50" s="62">
        <f t="shared" si="46"/>
        <v>349.64821164483607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6.9038079706919415</v>
      </c>
      <c r="EW50" s="23">
        <f>EXP(-LN(2)/25)*EW49+(1-EXP(-LN(2)/25))/(LN(2)/25)*Calculateur!ER50*Calculateur!ET50*VLOOKUP('Données projet'!$B$15,Paramètres!$A$1:$I$89,3,0)*0.475*44/12</f>
        <v>9.5734157971207878</v>
      </c>
      <c r="EX50" s="23">
        <f>EXP(-LN(2)/2)*EX49+(1-EXP(-LN(2)/2))/(LN(2)/2)*ER50*EU50*VLOOKUP('Données projet'!$B$15,Paramètres!$A$1:$I$89,3,0)*0.475*44/12</f>
        <v>1.0071797440335668E-2</v>
      </c>
      <c r="EY50" s="24">
        <f t="shared" si="21"/>
        <v>16.487295565253067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>
        <f>FE50*VLOOKUP('Données projet'!$B$16,Paramètres!$A$1:$I$89,3,0)*VLOOKUP('Données projet'!$B$16,Paramètres!$A$1:$I$89,5,0)</f>
        <v>0</v>
      </c>
      <c r="FG50" s="14" t="e">
        <f t="shared" si="47"/>
        <v>#NUM!</v>
      </c>
      <c r="FH50" s="22" t="e">
        <f t="shared" si="22"/>
        <v>#NUM!</v>
      </c>
      <c r="FI50" s="62" t="e">
        <f t="shared" si="23"/>
        <v>#NUM!</v>
      </c>
      <c r="FJ50" s="62">
        <f ca="1">AVERAGE(OFFSET($FI$3,0,0,'Données projet'!$E$16+1,1))-AVERAGE(OFFSET($H$3,0,0,'Données projet'!$E$16+1,1))</f>
        <v>121.28977654040114</v>
      </c>
      <c r="FK50" s="62">
        <f t="shared" si="48"/>
        <v>615.69585264342595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79.301111328788139</v>
      </c>
      <c r="FR50" s="23">
        <f>EXP(-LN(2)/25)*FR49+(1-EXP(-LN(2)/25))/(LN(2)/25)*Calculateur!FM50*Calculateur!FO50*VLOOKUP('Données projet'!$B$16,Paramètres!$A$1:$I$89,3,0)*0.475*44/12</f>
        <v>15.447396607331239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94.748507936119381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243.20000000000002</v>
      </c>
      <c r="O51" s="14">
        <f>N51*VLOOKUP('Données projet'!$B$9,Paramètres!$A$1:$I$89,3,0)*VLOOKUP('Données projet'!$B$9,Paramètres!$A$1:$I$89,5,0)</f>
        <v>193.48992000000001</v>
      </c>
      <c r="P51" s="14">
        <f t="shared" si="33"/>
        <v>48.310705372586774</v>
      </c>
      <c r="Q51" s="22">
        <f t="shared" si="53"/>
        <v>421.13608919058862</v>
      </c>
      <c r="R51" s="62">
        <f t="shared" si="0"/>
        <v>714.46942252392193</v>
      </c>
      <c r="S51" s="62">
        <f ca="1">AVERAGE(OFFSET($R$3,0,0,'Données projet'!$E$9+1,1))-AVERAGE(OFFSET($H$3,0,0,'Données projet'!$E$9+1,1))</f>
        <v>352.5736659365665</v>
      </c>
      <c r="T51" s="62">
        <f t="shared" si="34"/>
        <v>343.77208530767069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9.4384512496284518</v>
      </c>
      <c r="AA51" s="23">
        <f>EXP(-LN(2)/25)*AA50+(1-EXP(-LN(2)/25))/(LN(2)/25)*Calculateur!V51*Calculateur!X51*VLOOKUP('Données projet'!$B$9,Paramètres!$A$1:$I$89,3,0)*0.475*44/12</f>
        <v>14.400154066540926</v>
      </c>
      <c r="AB51" s="23">
        <f>EXP(-LN(2)/2)*AB50+(1-EXP(-LN(2)/2))/(LN(2)/2)*V51*Y51*VLOOKUP('Données projet'!$B$9,Paramètres!$A$1:$I$89,3,0)*0.475*44/12</f>
        <v>0</v>
      </c>
      <c r="AC51" s="24">
        <f t="shared" si="3"/>
        <v>23.838605316169378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</v>
      </c>
      <c r="AI51" s="14">
        <f>IF('Données projet'!$A$62&gt;35,AI50+AH51-AQ50,IF(A51&lt;'Données projet'!$A$62,$AF$205^A51,IF(A51='Données projet'!$A$62,'Données projet'!$B$62,AI50+AH51-AQ50)))</f>
        <v>151.00000000000011</v>
      </c>
      <c r="AJ51" s="14">
        <f>AI51*VLOOKUP('Données projet'!$B$10,Paramètres!$A$1:$I$89,3,0)*VLOOKUP('Données projet'!$B$10,Paramètres!$A$1:$I$89,5,0)</f>
        <v>98.935200000000066</v>
      </c>
      <c r="AK51" s="14">
        <f t="shared" si="35"/>
        <v>26.708165799953118</v>
      </c>
      <c r="AL51" s="22">
        <f t="shared" si="4"/>
        <v>218.82886210158509</v>
      </c>
      <c r="AM51" s="62">
        <f t="shared" si="5"/>
        <v>512.16219543491843</v>
      </c>
      <c r="AN51" s="62">
        <f ca="1">AVERAGE(OFFSET($AM$3,0,0,'Données projet'!$E$10+1,1))-AVERAGE(OFFSET($H$3,0,0,'Données projet'!$E$10+1,1))</f>
        <v>210.08998695869161</v>
      </c>
      <c r="AO51" s="62">
        <f t="shared" si="36"/>
        <v>207.30911916430881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3.6077622464552109E-4</v>
      </c>
      <c r="AX51" s="23">
        <f t="shared" si="6"/>
        <v>3.6077622464552109E-4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209.00000000000003</v>
      </c>
      <c r="BE51" s="14">
        <f>BD51*VLOOKUP('Données projet'!$B$11,Paramètres!$A$1:$I$89,3,0)*VLOOKUP('Données projet'!$B$11,Paramètres!$A$1:$I$89,5,0)</f>
        <v>140.19720000000001</v>
      </c>
      <c r="BF51" s="14">
        <f t="shared" si="37"/>
        <v>36.342177544317998</v>
      </c>
      <c r="BG51" s="22">
        <f t="shared" si="7"/>
        <v>307.47274922302051</v>
      </c>
      <c r="BH51" s="62">
        <f t="shared" si="8"/>
        <v>600.80608255635389</v>
      </c>
      <c r="BI51" s="62">
        <f ca="1">AVERAGE(OFFSET($BH$3,0,0,'Données projet'!$E$11+1,1))-AVERAGE(OFFSET($H$3,0,0,'Données projet'!$E$11+1,1))</f>
        <v>335.83558218229564</v>
      </c>
      <c r="BJ51" s="62">
        <f t="shared" si="38"/>
        <v>217.08423061559648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4.0963194464104208E-2</v>
      </c>
      <c r="BS51" s="24">
        <f t="shared" si="9"/>
        <v>4.0963194464104208E-2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10.375</v>
      </c>
      <c r="BY51" s="13">
        <f>IF('Données projet'!$A$114&gt;35,BY50+BX51-CG50,IF(A51&lt;'Données projet'!$A$114,$BV$205^A51,IF(A51='Données projet'!$A$114,'Données projet'!$B$114,BY50+BX51-CG50)))</f>
        <v>228.49999999999991</v>
      </c>
      <c r="BZ51" s="14">
        <f>BY51*VLOOKUP('Données projet'!$B$12,Paramètres!$A$1:$I$89,3,0)*VLOOKUP('Données projet'!$B$12,Paramètres!$A$1:$I$89,5,0)</f>
        <v>178.22999999999993</v>
      </c>
      <c r="CA51" s="14">
        <f t="shared" si="39"/>
        <v>44.928167580487852</v>
      </c>
      <c r="CB51" s="22">
        <f t="shared" si="10"/>
        <v>388.66714186934951</v>
      </c>
      <c r="CC51" s="62">
        <f t="shared" si="11"/>
        <v>682.00047520268276</v>
      </c>
      <c r="CD51" s="62">
        <f ca="1">AVERAGE(OFFSET($CC$3,0,0,'Données projet'!$E$12+1,1))-AVERAGE(OFFSET($H$3,0,0,'Données projet'!$E$12+1,1))</f>
        <v>288.82868507674738</v>
      </c>
      <c r="CE51" s="62">
        <f t="shared" si="40"/>
        <v>283.48738729114024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2.9576089599584345</v>
      </c>
      <c r="CM51" s="23">
        <f>EXP(-LN(2)/2)*CM50+(1-EXP(-LN(2)/2))/(LN(2)/2)*CG51*CJ51*VLOOKUP('Données projet'!$B$12,Paramètres!$A$1:$I$89,3,0)*0.475*44/12</f>
        <v>5.0386126948534808E-3</v>
      </c>
      <c r="CN51" s="24">
        <f t="shared" si="12"/>
        <v>2.9626475726532879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8.4</v>
      </c>
      <c r="CT51" s="13">
        <f>IF('Données projet'!$A$140&gt;35,CT50+CS51-DB50,IF(A51&lt;'Données projet'!$A$140,$CQ$205^A51,IF(A51='Données projet'!$A$140,'Données projet'!$B$140,CT50+CS51-DB50)))</f>
        <v>243.20000000000002</v>
      </c>
      <c r="CU51" s="18">
        <f>CT51*VLOOKUP('Données projet'!$B$13,Paramètres!$A$1:$I$89,3,0)*VLOOKUP('Données projet'!$B$13,Paramètres!$A$1:$I$89,5,0)</f>
        <v>212.45952000000005</v>
      </c>
      <c r="CV51" s="14">
        <f t="shared" si="41"/>
        <v>52.472687927697876</v>
      </c>
      <c r="CW51" s="22">
        <f t="shared" si="13"/>
        <v>461.42359547407392</v>
      </c>
      <c r="CX51" s="62">
        <f t="shared" si="14"/>
        <v>754.75692880740723</v>
      </c>
      <c r="CY51" s="62">
        <f ca="1">AVERAGE(OFFSET($CX$3,0,0,'Données projet'!$E$13+1,1))-AVERAGE(OFFSET($H$3,0,0,'Données projet'!$E$13+1,1))</f>
        <v>383.46266660377637</v>
      </c>
      <c r="CZ51" s="62">
        <f t="shared" si="42"/>
        <v>373.1287543230714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9.747444369572527</v>
      </c>
      <c r="DH51" s="23">
        <f>EXP(-LN(2)/2)*DH50+(1-EXP(-LN(2)/2))/(LN(2)/2)*DB51*DE51*VLOOKUP('Données projet'!$B$13,Paramètres!$A$1:$I$89,3,0)*0.475*44/12</f>
        <v>4.1477418586891392E-2</v>
      </c>
      <c r="DI51" s="24">
        <f t="shared" si="15"/>
        <v>9.7889217881594188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>
        <f>DO51*VLOOKUP('Données projet'!$B$14,Paramètres!$A$1:$I$89,3,0)*VLOOKUP('Données projet'!$B$14,Paramètres!$A$1:$I$89,5,0)</f>
        <v>0</v>
      </c>
      <c r="DQ51" s="14" t="e">
        <f t="shared" si="43"/>
        <v>#NUM!</v>
      </c>
      <c r="DR51" s="22" t="e">
        <f t="shared" si="16"/>
        <v>#NUM!</v>
      </c>
      <c r="DS51" s="62" t="e">
        <f t="shared" si="17"/>
        <v>#NUM!</v>
      </c>
      <c r="DT51" s="62">
        <f ca="1">AVERAGE(OFFSET($DS$3,0,0,'Données projet'!$E$14+1,1))-AVERAGE(OFFSET($H$3,0,0,'Données projet'!$E$14+1,1))</f>
        <v>96.56611521638132</v>
      </c>
      <c r="DU51" s="62">
        <f t="shared" si="44"/>
        <v>465.03257878814094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57.703420313759075</v>
      </c>
      <c r="EB51" s="23">
        <f>EXP(-LN(2)/25)*EB50+(1-EXP(-LN(2)/25))/(LN(2)/25)*Calculateur!DW51*Calculateur!DY51*VLOOKUP('Données projet'!$B$14,Paramètres!$A$1:$I$89,3,0)*0.475*44/12</f>
        <v>11.15160138110082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68.8550216948599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8.4</v>
      </c>
      <c r="EJ51" s="13">
        <f>IF('Données projet'!$A$192&gt;35,EJ50+EI51-ER50,IF(A51&lt;'Données projet'!$A$192,$EG$205^A51,IF(A51='Données projet'!$A$192,'Données projet'!$B$192,EJ50+EI51-ER50)))</f>
        <v>243.20000000000002</v>
      </c>
      <c r="EK51" s="18">
        <f>EJ51*VLOOKUP('Données projet'!$B$15,Paramètres!$A$1:$I$89,3,0)*VLOOKUP('Données projet'!$B$15,Paramètres!$A$1:$I$89,5,0)</f>
        <v>197.28384000000003</v>
      </c>
      <c r="EL51" s="14">
        <f t="shared" si="45"/>
        <v>49.146763750789503</v>
      </c>
      <c r="EM51" s="22">
        <f t="shared" si="19"/>
        <v>429.19996819929179</v>
      </c>
      <c r="EN51" s="62">
        <f t="shared" si="20"/>
        <v>722.53330153262505</v>
      </c>
      <c r="EO51" s="62">
        <f ca="1">AVERAGE(OFFSET($EN$3,0,0,'Données projet'!$E$15+1,1))-AVERAGE(OFFSET($H$3,0,0,'Données projet'!$E$15+1,1))</f>
        <v>358.75637627589799</v>
      </c>
      <c r="EP51" s="62">
        <f t="shared" si="46"/>
        <v>349.64821164483607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6.7684285072937422</v>
      </c>
      <c r="EW51" s="23">
        <f>EXP(-LN(2)/25)*EW50+(1-EXP(-LN(2)/25))/(LN(2)/25)*Calculateur!ER51*Calculateur!ET51*VLOOKUP('Données projet'!$B$15,Paramètres!$A$1:$I$89,3,0)*0.475*44/12</f>
        <v>9.3116302387044634</v>
      </c>
      <c r="EX51" s="23">
        <f>EXP(-LN(2)/2)*EX50+(1-EXP(-LN(2)/2))/(LN(2)/2)*ER51*EU51*VLOOKUP('Données projet'!$B$15,Paramètres!$A$1:$I$89,3,0)*0.475*44/12</f>
        <v>7.1218362687986625E-3</v>
      </c>
      <c r="EY51" s="24">
        <f t="shared" si="21"/>
        <v>16.087180582267003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>
        <f>FE51*VLOOKUP('Données projet'!$B$16,Paramètres!$A$1:$I$89,3,0)*VLOOKUP('Données projet'!$B$16,Paramètres!$A$1:$I$89,5,0)</f>
        <v>0</v>
      </c>
      <c r="FG51" s="14" t="e">
        <f t="shared" si="47"/>
        <v>#NUM!</v>
      </c>
      <c r="FH51" s="22" t="e">
        <f t="shared" si="22"/>
        <v>#NUM!</v>
      </c>
      <c r="FI51" s="62" t="e">
        <f t="shared" si="23"/>
        <v>#NUM!</v>
      </c>
      <c r="FJ51" s="62">
        <f ca="1">AVERAGE(OFFSET($FI$3,0,0,'Données projet'!$E$16+1,1))-AVERAGE(OFFSET($H$3,0,0,'Données projet'!$E$16+1,1))</f>
        <v>121.28977654040114</v>
      </c>
      <c r="FK51" s="62">
        <f t="shared" si="48"/>
        <v>615.69585264342595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77.746064904532474</v>
      </c>
      <c r="FR51" s="23">
        <f>EXP(-LN(2)/25)*FR50+(1-EXP(-LN(2)/25))/(LN(2)/25)*Calculateur!FM51*Calculateur!FO51*VLOOKUP('Données projet'!$B$16,Paramètres!$A$1:$I$89,3,0)*0.475*44/12</f>
        <v>15.024986734760484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92.771051639292963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251.60000000000002</v>
      </c>
      <c r="O52" s="14">
        <f>N52*VLOOKUP('Données projet'!$B$9,Paramètres!$A$1:$I$89,3,0)*VLOOKUP('Données projet'!$B$9,Paramètres!$A$1:$I$89,5,0)</f>
        <v>200.17296000000002</v>
      </c>
      <c r="P52" s="14">
        <f t="shared" si="33"/>
        <v>49.782177185856028</v>
      </c>
      <c r="Q52" s="22">
        <f t="shared" si="53"/>
        <v>435.33853059869926</v>
      </c>
      <c r="R52" s="62">
        <f t="shared" si="0"/>
        <v>728.67186393203258</v>
      </c>
      <c r="S52" s="62">
        <f ca="1">AVERAGE(OFFSET($R$3,0,0,'Données projet'!$E$9+1,1))-AVERAGE(OFFSET($H$3,0,0,'Données projet'!$E$9+1,1))</f>
        <v>352.5736659365665</v>
      </c>
      <c r="T52" s="62">
        <f t="shared" si="34"/>
        <v>343.77208530767069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9.2533689775100552</v>
      </c>
      <c r="AA52" s="23">
        <f>EXP(-LN(2)/25)*AA51+(1-EXP(-LN(2)/25))/(LN(2)/25)*Calculateur!V52*Calculateur!X52*VLOOKUP('Données projet'!$B$9,Paramètres!$A$1:$I$89,3,0)*0.475*44/12</f>
        <v>14.006381096320174</v>
      </c>
      <c r="AB52" s="23">
        <f>EXP(-LN(2)/2)*AB51+(1-EXP(-LN(2)/2))/(LN(2)/2)*V52*Y52*VLOOKUP('Données projet'!$B$9,Paramètres!$A$1:$I$89,3,0)*0.475*44/12</f>
        <v>0</v>
      </c>
      <c r="AC52" s="24">
        <f t="shared" si="3"/>
        <v>23.259750073830229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</v>
      </c>
      <c r="AI52" s="14">
        <f>IF('Données projet'!$A$62&gt;35,AI51+AH52-AQ51,IF(A52&lt;'Données projet'!$A$62,$AF$205^A52,IF(A52='Données projet'!$A$62,'Données projet'!$B$62,AI51+AH52-AQ51)))</f>
        <v>157.00000000000011</v>
      </c>
      <c r="AJ52" s="14">
        <f>AI52*VLOOKUP('Données projet'!$B$10,Paramètres!$A$1:$I$89,3,0)*VLOOKUP('Données projet'!$B$10,Paramètres!$A$1:$I$89,5,0)</f>
        <v>102.86640000000007</v>
      </c>
      <c r="AK52" s="14">
        <f t="shared" si="35"/>
        <v>27.643750580905362</v>
      </c>
      <c r="AL52" s="22">
        <f t="shared" si="4"/>
        <v>227.30517892841024</v>
      </c>
      <c r="AM52" s="62">
        <f t="shared" si="5"/>
        <v>520.63851226174359</v>
      </c>
      <c r="AN52" s="62">
        <f ca="1">AVERAGE(OFFSET($AM$3,0,0,'Données projet'!$E$10+1,1))-AVERAGE(OFFSET($H$3,0,0,'Données projet'!$E$10+1,1))</f>
        <v>210.08998695869161</v>
      </c>
      <c r="AO52" s="62">
        <f t="shared" si="36"/>
        <v>207.30911916430881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2.5510731493772918E-4</v>
      </c>
      <c r="AX52" s="23">
        <f t="shared" si="6"/>
        <v>2.5510731493772918E-4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220.00000000000003</v>
      </c>
      <c r="BE52" s="14">
        <f>BD52*VLOOKUP('Données projet'!$B$11,Paramètres!$A$1:$I$89,3,0)*VLOOKUP('Données projet'!$B$11,Paramètres!$A$1:$I$89,5,0)</f>
        <v>147.57600000000002</v>
      </c>
      <c r="BF52" s="14">
        <f t="shared" si="37"/>
        <v>38.027201687128077</v>
      </c>
      <c r="BG52" s="22">
        <f t="shared" si="7"/>
        <v>323.25890960508139</v>
      </c>
      <c r="BH52" s="62">
        <f t="shared" si="8"/>
        <v>616.59224293841476</v>
      </c>
      <c r="BI52" s="62">
        <f ca="1">AVERAGE(OFFSET($BH$3,0,0,'Données projet'!$E$11+1,1))-AVERAGE(OFFSET($H$3,0,0,'Données projet'!$E$11+1,1))</f>
        <v>335.83558218229564</v>
      </c>
      <c r="BJ52" s="62">
        <f t="shared" si="38"/>
        <v>217.08423061559648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2.8965352584631329E-2</v>
      </c>
      <c r="BS52" s="24">
        <f t="shared" si="9"/>
        <v>2.8965352584631329E-2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10.375</v>
      </c>
      <c r="BY52" s="13">
        <f>IF('Données projet'!$A$114&gt;35,BY51+BX52-CG51,IF(A52&lt;'Données projet'!$A$114,$BV$205^A52,IF(A52='Données projet'!$A$114,'Données projet'!$B$114,BY51+BX52-CG51)))</f>
        <v>238.87499999999991</v>
      </c>
      <c r="BZ52" s="14">
        <f>BY52*VLOOKUP('Données projet'!$B$12,Paramètres!$A$1:$I$89,3,0)*VLOOKUP('Données projet'!$B$12,Paramètres!$A$1:$I$89,5,0)</f>
        <v>186.32249999999993</v>
      </c>
      <c r="CA52" s="14">
        <f t="shared" si="39"/>
        <v>46.725987276254116</v>
      </c>
      <c r="CB52" s="22">
        <f t="shared" si="10"/>
        <v>405.8927820061424</v>
      </c>
      <c r="CC52" s="62">
        <f t="shared" si="11"/>
        <v>699.22611533947565</v>
      </c>
      <c r="CD52" s="62">
        <f ca="1">AVERAGE(OFFSET($CC$3,0,0,'Données projet'!$E$12+1,1))-AVERAGE(OFFSET($H$3,0,0,'Données projet'!$E$12+1,1))</f>
        <v>288.82868507674738</v>
      </c>
      <c r="CE52" s="62">
        <f t="shared" si="40"/>
        <v>283.48738729114024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2.8767329874144756</v>
      </c>
      <c r="CM52" s="23">
        <f>EXP(-LN(2)/2)*CM51+(1-EXP(-LN(2)/2))/(LN(2)/2)*CG52*CJ52*VLOOKUP('Données projet'!$B$12,Paramètres!$A$1:$I$89,3,0)*0.475*44/12</f>
        <v>3.5628372043035208E-3</v>
      </c>
      <c r="CN52" s="24">
        <f t="shared" si="12"/>
        <v>2.8802958246187793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8.4</v>
      </c>
      <c r="CT52" s="13">
        <f>IF('Données projet'!$A$140&gt;35,CT51+CS52-DB51,IF(A52&lt;'Données projet'!$A$140,$CQ$205^A52,IF(A52='Données projet'!$A$140,'Données projet'!$B$140,CT51+CS52-DB51)))</f>
        <v>251.60000000000002</v>
      </c>
      <c r="CU52" s="18">
        <f>CT52*VLOOKUP('Données projet'!$B$13,Paramètres!$A$1:$I$89,3,0)*VLOOKUP('Données projet'!$B$13,Paramètres!$A$1:$I$89,5,0)</f>
        <v>219.79776000000004</v>
      </c>
      <c r="CV52" s="14">
        <f t="shared" si="41"/>
        <v>54.070927503307388</v>
      </c>
      <c r="CW52" s="22">
        <f t="shared" si="13"/>
        <v>476.98796406826045</v>
      </c>
      <c r="CX52" s="62">
        <f t="shared" si="14"/>
        <v>770.32129740159371</v>
      </c>
      <c r="CY52" s="62">
        <f ca="1">AVERAGE(OFFSET($CX$3,0,0,'Données projet'!$E$13+1,1))-AVERAGE(OFFSET($H$3,0,0,'Données projet'!$E$13+1,1))</f>
        <v>383.46266660377637</v>
      </c>
      <c r="CZ52" s="62">
        <f t="shared" si="42"/>
        <v>373.1287543230714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9.4808999906907445</v>
      </c>
      <c r="DH52" s="23">
        <f>EXP(-LN(2)/2)*DH51+(1-EXP(-LN(2)/2))/(LN(2)/2)*DB52*DE52*VLOOKUP('Données projet'!$B$13,Paramètres!$A$1:$I$89,3,0)*0.475*44/12</f>
        <v>2.9328963948903851E-2</v>
      </c>
      <c r="DI52" s="24">
        <f t="shared" si="15"/>
        <v>9.5102289546396488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>
        <f>DO52*VLOOKUP('Données projet'!$B$14,Paramètres!$A$1:$I$89,3,0)*VLOOKUP('Données projet'!$B$14,Paramètres!$A$1:$I$89,5,0)</f>
        <v>0</v>
      </c>
      <c r="DQ52" s="14" t="e">
        <f t="shared" si="43"/>
        <v>#NUM!</v>
      </c>
      <c r="DR52" s="22" t="e">
        <f t="shared" si="16"/>
        <v>#NUM!</v>
      </c>
      <c r="DS52" s="62" t="e">
        <f t="shared" si="17"/>
        <v>#NUM!</v>
      </c>
      <c r="DT52" s="62">
        <f ca="1">AVERAGE(OFFSET($DS$3,0,0,'Données projet'!$E$14+1,1))-AVERAGE(OFFSET($H$3,0,0,'Données projet'!$E$14+1,1))</f>
        <v>96.56611521638132</v>
      </c>
      <c r="DU52" s="62">
        <f t="shared" si="44"/>
        <v>465.03257878814094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56.571891437017371</v>
      </c>
      <c r="EB52" s="23">
        <f>EXP(-LN(2)/25)*EB51+(1-EXP(-LN(2)/25))/(LN(2)/25)*Calculateur!DW52*Calculateur!DY52*VLOOKUP('Données projet'!$B$14,Paramètres!$A$1:$I$89,3,0)*0.475*44/12</f>
        <v>10.846660254897388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67.418551691914757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8.4</v>
      </c>
      <c r="EJ52" s="13">
        <f>IF('Données projet'!$A$192&gt;35,EJ51+EI52-ER51,IF(A52&lt;'Données projet'!$A$192,$EG$205^A52,IF(A52='Données projet'!$A$192,'Données projet'!$B$192,EJ51+EI52-ER51)))</f>
        <v>251.60000000000002</v>
      </c>
      <c r="EK52" s="18">
        <f>EJ52*VLOOKUP('Données projet'!$B$15,Paramètres!$A$1:$I$89,3,0)*VLOOKUP('Données projet'!$B$15,Paramètres!$A$1:$I$89,5,0)</f>
        <v>204.09792000000004</v>
      </c>
      <c r="EL52" s="14">
        <f t="shared" si="45"/>
        <v>50.643700651523019</v>
      </c>
      <c r="EM52" s="22">
        <f t="shared" si="19"/>
        <v>443.67498930140272</v>
      </c>
      <c r="EN52" s="62">
        <f t="shared" si="20"/>
        <v>737.00832263473603</v>
      </c>
      <c r="EO52" s="62">
        <f ca="1">AVERAGE(OFFSET($EN$3,0,0,'Données projet'!$E$15+1,1))-AVERAGE(OFFSET($H$3,0,0,'Données projet'!$E$15+1,1))</f>
        <v>358.75637627589799</v>
      </c>
      <c r="EP52" s="62">
        <f t="shared" si="46"/>
        <v>349.64821164483607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6.6357037525994622</v>
      </c>
      <c r="EW52" s="23">
        <f>EXP(-LN(2)/25)*EW51+(1-EXP(-LN(2)/25))/(LN(2)/25)*Calculateur!ER52*Calculateur!ET52*VLOOKUP('Données projet'!$B$15,Paramètres!$A$1:$I$89,3,0)*0.475*44/12</f>
        <v>9.0570032201497384</v>
      </c>
      <c r="EX52" s="23">
        <f>EXP(-LN(2)/2)*EX51+(1-EXP(-LN(2)/2))/(LN(2)/2)*ER52*EU52*VLOOKUP('Données projet'!$B$15,Paramètres!$A$1:$I$89,3,0)*0.475*44/12</f>
        <v>5.0358987201678338E-3</v>
      </c>
      <c r="EY52" s="24">
        <f t="shared" si="21"/>
        <v>15.697742871469368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>
        <f>FE52*VLOOKUP('Données projet'!$B$16,Paramètres!$A$1:$I$89,3,0)*VLOOKUP('Données projet'!$B$16,Paramètres!$A$1:$I$89,5,0)</f>
        <v>0</v>
      </c>
      <c r="FG52" s="14" t="e">
        <f t="shared" si="47"/>
        <v>#NUM!</v>
      </c>
      <c r="FH52" s="22" t="e">
        <f t="shared" si="22"/>
        <v>#NUM!</v>
      </c>
      <c r="FI52" s="62" t="e">
        <f t="shared" si="23"/>
        <v>#NUM!</v>
      </c>
      <c r="FJ52" s="62">
        <f ca="1">AVERAGE(OFFSET($FI$3,0,0,'Données projet'!$E$16+1,1))-AVERAGE(OFFSET($H$3,0,0,'Données projet'!$E$16+1,1))</f>
        <v>121.28977654040114</v>
      </c>
      <c r="FK52" s="62">
        <f t="shared" si="48"/>
        <v>615.69585264342595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76.221511992171813</v>
      </c>
      <c r="FR52" s="23">
        <f>EXP(-LN(2)/25)*FR51+(1-EXP(-LN(2)/25))/(LN(2)/25)*Calculateur!FM52*Calculateur!FO52*VLOOKUP('Données projet'!$B$16,Paramètres!$A$1:$I$89,3,0)*0.475*44/12</f>
        <v>14.614127682368746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90.835639674540559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260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260</v>
      </c>
      <c r="O53" s="14">
        <f>N53*VLOOKUP('Données projet'!$B$9,Paramètres!$A$1:$I$89,3,0)*VLOOKUP('Données projet'!$B$9,Paramètres!$A$1:$I$89,5,0)</f>
        <v>206.85599999999999</v>
      </c>
      <c r="P53" s="14">
        <f t="shared" si="33"/>
        <v>51.247940588293027</v>
      </c>
      <c r="Q53" s="22">
        <f t="shared" si="53"/>
        <v>449.53102985794368</v>
      </c>
      <c r="R53" s="62">
        <f t="shared" si="0"/>
        <v>742.86436319127699</v>
      </c>
      <c r="S53" s="62">
        <f ca="1">AVERAGE(OFFSET($R$3,0,0,'Données projet'!$E$9+1,1))-AVERAGE(OFFSET($H$3,0,0,'Données projet'!$E$9+1,1))</f>
        <v>352.5736659365665</v>
      </c>
      <c r="T53" s="62">
        <f t="shared" si="34"/>
        <v>343.77208530767069</v>
      </c>
      <c r="U53" s="16">
        <f>IF(ISNA(VLOOKUP(A53,'Données projet'!$A$35:$I$55,3,0)),0,VLOOKUP(A53,'Données projet'!$A$35:$I$55,3,0))</f>
        <v>9</v>
      </c>
      <c r="V53" s="16">
        <f>IF(ISNA(VLOOKUP(A53,'Données projet'!$A$35:$I$55,4,0)),0,VLOOKUP(A53,'Données projet'!$A$35:$I$55,4,0))</f>
        <v>19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9.0719160558588605</v>
      </c>
      <c r="AA53" s="23">
        <f>EXP(-LN(2)/25)*AA52+(1-EXP(-LN(2)/25))/(LN(2)/25)*Calculateur!V53*Calculateur!X53*VLOOKUP('Données projet'!$B$9,Paramètres!$A$1:$I$89,3,0)*0.475*44/12</f>
        <v>13.62337586867773</v>
      </c>
      <c r="AB53" s="23">
        <f>EXP(-LN(2)/2)*AB52+(1-EXP(-LN(2)/2))/(LN(2)/2)*V53*Y53*VLOOKUP('Données projet'!$B$9,Paramètres!$A$1:$I$89,3,0)*0.475*44/12</f>
        <v>0</v>
      </c>
      <c r="AC53" s="24">
        <f t="shared" si="3"/>
        <v>22.69529192453659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163</v>
      </c>
      <c r="AG53" s="13">
        <f>VLOOKUP(A53,'Données projet'!$A$61:$I$81,9,0)</f>
        <v>6</v>
      </c>
      <c r="AH53" s="13">
        <f t="array" ref="AH53">INDEX(AG:AG,MIN(IF(ISNUMBER(AG53:AG249),ROW(AG53:AG249),"")))</f>
        <v>6</v>
      </c>
      <c r="AI53" s="14">
        <f>IF('Données projet'!$A$62&gt;35,AI52+AH53-AQ52,IF(A53&lt;'Données projet'!$A$62,$AF$205^A53,IF(A53='Données projet'!$A$62,'Données projet'!$B$62,AI52+AH53-AQ52)))</f>
        <v>163.00000000000011</v>
      </c>
      <c r="AJ53" s="14">
        <f>AI53*VLOOKUP('Données projet'!$B$10,Paramètres!$A$1:$I$89,3,0)*VLOOKUP('Données projet'!$B$10,Paramètres!$A$1:$I$89,5,0)</f>
        <v>106.79760000000009</v>
      </c>
      <c r="AK53" s="14">
        <f t="shared" si="35"/>
        <v>28.575181674561119</v>
      </c>
      <c r="AL53" s="22">
        <f t="shared" si="4"/>
        <v>235.77426141652742</v>
      </c>
      <c r="AM53" s="62">
        <f t="shared" si="5"/>
        <v>529.10759474986071</v>
      </c>
      <c r="AN53" s="62">
        <f ca="1">AVERAGE(OFFSET($AM$3,0,0,'Données projet'!$E$10+1,1))-AVERAGE(OFFSET($H$3,0,0,'Données projet'!$E$10+1,1))</f>
        <v>210.08998695869161</v>
      </c>
      <c r="AO53" s="62">
        <f t="shared" si="36"/>
        <v>207.30911916430881</v>
      </c>
      <c r="AP53" s="16">
        <f>IF(ISNA(VLOOKUP(A53,'Données projet'!$A$61:$I$81,3,0)),0,VLOOKUP(A53,'Données projet'!$A$61:$I$81,3,0))</f>
        <v>9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1.8038811232276054E-4</v>
      </c>
      <c r="AX53" s="23">
        <f t="shared" si="6"/>
        <v>1.8038811232276054E-4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231.00000000000003</v>
      </c>
      <c r="BE53" s="14">
        <f>BD53*VLOOKUP('Données projet'!$B$11,Paramètres!$A$1:$I$89,3,0)*VLOOKUP('Données projet'!$B$11,Paramètres!$A$1:$I$89,5,0)</f>
        <v>154.95480000000003</v>
      </c>
      <c r="BF53" s="14">
        <f t="shared" si="37"/>
        <v>39.702443168641857</v>
      </c>
      <c r="BG53" s="22">
        <f t="shared" si="7"/>
        <v>339.02803185205124</v>
      </c>
      <c r="BH53" s="62">
        <f t="shared" si="8"/>
        <v>632.36136518538456</v>
      </c>
      <c r="BI53" s="62">
        <f ca="1">AVERAGE(OFFSET($BH$3,0,0,'Données projet'!$E$11+1,1))-AVERAGE(OFFSET($H$3,0,0,'Données projet'!$E$11+1,1))</f>
        <v>335.83558218229564</v>
      </c>
      <c r="BJ53" s="62">
        <f t="shared" si="38"/>
        <v>217.08423061559648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2.0481597232052104E-2</v>
      </c>
      <c r="BS53" s="24">
        <f t="shared" si="9"/>
        <v>2.0481597232052104E-2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10.375</v>
      </c>
      <c r="BY53" s="13">
        <f>IF('Données projet'!$A$114&gt;35,BY52+BX53-CG52,IF(A53&lt;'Données projet'!$A$114,$BV$205^A53,IF(A53='Données projet'!$A$114,'Données projet'!$B$114,BY52+BX53-CG52)))</f>
        <v>249.24999999999991</v>
      </c>
      <c r="BZ53" s="14">
        <f>BY53*VLOOKUP('Données projet'!$B$12,Paramètres!$A$1:$I$89,3,0)*VLOOKUP('Données projet'!$B$12,Paramètres!$A$1:$I$89,5,0)</f>
        <v>194.41499999999994</v>
      </c>
      <c r="CA53" s="14">
        <f t="shared" si="39"/>
        <v>48.514737888684927</v>
      </c>
      <c r="CB53" s="22">
        <f t="shared" si="10"/>
        <v>423.10262682279273</v>
      </c>
      <c r="CC53" s="62">
        <f t="shared" si="11"/>
        <v>716.43596015612604</v>
      </c>
      <c r="CD53" s="62">
        <f ca="1">AVERAGE(OFFSET($CC$3,0,0,'Données projet'!$E$12+1,1))-AVERAGE(OFFSET($H$3,0,0,'Données projet'!$E$12+1,1))</f>
        <v>288.82868507674738</v>
      </c>
      <c r="CE53" s="62">
        <f t="shared" si="40"/>
        <v>283.48738729114024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2.7980685725928138</v>
      </c>
      <c r="CM53" s="23">
        <f>EXP(-LN(2)/2)*CM52+(1-EXP(-LN(2)/2))/(LN(2)/2)*CG53*CJ53*VLOOKUP('Données projet'!$B$12,Paramètres!$A$1:$I$89,3,0)*0.475*44/12</f>
        <v>2.5193063474267404E-3</v>
      </c>
      <c r="CN53" s="24">
        <f t="shared" si="12"/>
        <v>2.8005878789402407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260</v>
      </c>
      <c r="CR53" s="13">
        <f>VLOOKUP(A53,'Données projet'!$A$139:$I$159,9,0)</f>
        <v>8.4</v>
      </c>
      <c r="CS53" s="13">
        <f t="array" ref="CS53">INDEX(CR:CR,MIN(IF(ISNUMBER(CR53:CR249),ROW(CR53:CR249),"")))</f>
        <v>8.4</v>
      </c>
      <c r="CT53" s="13">
        <f>IF('Données projet'!$A$140&gt;35,CT52+CS53-DB52,IF(A53&lt;'Données projet'!$A$140,$CQ$205^A53,IF(A53='Données projet'!$A$140,'Données projet'!$B$140,CT52+CS53-DB52)))</f>
        <v>260</v>
      </c>
      <c r="CU53" s="18">
        <f>CT53*VLOOKUP('Données projet'!$B$13,Paramètres!$A$1:$I$89,3,0)*VLOOKUP('Données projet'!$B$13,Paramètres!$A$1:$I$89,5,0)</f>
        <v>227.13600000000005</v>
      </c>
      <c r="CV53" s="14">
        <f t="shared" si="41"/>
        <v>55.662966886685133</v>
      </c>
      <c r="CW53" s="22">
        <f t="shared" si="13"/>
        <v>492.54153399430999</v>
      </c>
      <c r="CX53" s="62">
        <f t="shared" si="14"/>
        <v>785.8748673276433</v>
      </c>
      <c r="CY53" s="62">
        <f ca="1">AVERAGE(OFFSET($CX$3,0,0,'Données projet'!$E$13+1,1))-AVERAGE(OFFSET($H$3,0,0,'Données projet'!$E$13+1,1))</f>
        <v>383.46266660377637</v>
      </c>
      <c r="CZ53" s="62">
        <f t="shared" si="42"/>
        <v>373.1287543230714</v>
      </c>
      <c r="DA53" s="16">
        <f>IF(ISNA(VLOOKUP(A53,'Données projet'!$A$139:$I$159,3,0)),0,VLOOKUP(A53,'Données projet'!$A$139:$I$159,3,0))</f>
        <v>9</v>
      </c>
      <c r="DB53" s="16">
        <f>IF(ISNA(VLOOKUP(A53,'Données projet'!$A$139:$I$159,4,0)),0,VLOOKUP(A53,'Données projet'!$A$139:$I$159,4,0))</f>
        <v>19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9.2216442818664444</v>
      </c>
      <c r="DH53" s="23">
        <f>EXP(-LN(2)/2)*DH52+(1-EXP(-LN(2)/2))/(LN(2)/2)*DB53*DE53*VLOOKUP('Données projet'!$B$13,Paramètres!$A$1:$I$89,3,0)*0.475*44/12</f>
        <v>2.0738709293445696E-2</v>
      </c>
      <c r="DI53" s="24">
        <f t="shared" si="15"/>
        <v>9.2423829911598894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>
        <f>DO53*VLOOKUP('Données projet'!$B$14,Paramètres!$A$1:$I$89,3,0)*VLOOKUP('Données projet'!$B$14,Paramètres!$A$1:$I$89,5,0)</f>
        <v>0</v>
      </c>
      <c r="DQ53" s="14" t="e">
        <f t="shared" si="43"/>
        <v>#NUM!</v>
      </c>
      <c r="DR53" s="22" t="e">
        <f t="shared" si="16"/>
        <v>#NUM!</v>
      </c>
      <c r="DS53" s="62" t="e">
        <f t="shared" si="17"/>
        <v>#NUM!</v>
      </c>
      <c r="DT53" s="62">
        <f ca="1">AVERAGE(OFFSET($DS$3,0,0,'Données projet'!$E$14+1,1))-AVERAGE(OFFSET($H$3,0,0,'Données projet'!$E$14+1,1))</f>
        <v>96.56611521638132</v>
      </c>
      <c r="DU53" s="62">
        <f t="shared" si="44"/>
        <v>465.03257878814094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55.462551151384105</v>
      </c>
      <c r="EB53" s="23">
        <f>EXP(-LN(2)/25)*EB52+(1-EXP(-LN(2)/25))/(LN(2)/25)*Calculateur!DW53*Calculateur!DY53*VLOOKUP('Données projet'!$B$14,Paramètres!$A$1:$I$89,3,0)*0.475*44/12</f>
        <v>10.550057759826148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66.012608911210251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260</v>
      </c>
      <c r="EH53" s="13">
        <f>VLOOKUP(A53,'Données projet'!$A$191:$I$211,9,0)</f>
        <v>8.4</v>
      </c>
      <c r="EI53" s="13">
        <f t="array" ref="EI53">INDEX(EH:EH,MIN(IF(ISNUMBER(EH53:EH249),ROW(EH53:EH249),"")))</f>
        <v>8.4</v>
      </c>
      <c r="EJ53" s="13">
        <f>IF('Données projet'!$A$192&gt;35,EJ52+EI53-ER52,IF(A53&lt;'Données projet'!$A$192,$EG$205^A53,IF(A53='Données projet'!$A$192,'Données projet'!$B$192,EJ52+EI53-ER52)))</f>
        <v>260</v>
      </c>
      <c r="EK53" s="18">
        <f>EJ53*VLOOKUP('Données projet'!$B$15,Paramètres!$A$1:$I$89,3,0)*VLOOKUP('Données projet'!$B$15,Paramètres!$A$1:$I$89,5,0)</f>
        <v>210.91200000000003</v>
      </c>
      <c r="EL53" s="14">
        <f t="shared" si="45"/>
        <v>52.134830352456831</v>
      </c>
      <c r="EM53" s="22">
        <f t="shared" si="19"/>
        <v>458.1398961971957</v>
      </c>
      <c r="EN53" s="62">
        <f t="shared" si="20"/>
        <v>751.47322953052901</v>
      </c>
      <c r="EO53" s="62">
        <f ca="1">AVERAGE(OFFSET($EN$3,0,0,'Données projet'!$E$15+1,1))-AVERAGE(OFFSET($H$3,0,0,'Données projet'!$E$15+1,1))</f>
        <v>358.75637627589799</v>
      </c>
      <c r="EP53" s="62">
        <f t="shared" si="46"/>
        <v>349.64821164483607</v>
      </c>
      <c r="EQ53" s="16">
        <f>IF(ISNA(VLOOKUP(A53,'Données projet'!$A$191:$I$211,3,0)),0,VLOOKUP(A53,'Données projet'!$A$191:$I$211,3,0))</f>
        <v>9</v>
      </c>
      <c r="ER53" s="16">
        <f>IF(ISNA(VLOOKUP(A53,'Données projet'!$A$191:$I$211,4,0)),0,VLOOKUP(A53,'Données projet'!$A$191:$I$211,4,0))</f>
        <v>19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6.5055816493906304</v>
      </c>
      <c r="EW53" s="23">
        <f>EXP(-LN(2)/25)*EW52+(1-EXP(-LN(2)/25))/(LN(2)/25)*Calculateur!ER53*Calculateur!ET53*VLOOKUP('Données projet'!$B$15,Paramètres!$A$1:$I$89,3,0)*0.475*44/12</f>
        <v>8.8093389908076443</v>
      </c>
      <c r="EX53" s="23">
        <f>EXP(-LN(2)/2)*EX52+(1-EXP(-LN(2)/2))/(LN(2)/2)*ER53*EU53*VLOOKUP('Données projet'!$B$15,Paramètres!$A$1:$I$89,3,0)*0.475*44/12</f>
        <v>3.5609181343993312E-3</v>
      </c>
      <c r="EY53" s="24">
        <f t="shared" si="21"/>
        <v>15.318481558332673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>
        <f>FE53*VLOOKUP('Données projet'!$B$16,Paramètres!$A$1:$I$89,3,0)*VLOOKUP('Données projet'!$B$16,Paramètres!$A$1:$I$89,5,0)</f>
        <v>0</v>
      </c>
      <c r="FG53" s="14" t="e">
        <f t="shared" si="47"/>
        <v>#NUM!</v>
      </c>
      <c r="FH53" s="22" t="e">
        <f t="shared" si="22"/>
        <v>#NUM!</v>
      </c>
      <c r="FI53" s="62" t="e">
        <f t="shared" si="23"/>
        <v>#NUM!</v>
      </c>
      <c r="FJ53" s="62">
        <f ca="1">AVERAGE(OFFSET($FI$3,0,0,'Données projet'!$E$16+1,1))-AVERAGE(OFFSET($H$3,0,0,'Données projet'!$E$16+1,1))</f>
        <v>121.28977654040114</v>
      </c>
      <c r="FK53" s="62">
        <f t="shared" si="48"/>
        <v>615.69585264342595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74.726854632537083</v>
      </c>
      <c r="FR53" s="23">
        <f>EXP(-LN(2)/25)*FR52+(1-EXP(-LN(2)/25))/(LN(2)/25)*Calculateur!FM53*Calculateur!FO53*VLOOKUP('Données projet'!$B$16,Paramètres!$A$1:$I$89,3,0)*0.475*44/12</f>
        <v>14.214503592370798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88.941358224907887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7.4</v>
      </c>
      <c r="N54" s="14">
        <f>IF('Données projet'!$A$36&gt;35,N53+M54-V53,IF(A54&lt;'Données projet'!$A$36,$K$205^A54,IF(A54='Données projet'!$A$36,'Données projet'!$B$36,N53+M54-V53)))</f>
        <v>248.39999999999998</v>
      </c>
      <c r="O54" s="14">
        <f>N54*VLOOKUP('Données projet'!$B$9,Paramètres!$A$1:$I$89,3,0)*VLOOKUP('Données projet'!$B$9,Paramètres!$A$1:$I$89,5,0)</f>
        <v>197.62703999999999</v>
      </c>
      <c r="P54" s="14">
        <f t="shared" si="33"/>
        <v>49.222301224260015</v>
      </c>
      <c r="Q54" s="22">
        <f t="shared" si="53"/>
        <v>429.92926929891951</v>
      </c>
      <c r="R54" s="62">
        <f t="shared" si="0"/>
        <v>723.26260263225277</v>
      </c>
      <c r="S54" s="62">
        <f ca="1">AVERAGE(OFFSET($R$3,0,0,'Données projet'!$E$9+1,1))-AVERAGE(OFFSET($H$3,0,0,'Données projet'!$E$9+1,1))</f>
        <v>352.5736659365665</v>
      </c>
      <c r="T54" s="62">
        <f t="shared" si="34"/>
        <v>343.77208530767069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8.894021315325892</v>
      </c>
      <c r="AA54" s="23">
        <f>EXP(-LN(2)/25)*AA53+(1-EXP(-LN(2)/25))/(LN(2)/25)*Calculateur!V54*Calculateur!X54*VLOOKUP('Données projet'!$B$9,Paramètres!$A$1:$I$89,3,0)*0.475*44/12</f>
        <v>13.250843939126538</v>
      </c>
      <c r="AB54" s="23">
        <f>EXP(-LN(2)/2)*AB53+(1-EXP(-LN(2)/2))/(LN(2)/2)*V54*Y54*VLOOKUP('Données projet'!$B$9,Paramètres!$A$1:$I$89,3,0)*0.475*44/12</f>
        <v>0</v>
      </c>
      <c r="AC54" s="24">
        <f t="shared" si="3"/>
        <v>22.14486525445243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5.8</v>
      </c>
      <c r="AI54" s="14">
        <f>IF('Données projet'!$A$62&gt;35,AI53+AH54-AQ53,IF(A54&lt;'Données projet'!$A$62,$AF$205^A54,IF(A54='Données projet'!$A$62,'Données projet'!$B$62,AI53+AH54-AQ53)))</f>
        <v>147.80000000000013</v>
      </c>
      <c r="AJ54" s="14">
        <f>AI54*VLOOKUP('Données projet'!$B$10,Paramètres!$A$1:$I$89,3,0)*VLOOKUP('Données projet'!$B$10,Paramètres!$A$1:$I$89,5,0)</f>
        <v>96.838560000000086</v>
      </c>
      <c r="AK54" s="14">
        <f t="shared" si="35"/>
        <v>26.207425681432216</v>
      </c>
      <c r="AL54" s="22">
        <f t="shared" si="4"/>
        <v>214.3050917284946</v>
      </c>
      <c r="AM54" s="62">
        <f t="shared" si="5"/>
        <v>507.63842506182789</v>
      </c>
      <c r="AN54" s="62">
        <f ca="1">AVERAGE(OFFSET($AM$3,0,0,'Données projet'!$E$10+1,1))-AVERAGE(OFFSET($H$3,0,0,'Données projet'!$E$10+1,1))</f>
        <v>210.08998695869161</v>
      </c>
      <c r="AO54" s="62">
        <f t="shared" si="36"/>
        <v>207.30911916430881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1.2755365746886459E-4</v>
      </c>
      <c r="AX54" s="23">
        <f t="shared" si="6"/>
        <v>1.2755365746886459E-4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213.20000000000002</v>
      </c>
      <c r="BE54" s="14">
        <f>BD54*VLOOKUP('Données projet'!$B$11,Paramètres!$A$1:$I$89,3,0)*VLOOKUP('Données projet'!$B$11,Paramètres!$A$1:$I$89,5,0)</f>
        <v>143.01456000000002</v>
      </c>
      <c r="BF54" s="14">
        <f t="shared" si="37"/>
        <v>36.986740267426583</v>
      </c>
      <c r="BG54" s="22">
        <f t="shared" si="7"/>
        <v>313.50226463243462</v>
      </c>
      <c r="BH54" s="62">
        <f t="shared" si="8"/>
        <v>606.83559796576787</v>
      </c>
      <c r="BI54" s="62">
        <f ca="1">AVERAGE(OFFSET($BH$3,0,0,'Données projet'!$E$11+1,1))-AVERAGE(OFFSET($H$3,0,0,'Données projet'!$E$11+1,1))</f>
        <v>335.83558218229564</v>
      </c>
      <c r="BJ54" s="62">
        <f t="shared" si="38"/>
        <v>217.08423061559648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1.4482676292315665E-2</v>
      </c>
      <c r="BS54" s="24">
        <f t="shared" si="9"/>
        <v>1.4482676292315665E-2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10.375</v>
      </c>
      <c r="BY54" s="13">
        <f>IF('Données projet'!$A$114&gt;35,BY53+BX54-CG53,IF(A54&lt;'Données projet'!$A$114,$BV$205^A54,IF(A54='Données projet'!$A$114,'Données projet'!$B$114,BY53+BX54-CG53)))</f>
        <v>259.62499999999989</v>
      </c>
      <c r="BZ54" s="14">
        <f>BY54*VLOOKUP('Données projet'!$B$12,Paramètres!$A$1:$I$89,3,0)*VLOOKUP('Données projet'!$B$12,Paramètres!$A$1:$I$89,5,0)</f>
        <v>202.50749999999991</v>
      </c>
      <c r="CA54" s="14">
        <f t="shared" si="39"/>
        <v>50.294840086606349</v>
      </c>
      <c r="CB54" s="22">
        <f t="shared" si="10"/>
        <v>440.29740898417253</v>
      </c>
      <c r="CC54" s="62">
        <f t="shared" si="11"/>
        <v>733.63074231750579</v>
      </c>
      <c r="CD54" s="62">
        <f ca="1">AVERAGE(OFFSET($CC$3,0,0,'Données projet'!$E$12+1,1))-AVERAGE(OFFSET($H$3,0,0,'Données projet'!$E$12+1,1))</f>
        <v>288.82868507674738</v>
      </c>
      <c r="CE54" s="62">
        <f t="shared" si="40"/>
        <v>283.48738729114024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2.7215552403312322</v>
      </c>
      <c r="CM54" s="23">
        <f>EXP(-LN(2)/2)*CM53+(1-EXP(-LN(2)/2))/(LN(2)/2)*CG54*CJ54*VLOOKUP('Données projet'!$B$12,Paramètres!$A$1:$I$89,3,0)*0.475*44/12</f>
        <v>1.7814186021517604E-3</v>
      </c>
      <c r="CN54" s="24">
        <f t="shared" si="12"/>
        <v>2.7233366589333841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7.4</v>
      </c>
      <c r="CT54" s="13">
        <f>IF('Données projet'!$A$140&gt;35,CT53+CS54-DB53,IF(A54&lt;'Données projet'!$A$140,$CQ$205^A54,IF(A54='Données projet'!$A$140,'Données projet'!$B$140,CT53+CS54-DB53)))</f>
        <v>248.39999999999998</v>
      </c>
      <c r="CU54" s="18">
        <f>CT54*VLOOKUP('Données projet'!$B$13,Paramètres!$A$1:$I$89,3,0)*VLOOKUP('Données projet'!$B$13,Paramètres!$A$1:$I$89,5,0)</f>
        <v>217.00224000000003</v>
      </c>
      <c r="CV54" s="14">
        <f t="shared" si="41"/>
        <v>53.462818050454821</v>
      </c>
      <c r="CW54" s="22">
        <f t="shared" si="13"/>
        <v>471.05997610454216</v>
      </c>
      <c r="CX54" s="62">
        <f t="shared" si="14"/>
        <v>764.39330943787547</v>
      </c>
      <c r="CY54" s="62">
        <f ca="1">AVERAGE(OFFSET($CX$3,0,0,'Données projet'!$E$13+1,1))-AVERAGE(OFFSET($H$3,0,0,'Données projet'!$E$13+1,1))</f>
        <v>383.46266660377637</v>
      </c>
      <c r="CZ54" s="62">
        <f t="shared" si="42"/>
        <v>373.1287543230714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8.9694779340336108</v>
      </c>
      <c r="DH54" s="23">
        <f>EXP(-LN(2)/2)*DH53+(1-EXP(-LN(2)/2))/(LN(2)/2)*DB54*DE54*VLOOKUP('Données projet'!$B$13,Paramètres!$A$1:$I$89,3,0)*0.475*44/12</f>
        <v>1.4664481974451925E-2</v>
      </c>
      <c r="DI54" s="24">
        <f t="shared" si="15"/>
        <v>8.9841424160080621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>
        <f>DO54*VLOOKUP('Données projet'!$B$14,Paramètres!$A$1:$I$89,3,0)*VLOOKUP('Données projet'!$B$14,Paramètres!$A$1:$I$89,5,0)</f>
        <v>0</v>
      </c>
      <c r="DQ54" s="14" t="e">
        <f t="shared" si="43"/>
        <v>#NUM!</v>
      </c>
      <c r="DR54" s="22" t="e">
        <f t="shared" si="16"/>
        <v>#NUM!</v>
      </c>
      <c r="DS54" s="62" t="e">
        <f t="shared" si="17"/>
        <v>#NUM!</v>
      </c>
      <c r="DT54" s="62">
        <f ca="1">AVERAGE(OFFSET($DS$3,0,0,'Données projet'!$E$14+1,1))-AVERAGE(OFFSET($H$3,0,0,'Données projet'!$E$14+1,1))</f>
        <v>96.56611521638132</v>
      </c>
      <c r="DU54" s="62">
        <f t="shared" si="44"/>
        <v>465.03257878814094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54.374964352121346</v>
      </c>
      <c r="EB54" s="23">
        <f>EXP(-LN(2)/25)*EB53+(1-EXP(-LN(2)/25))/(LN(2)/25)*Calculateur!DW54*Calculateur!DY54*VLOOKUP('Données projet'!$B$14,Paramètres!$A$1:$I$89,3,0)*0.475*44/12</f>
        <v>10.261565875580276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64.636530227701627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7.4</v>
      </c>
      <c r="EJ54" s="13">
        <f>IF('Données projet'!$A$192&gt;35,EJ53+EI54-ER53,IF(A54&lt;'Données projet'!$A$192,$EG$205^A54,IF(A54='Données projet'!$A$192,'Données projet'!$B$192,EJ53+EI54-ER53)))</f>
        <v>248.39999999999998</v>
      </c>
      <c r="EK54" s="18">
        <f>EJ54*VLOOKUP('Données projet'!$B$15,Paramètres!$A$1:$I$89,3,0)*VLOOKUP('Données projet'!$B$15,Paramètres!$A$1:$I$89,5,0)</f>
        <v>201.50208000000001</v>
      </c>
      <c r="EL54" s="14">
        <f t="shared" si="45"/>
        <v>50.074135554054642</v>
      </c>
      <c r="EM54" s="22">
        <f t="shared" si="19"/>
        <v>438.16190875664512</v>
      </c>
      <c r="EN54" s="62">
        <f t="shared" si="20"/>
        <v>731.49524208997843</v>
      </c>
      <c r="EO54" s="62">
        <f ca="1">AVERAGE(OFFSET($EN$3,0,0,'Données projet'!$E$15+1,1))-AVERAGE(OFFSET($H$3,0,0,'Données projet'!$E$15+1,1))</f>
        <v>358.75637627589799</v>
      </c>
      <c r="EP54" s="62">
        <f t="shared" si="46"/>
        <v>349.64821164483607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6.378011161259078</v>
      </c>
      <c r="EW54" s="23">
        <f>EXP(-LN(2)/25)*EW53+(1-EXP(-LN(2)/25))/(LN(2)/25)*Calculateur!ER54*Calculateur!ET54*VLOOKUP('Données projet'!$B$15,Paramètres!$A$1:$I$89,3,0)*0.475*44/12</f>
        <v>8.5684471528410064</v>
      </c>
      <c r="EX54" s="23">
        <f>EXP(-LN(2)/2)*EX53+(1-EXP(-LN(2)/2))/(LN(2)/2)*ER54*EU54*VLOOKUP('Données projet'!$B$15,Paramètres!$A$1:$I$89,3,0)*0.475*44/12</f>
        <v>2.5179493600839169E-3</v>
      </c>
      <c r="EY54" s="24">
        <f t="shared" si="21"/>
        <v>14.948976263460168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>
        <f>FE54*VLOOKUP('Données projet'!$B$16,Paramètres!$A$1:$I$89,3,0)*VLOOKUP('Données projet'!$B$16,Paramètres!$A$1:$I$89,5,0)</f>
        <v>0</v>
      </c>
      <c r="FG54" s="14" t="e">
        <f t="shared" si="47"/>
        <v>#NUM!</v>
      </c>
      <c r="FH54" s="22" t="e">
        <f t="shared" si="22"/>
        <v>#NUM!</v>
      </c>
      <c r="FI54" s="62" t="e">
        <f t="shared" si="23"/>
        <v>#NUM!</v>
      </c>
      <c r="FJ54" s="62">
        <f ca="1">AVERAGE(OFFSET($FI$3,0,0,'Données projet'!$E$16+1,1))-AVERAGE(OFFSET($H$3,0,0,'Données projet'!$E$16+1,1))</f>
        <v>121.28977654040114</v>
      </c>
      <c r="FK54" s="62">
        <f t="shared" si="48"/>
        <v>615.69585264342595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73.261506592073815</v>
      </c>
      <c r="FR54" s="23">
        <f>EXP(-LN(2)/25)*FR53+(1-EXP(-LN(2)/25))/(LN(2)/25)*Calculateur!FM54*Calculateur!FO54*VLOOKUP('Données projet'!$B$16,Paramètres!$A$1:$I$89,3,0)*0.475*44/12</f>
        <v>13.825807244129162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87.087313836202981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7.4</v>
      </c>
      <c r="N55" s="14">
        <f>IF('Données projet'!$A$36&gt;35,N54+M55-V54,IF(A55&lt;'Données projet'!$A$36,$K$205^A55,IF(A55='Données projet'!$A$36,'Données projet'!$B$36,N54+M55-V54)))</f>
        <v>255.79999999999998</v>
      </c>
      <c r="O55" s="14">
        <f>N55*VLOOKUP('Données projet'!$B$9,Paramètres!$A$1:$I$89,3,0)*VLOOKUP('Données projet'!$B$9,Paramètres!$A$1:$I$89,5,0)</f>
        <v>203.51447999999999</v>
      </c>
      <c r="P55" s="14">
        <f t="shared" si="33"/>
        <v>50.515759254811513</v>
      </c>
      <c r="Q55" s="22">
        <f t="shared" si="53"/>
        <v>442.43600003546334</v>
      </c>
      <c r="R55" s="62">
        <f t="shared" si="0"/>
        <v>735.76933336879665</v>
      </c>
      <c r="S55" s="62">
        <f ca="1">AVERAGE(OFFSET($R$3,0,0,'Données projet'!$E$9+1,1))-AVERAGE(OFFSET($H$3,0,0,'Données projet'!$E$9+1,1))</f>
        <v>352.5736659365665</v>
      </c>
      <c r="T55" s="62">
        <f t="shared" si="34"/>
        <v>343.77208530767069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8.7196149821496967</v>
      </c>
      <c r="AA55" s="23">
        <f>EXP(-LN(2)/25)*AA54+(1-EXP(-LN(2)/25))/(LN(2)/25)*Calculateur!V55*Calculateur!X55*VLOOKUP('Données projet'!$B$9,Paramètres!$A$1:$I$89,3,0)*0.475*44/12</f>
        <v>12.888498914779525</v>
      </c>
      <c r="AB55" s="23">
        <f>EXP(-LN(2)/2)*AB54+(1-EXP(-LN(2)/2))/(LN(2)/2)*V55*Y55*VLOOKUP('Données projet'!$B$9,Paramètres!$A$1:$I$89,3,0)*0.475*44/12</f>
        <v>0</v>
      </c>
      <c r="AC55" s="24">
        <f t="shared" si="3"/>
        <v>21.608113896929222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5.8</v>
      </c>
      <c r="AI55" s="14">
        <f>IF('Données projet'!$A$62&gt;35,AI54+AH55-AQ54,IF(A55&lt;'Données projet'!$A$62,$AF$205^A55,IF(A55='Données projet'!$A$62,'Données projet'!$B$62,AI54+AH55-AQ54)))</f>
        <v>153.60000000000014</v>
      </c>
      <c r="AJ55" s="14">
        <f>AI55*VLOOKUP('Données projet'!$B$10,Paramètres!$A$1:$I$89,3,0)*VLOOKUP('Données projet'!$B$10,Paramètres!$A$1:$I$89,5,0)</f>
        <v>100.63872000000009</v>
      </c>
      <c r="AK55" s="14">
        <f t="shared" si="35"/>
        <v>27.114107349094599</v>
      </c>
      <c r="AL55" s="22">
        <f t="shared" si="4"/>
        <v>222.50284096633993</v>
      </c>
      <c r="AM55" s="62">
        <f t="shared" si="5"/>
        <v>515.8361742996733</v>
      </c>
      <c r="AN55" s="62">
        <f ca="1">AVERAGE(OFFSET($AM$3,0,0,'Données projet'!$E$10+1,1))-AVERAGE(OFFSET($H$3,0,0,'Données projet'!$E$10+1,1))</f>
        <v>210.08998695869161</v>
      </c>
      <c r="AO55" s="62">
        <f t="shared" si="36"/>
        <v>207.30911916430881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9.0194056161380272E-5</v>
      </c>
      <c r="AX55" s="23">
        <f t="shared" si="6"/>
        <v>9.0194056161380272E-5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223.4</v>
      </c>
      <c r="BE55" s="14">
        <f>BD55*VLOOKUP('Données projet'!$B$11,Paramètres!$A$1:$I$89,3,0)*VLOOKUP('Données projet'!$B$11,Paramètres!$A$1:$I$89,5,0)</f>
        <v>149.85672</v>
      </c>
      <c r="BF55" s="14">
        <f t="shared" si="37"/>
        <v>38.546022915923054</v>
      </c>
      <c r="BG55" s="22">
        <f t="shared" si="7"/>
        <v>328.13477724523267</v>
      </c>
      <c r="BH55" s="62">
        <f t="shared" si="8"/>
        <v>621.46811057856598</v>
      </c>
      <c r="BI55" s="62">
        <f ca="1">AVERAGE(OFFSET($BH$3,0,0,'Données projet'!$E$11+1,1))-AVERAGE(OFFSET($H$3,0,0,'Données projet'!$E$11+1,1))</f>
        <v>335.83558218229564</v>
      </c>
      <c r="BJ55" s="62">
        <f t="shared" si="38"/>
        <v>217.08423061559648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1.0240798616026052E-2</v>
      </c>
      <c r="BS55" s="24">
        <f t="shared" si="9"/>
        <v>1.0240798616026052E-2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>
        <f>VLOOKUP(A55,'Données projet'!$A$113:$I$133,2,0)</f>
        <v>270</v>
      </c>
      <c r="BW55" s="13">
        <f>VLOOKUP(A55,'Données projet'!$A$113:$I$133,9,0)</f>
        <v>10.375</v>
      </c>
      <c r="BX55" s="13">
        <f t="array" ref="BX55">INDEX(BW:BW,MIN(IF(ISNUMBER(BW55:BW251),ROW(BW55:BW251),"")))</f>
        <v>10.375</v>
      </c>
      <c r="BY55" s="13">
        <f>IF('Données projet'!$A$114&gt;35,BY54+BX55-CG54,IF(A55&lt;'Données projet'!$A$114,$BV$205^A55,IF(A55='Données projet'!$A$114,'Données projet'!$B$114,BY54+BX55-CG54)))</f>
        <v>269.99999999999989</v>
      </c>
      <c r="BZ55" s="14">
        <f>BY55*VLOOKUP('Données projet'!$B$12,Paramètres!$A$1:$I$89,3,0)*VLOOKUP('Données projet'!$B$12,Paramètres!$A$1:$I$89,5,0)</f>
        <v>210.59999999999991</v>
      </c>
      <c r="CA55" s="14">
        <f t="shared" si="39"/>
        <v>52.066679014659961</v>
      </c>
      <c r="CB55" s="22">
        <f t="shared" si="10"/>
        <v>457.47779928386586</v>
      </c>
      <c r="CC55" s="62">
        <f t="shared" si="11"/>
        <v>750.81113261719918</v>
      </c>
      <c r="CD55" s="62">
        <f ca="1">AVERAGE(OFFSET($CC$3,0,0,'Données projet'!$E$12+1,1))-AVERAGE(OFFSET($H$3,0,0,'Données projet'!$E$12+1,1))</f>
        <v>288.82868507674738</v>
      </c>
      <c r="CE55" s="62">
        <f t="shared" si="40"/>
        <v>283.48738729114024</v>
      </c>
      <c r="CF55" s="16">
        <f>IF(ISNA(VLOOKUP(A55,'Données projet'!$A$113:$I$133,3,0)),0,VLOOKUP(A55,'Données projet'!$A$113:$I$133,3,0))</f>
        <v>7</v>
      </c>
      <c r="CG55" s="16">
        <f>IF(ISNA(VLOOKUP(A55,'Données projet'!$A$113:$I$133,4,0)),0,VLOOKUP(A55,'Données projet'!$A$113:$I$133,4,0))</f>
        <v>48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2.6471341691640049</v>
      </c>
      <c r="CM55" s="23">
        <f>EXP(-LN(2)/2)*CM54+(1-EXP(-LN(2)/2))/(LN(2)/2)*CG55*CJ55*VLOOKUP('Données projet'!$B$12,Paramètres!$A$1:$I$89,3,0)*0.475*44/12</f>
        <v>1.2596531737133702E-3</v>
      </c>
      <c r="CN55" s="24">
        <f t="shared" si="12"/>
        <v>2.6483938223377184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7.4</v>
      </c>
      <c r="CT55" s="13">
        <f>IF('Données projet'!$A$140&gt;35,CT54+CS55-DB54,IF(A55&lt;'Données projet'!$A$140,$CQ$205^A55,IF(A55='Données projet'!$A$140,'Données projet'!$B$140,CT54+CS55-DB54)))</f>
        <v>255.79999999999998</v>
      </c>
      <c r="CU55" s="18">
        <f>CT55*VLOOKUP('Données projet'!$B$13,Paramètres!$A$1:$I$89,3,0)*VLOOKUP('Données projet'!$B$13,Paramètres!$A$1:$I$89,5,0)</f>
        <v>223.46688</v>
      </c>
      <c r="CV55" s="14">
        <f t="shared" si="41"/>
        <v>54.867707899635406</v>
      </c>
      <c r="CW55" s="22">
        <f t="shared" si="13"/>
        <v>484.76607392519827</v>
      </c>
      <c r="CX55" s="62">
        <f t="shared" si="14"/>
        <v>778.09940725853153</v>
      </c>
      <c r="CY55" s="62">
        <f ca="1">AVERAGE(OFFSET($CX$3,0,0,'Données projet'!$E$13+1,1))-AVERAGE(OFFSET($H$3,0,0,'Données projet'!$E$13+1,1))</f>
        <v>383.46266660377637</v>
      </c>
      <c r="CZ55" s="62">
        <f t="shared" si="42"/>
        <v>373.1287543230714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8.7242070882431175</v>
      </c>
      <c r="DH55" s="23">
        <f>EXP(-LN(2)/2)*DH54+(1-EXP(-LN(2)/2))/(LN(2)/2)*DB55*DE55*VLOOKUP('Données projet'!$B$13,Paramètres!$A$1:$I$89,3,0)*0.475*44/12</f>
        <v>1.0369354646722848E-2</v>
      </c>
      <c r="DI55" s="24">
        <f t="shared" si="15"/>
        <v>8.7345764428898409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>
        <f>DO55*VLOOKUP('Données projet'!$B$14,Paramètres!$A$1:$I$89,3,0)*VLOOKUP('Données projet'!$B$14,Paramètres!$A$1:$I$89,5,0)</f>
        <v>0</v>
      </c>
      <c r="DQ55" s="14" t="e">
        <f t="shared" si="43"/>
        <v>#NUM!</v>
      </c>
      <c r="DR55" s="22" t="e">
        <f t="shared" si="16"/>
        <v>#NUM!</v>
      </c>
      <c r="DS55" s="62" t="e">
        <f t="shared" si="17"/>
        <v>#NUM!</v>
      </c>
      <c r="DT55" s="62">
        <f ca="1">AVERAGE(OFFSET($DS$3,0,0,'Données projet'!$E$14+1,1))-AVERAGE(OFFSET($H$3,0,0,'Données projet'!$E$14+1,1))</f>
        <v>96.56611521638132</v>
      </c>
      <c r="DU55" s="62">
        <f t="shared" si="44"/>
        <v>465.03257878814094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53.308704466629685</v>
      </c>
      <c r="EB55" s="23">
        <f>EXP(-LN(2)/25)*EB54+(1-EXP(-LN(2)/25))/(LN(2)/25)*Calculateur!DW55*Calculateur!DY55*VLOOKUP('Données projet'!$B$14,Paramètres!$A$1:$I$89,3,0)*0.475*44/12</f>
        <v>9.9809628170802362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63.289667283709917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7.4</v>
      </c>
      <c r="EJ55" s="13">
        <f>IF('Données projet'!$A$192&gt;35,EJ54+EI55-ER54,IF(A55&lt;'Données projet'!$A$192,$EG$205^A55,IF(A55='Données projet'!$A$192,'Données projet'!$B$192,EJ54+EI55-ER54)))</f>
        <v>255.79999999999998</v>
      </c>
      <c r="EK55" s="18">
        <f>EJ55*VLOOKUP('Données projet'!$B$15,Paramètres!$A$1:$I$89,3,0)*VLOOKUP('Données projet'!$B$15,Paramètres!$A$1:$I$89,5,0)</f>
        <v>207.50495999999998</v>
      </c>
      <c r="EL55" s="14">
        <f t="shared" si="45"/>
        <v>51.389977990194012</v>
      </c>
      <c r="EM55" s="22">
        <f t="shared" si="19"/>
        <v>450.90868366625449</v>
      </c>
      <c r="EN55" s="62">
        <f t="shared" si="20"/>
        <v>744.2420169995878</v>
      </c>
      <c r="EO55" s="62">
        <f ca="1">AVERAGE(OFFSET($EN$3,0,0,'Données projet'!$E$15+1,1))-AVERAGE(OFFSET($H$3,0,0,'Données projet'!$E$15+1,1))</f>
        <v>358.75637627589799</v>
      </c>
      <c r="EP55" s="62">
        <f t="shared" si="46"/>
        <v>349.64821164483607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6.2529422525894702</v>
      </c>
      <c r="EW55" s="23">
        <f>EXP(-LN(2)/25)*EW54+(1-EXP(-LN(2)/25))/(LN(2)/25)*Calculateur!ER55*Calculateur!ET55*VLOOKUP('Données projet'!$B$15,Paramètres!$A$1:$I$89,3,0)*0.475*44/12</f>
        <v>8.334142514851516</v>
      </c>
      <c r="EX55" s="23">
        <f>EXP(-LN(2)/2)*EX54+(1-EXP(-LN(2)/2))/(LN(2)/2)*ER55*EU55*VLOOKUP('Données projet'!$B$15,Paramètres!$A$1:$I$89,3,0)*0.475*44/12</f>
        <v>1.7804590671996656E-3</v>
      </c>
      <c r="EY55" s="24">
        <f t="shared" si="21"/>
        <v>14.588865226508187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>
        <f>FE55*VLOOKUP('Données projet'!$B$16,Paramètres!$A$1:$I$89,3,0)*VLOOKUP('Données projet'!$B$16,Paramètres!$A$1:$I$89,5,0)</f>
        <v>0</v>
      </c>
      <c r="FG55" s="14" t="e">
        <f t="shared" si="47"/>
        <v>#NUM!</v>
      </c>
      <c r="FH55" s="22" t="e">
        <f t="shared" si="22"/>
        <v>#NUM!</v>
      </c>
      <c r="FI55" s="62" t="e">
        <f t="shared" si="23"/>
        <v>#NUM!</v>
      </c>
      <c r="FJ55" s="62">
        <f ca="1">AVERAGE(OFFSET($FI$3,0,0,'Données projet'!$E$16+1,1))-AVERAGE(OFFSET($H$3,0,0,'Données projet'!$E$16+1,1))</f>
        <v>121.28977654040114</v>
      </c>
      <c r="FK55" s="62">
        <f t="shared" si="48"/>
        <v>615.69585264342595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71.824893132909978</v>
      </c>
      <c r="FR55" s="23">
        <f>EXP(-LN(2)/25)*FR54+(1-EXP(-LN(2)/25))/(LN(2)/25)*Calculateur!FM55*Calculateur!FO55*VLOOKUP('Données projet'!$B$16,Paramètres!$A$1:$I$89,3,0)*0.475*44/12</f>
        <v>13.447739817970847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85.272632950880819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7.4</v>
      </c>
      <c r="N56" s="14">
        <f>IF('Données projet'!$A$36&gt;35,N55+M56-V55,IF(A56&lt;'Données projet'!$A$36,$K$205^A56,IF(A56='Données projet'!$A$36,'Données projet'!$B$36,N55+M56-V55)))</f>
        <v>263.2</v>
      </c>
      <c r="O56" s="14">
        <f>N56*VLOOKUP('Données projet'!$B$9,Paramètres!$A$1:$I$89,3,0)*VLOOKUP('Données projet'!$B$9,Paramètres!$A$1:$I$89,5,0)</f>
        <v>209.40192000000002</v>
      </c>
      <c r="P56" s="14">
        <f t="shared" si="33"/>
        <v>51.804868484579089</v>
      </c>
      <c r="Q56" s="22">
        <f t="shared" si="53"/>
        <v>454.93515661064185</v>
      </c>
      <c r="R56" s="62">
        <f t="shared" si="0"/>
        <v>748.26848994397517</v>
      </c>
      <c r="S56" s="62">
        <f ca="1">AVERAGE(OFFSET($R$3,0,0,'Données projet'!$E$9+1,1))-AVERAGE(OFFSET($H$3,0,0,'Données projet'!$E$9+1,1))</f>
        <v>352.5736659365665</v>
      </c>
      <c r="T56" s="62">
        <f t="shared" si="34"/>
        <v>343.77208530767069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8.5486286507897287</v>
      </c>
      <c r="AA56" s="23">
        <f>EXP(-LN(2)/25)*AA55+(1-EXP(-LN(2)/25))/(LN(2)/25)*Calculateur!V56*Calculateur!X56*VLOOKUP('Données projet'!$B$9,Paramètres!$A$1:$I$89,3,0)*0.475*44/12</f>
        <v>12.536062234178178</v>
      </c>
      <c r="AB56" s="23">
        <f>EXP(-LN(2)/2)*AB55+(1-EXP(-LN(2)/2))/(LN(2)/2)*V56*Y56*VLOOKUP('Données projet'!$B$9,Paramètres!$A$1:$I$89,3,0)*0.475*44/12</f>
        <v>0</v>
      </c>
      <c r="AC56" s="24">
        <f t="shared" si="3"/>
        <v>21.084690884967905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5.8</v>
      </c>
      <c r="AI56" s="14">
        <f>IF('Données projet'!$A$62&gt;35,AI55+AH56-AQ55,IF(A56&lt;'Données projet'!$A$62,$AF$205^A56,IF(A56='Données projet'!$A$62,'Données projet'!$B$62,AI55+AH56-AQ55)))</f>
        <v>159.40000000000015</v>
      </c>
      <c r="AJ56" s="14">
        <f>AI56*VLOOKUP('Données projet'!$B$10,Paramètres!$A$1:$I$89,3,0)*VLOOKUP('Données projet'!$B$10,Paramètres!$A$1:$I$89,5,0)</f>
        <v>104.4388800000001</v>
      </c>
      <c r="AK56" s="14">
        <f t="shared" si="35"/>
        <v>28.016811614305542</v>
      </c>
      <c r="AL56" s="22">
        <f t="shared" si="4"/>
        <v>230.69366289491563</v>
      </c>
      <c r="AM56" s="62">
        <f t="shared" si="5"/>
        <v>524.02699622824889</v>
      </c>
      <c r="AN56" s="62">
        <f ca="1">AVERAGE(OFFSET($AM$3,0,0,'Données projet'!$E$10+1,1))-AVERAGE(OFFSET($H$3,0,0,'Données projet'!$E$10+1,1))</f>
        <v>210.08998695869161</v>
      </c>
      <c r="AO56" s="62">
        <f t="shared" si="36"/>
        <v>207.30911916430881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6.3776828734432296E-5</v>
      </c>
      <c r="AX56" s="23">
        <f t="shared" si="6"/>
        <v>6.3776828734432296E-5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233.6</v>
      </c>
      <c r="BE56" s="14">
        <f>BD56*VLOOKUP('Données projet'!$B$11,Paramètres!$A$1:$I$89,3,0)*VLOOKUP('Données projet'!$B$11,Paramètres!$A$1:$I$89,5,0)</f>
        <v>156.69888</v>
      </c>
      <c r="BF56" s="14">
        <f t="shared" si="37"/>
        <v>40.097037560925337</v>
      </c>
      <c r="BG56" s="22">
        <f t="shared" si="7"/>
        <v>342.75288975194491</v>
      </c>
      <c r="BH56" s="62">
        <f t="shared" si="8"/>
        <v>636.08622308527822</v>
      </c>
      <c r="BI56" s="62">
        <f ca="1">AVERAGE(OFFSET($BH$3,0,0,'Données projet'!$E$11+1,1))-AVERAGE(OFFSET($H$3,0,0,'Données projet'!$E$11+1,1))</f>
        <v>335.83558218229564</v>
      </c>
      <c r="BJ56" s="62">
        <f t="shared" si="38"/>
        <v>217.08423061559648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7.2413381461578323E-3</v>
      </c>
      <c r="BS56" s="24">
        <f t="shared" si="9"/>
        <v>7.2413381461578323E-3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9.375</v>
      </c>
      <c r="BY56" s="13">
        <f>IF('Données projet'!$A$114&gt;35,BY55+BX56-CG55,IF(A56&lt;'Données projet'!$A$114,$BV$205^A56,IF(A56='Données projet'!$A$114,'Données projet'!$B$114,BY55+BX56-CG55)))</f>
        <v>231.37499999999989</v>
      </c>
      <c r="BZ56" s="14">
        <f>BY56*VLOOKUP('Données projet'!$B$12,Paramètres!$A$1:$I$89,3,0)*VLOOKUP('Données projet'!$B$12,Paramètres!$A$1:$I$89,5,0)</f>
        <v>180.47249999999991</v>
      </c>
      <c r="CA56" s="14">
        <f t="shared" si="39"/>
        <v>45.427292666837829</v>
      </c>
      <c r="CB56" s="22">
        <f t="shared" si="10"/>
        <v>393.44213889474241</v>
      </c>
      <c r="CC56" s="62">
        <f t="shared" si="11"/>
        <v>686.77547222807573</v>
      </c>
      <c r="CD56" s="62">
        <f ca="1">AVERAGE(OFFSET($CC$3,0,0,'Données projet'!$E$12+1,1))-AVERAGE(OFFSET($H$3,0,0,'Données projet'!$E$12+1,1))</f>
        <v>288.82868507674738</v>
      </c>
      <c r="CE56" s="62">
        <f t="shared" si="40"/>
        <v>283.48738729114024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2.5747481461014794</v>
      </c>
      <c r="CM56" s="23">
        <f>EXP(-LN(2)/2)*CM55+(1-EXP(-LN(2)/2))/(LN(2)/2)*CG56*CJ56*VLOOKUP('Données projet'!$B$12,Paramètres!$A$1:$I$89,3,0)*0.475*44/12</f>
        <v>8.9070930107588021E-4</v>
      </c>
      <c r="CN56" s="24">
        <f t="shared" si="12"/>
        <v>2.5756388554025551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7.4</v>
      </c>
      <c r="CT56" s="13">
        <f>IF('Données projet'!$A$140&gt;35,CT55+CS56-DB55,IF(A56&lt;'Données projet'!$A$140,$CQ$205^A56,IF(A56='Données projet'!$A$140,'Données projet'!$B$140,CT55+CS56-DB55)))</f>
        <v>263.2</v>
      </c>
      <c r="CU56" s="18">
        <f>CT56*VLOOKUP('Données projet'!$B$13,Paramètres!$A$1:$I$89,3,0)*VLOOKUP('Données projet'!$B$13,Paramètres!$A$1:$I$89,5,0)</f>
        <v>229.93152000000001</v>
      </c>
      <c r="CV56" s="14">
        <f t="shared" si="41"/>
        <v>56.26787429746841</v>
      </c>
      <c r="CW56" s="22">
        <f t="shared" si="13"/>
        <v>498.46394506809082</v>
      </c>
      <c r="CX56" s="62">
        <f t="shared" si="14"/>
        <v>791.79727840142414</v>
      </c>
      <c r="CY56" s="62">
        <f ca="1">AVERAGE(OFFSET($CX$3,0,0,'Données projet'!$E$13+1,1))-AVERAGE(OFFSET($H$3,0,0,'Données projet'!$E$13+1,1))</f>
        <v>383.46266660377637</v>
      </c>
      <c r="CZ56" s="62">
        <f t="shared" si="42"/>
        <v>373.1287543230714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8.4856431866289981</v>
      </c>
      <c r="DH56" s="23">
        <f>EXP(-LN(2)/2)*DH55+(1-EXP(-LN(2)/2))/(LN(2)/2)*DB56*DE56*VLOOKUP('Données projet'!$B$13,Paramètres!$A$1:$I$89,3,0)*0.475*44/12</f>
        <v>7.3322409872259627E-3</v>
      </c>
      <c r="DI56" s="24">
        <f t="shared" si="15"/>
        <v>8.4929754276162246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>
        <f>DO56*VLOOKUP('Données projet'!$B$14,Paramètres!$A$1:$I$89,3,0)*VLOOKUP('Données projet'!$B$14,Paramètres!$A$1:$I$89,5,0)</f>
        <v>0</v>
      </c>
      <c r="DQ56" s="14" t="e">
        <f t="shared" si="43"/>
        <v>#NUM!</v>
      </c>
      <c r="DR56" s="22" t="e">
        <f t="shared" si="16"/>
        <v>#NUM!</v>
      </c>
      <c r="DS56" s="62" t="e">
        <f t="shared" si="17"/>
        <v>#NUM!</v>
      </c>
      <c r="DT56" s="62">
        <f ca="1">AVERAGE(OFFSET($DS$3,0,0,'Données projet'!$E$14+1,1))-AVERAGE(OFFSET($H$3,0,0,'Données projet'!$E$14+1,1))</f>
        <v>96.56611521638132</v>
      </c>
      <c r="DU56" s="62">
        <f t="shared" si="44"/>
        <v>465.03257878814094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52.263353287138202</v>
      </c>
      <c r="EB56" s="23">
        <f>EXP(-LN(2)/25)*EB55+(1-EXP(-LN(2)/25))/(LN(2)/25)*Calculateur!DW56*Calculateur!DY56*VLOOKUP('Données projet'!$B$14,Paramètres!$A$1:$I$89,3,0)*0.475*44/12</f>
        <v>9.7080328639711553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61.971386151109357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7.4</v>
      </c>
      <c r="EJ56" s="13">
        <f>IF('Données projet'!$A$192&gt;35,EJ55+EI56-ER55,IF(A56&lt;'Données projet'!$A$192,$EG$205^A56,IF(A56='Données projet'!$A$192,'Données projet'!$B$192,EJ55+EI56-ER55)))</f>
        <v>263.2</v>
      </c>
      <c r="EK56" s="18">
        <f>EJ56*VLOOKUP('Données projet'!$B$15,Paramètres!$A$1:$I$89,3,0)*VLOOKUP('Données projet'!$B$15,Paramètres!$A$1:$I$89,5,0)</f>
        <v>213.50784000000002</v>
      </c>
      <c r="EL56" s="14">
        <f t="shared" si="45"/>
        <v>52.701396365805124</v>
      </c>
      <c r="EM56" s="22">
        <f t="shared" si="19"/>
        <v>463.6477533371106</v>
      </c>
      <c r="EN56" s="62">
        <f t="shared" si="20"/>
        <v>756.98108667044391</v>
      </c>
      <c r="EO56" s="62">
        <f ca="1">AVERAGE(OFFSET($EN$3,0,0,'Données projet'!$E$15+1,1))-AVERAGE(OFFSET($H$3,0,0,'Données projet'!$E$15+1,1))</f>
        <v>358.75637627589799</v>
      </c>
      <c r="EP56" s="62">
        <f t="shared" si="46"/>
        <v>349.64821164483607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6.1303258689343716</v>
      </c>
      <c r="EW56" s="23">
        <f>EXP(-LN(2)/25)*EW55+(1-EXP(-LN(2)/25))/(LN(2)/25)*Calculateur!ER56*Calculateur!ET56*VLOOKUP('Données projet'!$B$15,Paramètres!$A$1:$I$89,3,0)*0.475*44/12</f>
        <v>8.106244949509394</v>
      </c>
      <c r="EX56" s="23">
        <f>EXP(-LN(2)/2)*EX55+(1-EXP(-LN(2)/2))/(LN(2)/2)*ER56*EU56*VLOOKUP('Données projet'!$B$15,Paramètres!$A$1:$I$89,3,0)*0.475*44/12</f>
        <v>1.2589746800419585E-3</v>
      </c>
      <c r="EY56" s="24">
        <f t="shared" si="21"/>
        <v>14.237829793123808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>
        <f>FE56*VLOOKUP('Données projet'!$B$16,Paramètres!$A$1:$I$89,3,0)*VLOOKUP('Données projet'!$B$16,Paramètres!$A$1:$I$89,5,0)</f>
        <v>0</v>
      </c>
      <c r="FG56" s="14" t="e">
        <f t="shared" si="47"/>
        <v>#NUM!</v>
      </c>
      <c r="FH56" s="22" t="e">
        <f t="shared" si="22"/>
        <v>#NUM!</v>
      </c>
      <c r="FI56" s="62" t="e">
        <f t="shared" si="23"/>
        <v>#NUM!</v>
      </c>
      <c r="FJ56" s="62">
        <f ca="1">AVERAGE(OFFSET($FI$3,0,0,'Données projet'!$E$16+1,1))-AVERAGE(OFFSET($H$3,0,0,'Données projet'!$E$16+1,1))</f>
        <v>121.28977654040114</v>
      </c>
      <c r="FK56" s="62">
        <f t="shared" si="48"/>
        <v>615.69585264342595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70.416450787432652</v>
      </c>
      <c r="FR56" s="23">
        <f>EXP(-LN(2)/25)*FR55+(1-EXP(-LN(2)/25))/(LN(2)/25)*Calculateur!FM56*Calculateur!FO56*VLOOKUP('Données projet'!$B$16,Paramètres!$A$1:$I$89,3,0)*0.475*44/12</f>
        <v>13.080010665462533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83.49646145289519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7.4</v>
      </c>
      <c r="N57" s="14">
        <f>IF('Données projet'!$A$36&gt;35,N56+M57-V56,IF(A57&lt;'Données projet'!$A$36,$K$205^A57,IF(A57='Données projet'!$A$36,'Données projet'!$B$36,N56+M57-V56)))</f>
        <v>270.59999999999997</v>
      </c>
      <c r="O57" s="14">
        <f>N57*VLOOKUP('Données projet'!$B$9,Paramètres!$A$1:$I$89,3,0)*VLOOKUP('Données projet'!$B$9,Paramètres!$A$1:$I$89,5,0)</f>
        <v>215.28935999999996</v>
      </c>
      <c r="P57" s="14">
        <f t="shared" si="33"/>
        <v>53.089765227625676</v>
      </c>
      <c r="Q57" s="22">
        <f t="shared" si="53"/>
        <v>467.42697643811471</v>
      </c>
      <c r="R57" s="62">
        <f t="shared" si="0"/>
        <v>760.76030977144796</v>
      </c>
      <c r="S57" s="62">
        <f ca="1">AVERAGE(OFFSET($R$3,0,0,'Données projet'!$E$9+1,1))-AVERAGE(OFFSET($H$3,0,0,'Données projet'!$E$9+1,1))</f>
        <v>352.5736659365665</v>
      </c>
      <c r="T57" s="62">
        <f t="shared" si="34"/>
        <v>343.77208530767069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8.3809952570963642</v>
      </c>
      <c r="AA57" s="23">
        <f>EXP(-LN(2)/25)*AA56+(1-EXP(-LN(2)/25))/(LN(2)/25)*Calculateur!V57*Calculateur!X57*VLOOKUP('Données projet'!$B$9,Paramètres!$A$1:$I$89,3,0)*0.475*44/12</f>
        <v>12.193262953141716</v>
      </c>
      <c r="AB57" s="23">
        <f>EXP(-LN(2)/2)*AB56+(1-EXP(-LN(2)/2))/(LN(2)/2)*V57*Y57*VLOOKUP('Données projet'!$B$9,Paramètres!$A$1:$I$89,3,0)*0.475*44/12</f>
        <v>0</v>
      </c>
      <c r="AC57" s="24">
        <f t="shared" si="3"/>
        <v>20.574258210238078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5.8</v>
      </c>
      <c r="AI57" s="14">
        <f>IF('Données projet'!$A$62&gt;35,AI56+AH57-AQ56,IF(A57&lt;'Données projet'!$A$62,$AF$205^A57,IF(A57='Données projet'!$A$62,'Données projet'!$B$62,AI56+AH57-AQ56)))</f>
        <v>165.20000000000016</v>
      </c>
      <c r="AJ57" s="14">
        <f>AI57*VLOOKUP('Données projet'!$B$10,Paramètres!$A$1:$I$89,3,0)*VLOOKUP('Données projet'!$B$10,Paramètres!$A$1:$I$89,5,0)</f>
        <v>108.23904000000009</v>
      </c>
      <c r="AK57" s="14">
        <f t="shared" si="35"/>
        <v>28.91569977717025</v>
      </c>
      <c r="AL57" s="22">
        <f t="shared" si="4"/>
        <v>238.87783844523832</v>
      </c>
      <c r="AM57" s="62">
        <f t="shared" si="5"/>
        <v>532.21117177857161</v>
      </c>
      <c r="AN57" s="62">
        <f ca="1">AVERAGE(OFFSET($AM$3,0,0,'Données projet'!$E$10+1,1))-AVERAGE(OFFSET($H$3,0,0,'Données projet'!$E$10+1,1))</f>
        <v>210.08998695869161</v>
      </c>
      <c r="AO57" s="62">
        <f t="shared" si="36"/>
        <v>207.30911916430881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4.5097028080690136E-5</v>
      </c>
      <c r="AX57" s="23">
        <f t="shared" si="6"/>
        <v>4.5097028080690136E-5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243.79999999999998</v>
      </c>
      <c r="BE57" s="14">
        <f>BD57*VLOOKUP('Données projet'!$B$11,Paramètres!$A$1:$I$89,3,0)*VLOOKUP('Données projet'!$B$11,Paramètres!$A$1:$I$89,5,0)</f>
        <v>163.54103999999998</v>
      </c>
      <c r="BF57" s="14">
        <f t="shared" si="37"/>
        <v>41.640186480597151</v>
      </c>
      <c r="BG57" s="22">
        <f t="shared" si="7"/>
        <v>357.35730278704</v>
      </c>
      <c r="BH57" s="62">
        <f t="shared" si="8"/>
        <v>650.69063612037326</v>
      </c>
      <c r="BI57" s="62">
        <f ca="1">AVERAGE(OFFSET($BH$3,0,0,'Données projet'!$E$11+1,1))-AVERAGE(OFFSET($H$3,0,0,'Données projet'!$E$11+1,1))</f>
        <v>335.83558218229564</v>
      </c>
      <c r="BJ57" s="62">
        <f t="shared" si="38"/>
        <v>217.08423061559648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5.120399308013026E-3</v>
      </c>
      <c r="BS57" s="24">
        <f t="shared" si="9"/>
        <v>5.120399308013026E-3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9.375</v>
      </c>
      <c r="BY57" s="13">
        <f>IF('Données projet'!$A$114&gt;35,BY56+BX57-CG56,IF(A57&lt;'Données projet'!$A$114,$BV$205^A57,IF(A57='Données projet'!$A$114,'Données projet'!$B$114,BY56+BX57-CG56)))</f>
        <v>240.74999999999989</v>
      </c>
      <c r="BZ57" s="14">
        <f>BY57*VLOOKUP('Données projet'!$B$12,Paramètres!$A$1:$I$89,3,0)*VLOOKUP('Données projet'!$B$12,Paramètres!$A$1:$I$89,5,0)</f>
        <v>187.78499999999991</v>
      </c>
      <c r="CA57" s="14">
        <f t="shared" si="39"/>
        <v>47.049914090154054</v>
      </c>
      <c r="CB57" s="22">
        <f t="shared" si="10"/>
        <v>409.0041420403515</v>
      </c>
      <c r="CC57" s="62">
        <f t="shared" si="11"/>
        <v>702.33747537368481</v>
      </c>
      <c r="CD57" s="62">
        <f ca="1">AVERAGE(OFFSET($CC$3,0,0,'Données projet'!$E$12+1,1))-AVERAGE(OFFSET($H$3,0,0,'Données projet'!$E$12+1,1))</f>
        <v>288.82868507674738</v>
      </c>
      <c r="CE57" s="62">
        <f t="shared" si="40"/>
        <v>283.48738729114024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2.504341522646214</v>
      </c>
      <c r="CM57" s="23">
        <f>EXP(-LN(2)/2)*CM56+(1-EXP(-LN(2)/2))/(LN(2)/2)*CG57*CJ57*VLOOKUP('Données projet'!$B$12,Paramètres!$A$1:$I$89,3,0)*0.475*44/12</f>
        <v>6.298265868566851E-4</v>
      </c>
      <c r="CN57" s="24">
        <f t="shared" si="12"/>
        <v>2.5049713492330707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7.4</v>
      </c>
      <c r="CT57" s="13">
        <f>IF('Données projet'!$A$140&gt;35,CT56+CS57-DB56,IF(A57&lt;'Données projet'!$A$140,$CQ$205^A57,IF(A57='Données projet'!$A$140,'Données projet'!$B$140,CT56+CS57-DB56)))</f>
        <v>270.59999999999997</v>
      </c>
      <c r="CU57" s="18">
        <f>CT57*VLOOKUP('Données projet'!$B$13,Paramètres!$A$1:$I$89,3,0)*VLOOKUP('Données projet'!$B$13,Paramètres!$A$1:$I$89,5,0)</f>
        <v>236.39616000000001</v>
      </c>
      <c r="CV57" s="14">
        <f t="shared" si="41"/>
        <v>57.663465301516538</v>
      </c>
      <c r="CW57" s="22">
        <f t="shared" si="13"/>
        <v>512.15384740014133</v>
      </c>
      <c r="CX57" s="62">
        <f t="shared" si="14"/>
        <v>805.48718073347459</v>
      </c>
      <c r="CY57" s="62">
        <f ca="1">AVERAGE(OFFSET($CX$3,0,0,'Données projet'!$E$13+1,1))-AVERAGE(OFFSET($H$3,0,0,'Données projet'!$E$13+1,1))</f>
        <v>383.46266660377637</v>
      </c>
      <c r="CZ57" s="62">
        <f t="shared" si="42"/>
        <v>373.1287543230714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8.253602827450047</v>
      </c>
      <c r="DH57" s="23">
        <f>EXP(-LN(2)/2)*DH56+(1-EXP(-LN(2)/2))/(LN(2)/2)*DB57*DE57*VLOOKUP('Données projet'!$B$13,Paramètres!$A$1:$I$89,3,0)*0.475*44/12</f>
        <v>5.184677323361424E-3</v>
      </c>
      <c r="DI57" s="24">
        <f t="shared" si="15"/>
        <v>8.2587875047734087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>
        <f>DO57*VLOOKUP('Données projet'!$B$14,Paramètres!$A$1:$I$89,3,0)*VLOOKUP('Données projet'!$B$14,Paramètres!$A$1:$I$89,5,0)</f>
        <v>0</v>
      </c>
      <c r="DQ57" s="14" t="e">
        <f t="shared" si="43"/>
        <v>#NUM!</v>
      </c>
      <c r="DR57" s="22" t="e">
        <f t="shared" si="16"/>
        <v>#NUM!</v>
      </c>
      <c r="DS57" s="62" t="e">
        <f t="shared" si="17"/>
        <v>#NUM!</v>
      </c>
      <c r="DT57" s="62">
        <f ca="1">AVERAGE(OFFSET($DS$3,0,0,'Données projet'!$E$14+1,1))-AVERAGE(OFFSET($H$3,0,0,'Données projet'!$E$14+1,1))</f>
        <v>96.56611521638132</v>
      </c>
      <c r="DU57" s="62">
        <f t="shared" si="44"/>
        <v>465.03257878814094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51.238500806675283</v>
      </c>
      <c r="EB57" s="23">
        <f>EXP(-LN(2)/25)*EB56+(1-EXP(-LN(2)/25))/(LN(2)/25)*Calculateur!DW57*Calculateur!DY57*VLOOKUP('Données projet'!$B$14,Paramètres!$A$1:$I$89,3,0)*0.475*44/12</f>
        <v>9.4425661947826036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60.68106700145789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7.4</v>
      </c>
      <c r="EJ57" s="13">
        <f>IF('Données projet'!$A$192&gt;35,EJ56+EI57-ER56,IF(A57&lt;'Données projet'!$A$192,$EG$205^A57,IF(A57='Données projet'!$A$192,'Données projet'!$B$192,EJ56+EI57-ER56)))</f>
        <v>270.59999999999997</v>
      </c>
      <c r="EK57" s="18">
        <f>EJ57*VLOOKUP('Données projet'!$B$15,Paramètres!$A$1:$I$89,3,0)*VLOOKUP('Données projet'!$B$15,Paramètres!$A$1:$I$89,5,0)</f>
        <v>219.51071999999999</v>
      </c>
      <c r="EL57" s="14">
        <f t="shared" si="45"/>
        <v>54.008529353983498</v>
      </c>
      <c r="EM57" s="22">
        <f t="shared" si="19"/>
        <v>476.3793592915211</v>
      </c>
      <c r="EN57" s="62">
        <f t="shared" si="20"/>
        <v>769.71269262485441</v>
      </c>
      <c r="EO57" s="62">
        <f ca="1">AVERAGE(OFFSET($EN$3,0,0,'Données projet'!$E$15+1,1))-AVERAGE(OFFSET($H$3,0,0,'Données projet'!$E$15+1,1))</f>
        <v>358.75637627589799</v>
      </c>
      <c r="EP57" s="62">
        <f t="shared" si="46"/>
        <v>349.64821164483607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6.0101139177741398</v>
      </c>
      <c r="EW57" s="23">
        <f>EXP(-LN(2)/25)*EW56+(1-EXP(-LN(2)/25))/(LN(2)/25)*Calculateur!ER57*Calculateur!ET57*VLOOKUP('Données projet'!$B$15,Paramètres!$A$1:$I$89,3,0)*0.475*44/12</f>
        <v>7.8845792550761651</v>
      </c>
      <c r="EX57" s="23">
        <f>EXP(-LN(2)/2)*EX56+(1-EXP(-LN(2)/2))/(LN(2)/2)*ER57*EU57*VLOOKUP('Données projet'!$B$15,Paramètres!$A$1:$I$89,3,0)*0.475*44/12</f>
        <v>8.9022953359983281E-4</v>
      </c>
      <c r="EY57" s="24">
        <f t="shared" si="21"/>
        <v>13.895583402383904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>
        <f>FE57*VLOOKUP('Données projet'!$B$16,Paramètres!$A$1:$I$89,3,0)*VLOOKUP('Données projet'!$B$16,Paramètres!$A$1:$I$89,5,0)</f>
        <v>0</v>
      </c>
      <c r="FG57" s="14" t="e">
        <f t="shared" si="47"/>
        <v>#NUM!</v>
      </c>
      <c r="FH57" s="22" t="e">
        <f t="shared" si="22"/>
        <v>#NUM!</v>
      </c>
      <c r="FI57" s="62" t="e">
        <f t="shared" si="23"/>
        <v>#NUM!</v>
      </c>
      <c r="FJ57" s="62">
        <f ca="1">AVERAGE(OFFSET($FI$3,0,0,'Données projet'!$E$16+1,1))-AVERAGE(OFFSET($H$3,0,0,'Données projet'!$E$16+1,1))</f>
        <v>121.28977654040114</v>
      </c>
      <c r="FK57" s="62">
        <f t="shared" si="48"/>
        <v>615.69585264342595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69.035627137285132</v>
      </c>
      <c r="FR57" s="23">
        <f>EXP(-LN(2)/25)*FR56+(1-EXP(-LN(2)/25))/(LN(2)/25)*Calculateur!FM57*Calculateur!FO57*VLOOKUP('Données projet'!$B$16,Paramètres!$A$1:$I$89,3,0)*0.475*44/12</f>
        <v>12.722337085967593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81.757964223252728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278</v>
      </c>
      <c r="L58" s="13">
        <f>VLOOKUP(A58,'Données projet'!$A$35:$I$55,9,0)</f>
        <v>7.4</v>
      </c>
      <c r="M58" s="13">
        <f t="array" ref="M58">INDEX(L:L,MIN(IF(ISNUMBER(L58:L254),ROW(L58:L254),"")))</f>
        <v>7.4</v>
      </c>
      <c r="N58" s="14">
        <f>IF('Données projet'!$A$36&gt;35,N57+M58-V57,IF(A58&lt;'Données projet'!$A$36,$K$205^A58,IF(A58='Données projet'!$A$36,'Données projet'!$B$36,N57+M58-V57)))</f>
        <v>277.99999999999994</v>
      </c>
      <c r="O58" s="14">
        <f>N58*VLOOKUP('Données projet'!$B$9,Paramètres!$A$1:$I$89,3,0)*VLOOKUP('Données projet'!$B$9,Paramètres!$A$1:$I$89,5,0)</f>
        <v>221.17679999999996</v>
      </c>
      <c r="P58" s="14">
        <f t="shared" si="33"/>
        <v>54.370577918219368</v>
      </c>
      <c r="Q58" s="22">
        <f t="shared" si="53"/>
        <v>479.91168320756537</v>
      </c>
      <c r="R58" s="62">
        <f t="shared" si="0"/>
        <v>773.24501654089863</v>
      </c>
      <c r="S58" s="62">
        <f ca="1">AVERAGE(OFFSET($R$3,0,0,'Données projet'!$E$9+1,1))-AVERAGE(OFFSET($H$3,0,0,'Données projet'!$E$9+1,1))</f>
        <v>352.5736659365665</v>
      </c>
      <c r="T58" s="62">
        <f t="shared" si="34"/>
        <v>343.77208530767069</v>
      </c>
      <c r="U58" s="16">
        <f>IF(ISNA(VLOOKUP(A58,'Données projet'!$A$35:$I$55,3,0)),0,VLOOKUP(A58,'Données projet'!$A$35:$I$55,3,0))</f>
        <v>10</v>
      </c>
      <c r="V58" s="16">
        <f>IF(ISNA(VLOOKUP(A58,'Données projet'!$A$35:$I$55,4,0)),0,VLOOKUP(A58,'Données projet'!$A$35:$I$55,4,0))</f>
        <v>16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8.2166490520070532</v>
      </c>
      <c r="AA58" s="23">
        <f>EXP(-LN(2)/25)*AA57+(1-EXP(-LN(2)/25))/(LN(2)/25)*Calculateur!V58*Calculateur!X58*VLOOKUP('Données projet'!$B$9,Paramètres!$A$1:$I$89,3,0)*0.475*44/12</f>
        <v>11.859837536472225</v>
      </c>
      <c r="AB58" s="23">
        <f>EXP(-LN(2)/2)*AB57+(1-EXP(-LN(2)/2))/(LN(2)/2)*V58*Y58*VLOOKUP('Données projet'!$B$9,Paramètres!$A$1:$I$89,3,0)*0.475*44/12</f>
        <v>0</v>
      </c>
      <c r="AC58" s="24">
        <f t="shared" si="3"/>
        <v>20.076486588479277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171</v>
      </c>
      <c r="AG58" s="13">
        <f>VLOOKUP(A58,'Données projet'!$A$61:$I$81,9,0)</f>
        <v>5.8</v>
      </c>
      <c r="AH58" s="13">
        <f t="array" ref="AH58">INDEX(AG:AG,MIN(IF(ISNUMBER(AG58:AG254),ROW(AG58:AG254),"")))</f>
        <v>5.8</v>
      </c>
      <c r="AI58" s="14">
        <f>IF('Données projet'!$A$62&gt;35,AI57+AH58-AQ57,IF(A58&lt;'Données projet'!$A$62,$AF$205^A58,IF(A58='Données projet'!$A$62,'Données projet'!$B$62,AI57+AH58-AQ57)))</f>
        <v>171.00000000000017</v>
      </c>
      <c r="AJ58" s="14">
        <f>AI58*VLOOKUP('Données projet'!$B$10,Paramètres!$A$1:$I$89,3,0)*VLOOKUP('Données projet'!$B$10,Paramètres!$A$1:$I$89,5,0)</f>
        <v>112.03920000000011</v>
      </c>
      <c r="AK58" s="14">
        <f t="shared" si="35"/>
        <v>29.810921169420226</v>
      </c>
      <c r="AL58" s="22">
        <f t="shared" si="4"/>
        <v>247.05562770340705</v>
      </c>
      <c r="AM58" s="62">
        <f t="shared" si="5"/>
        <v>540.3889610367404</v>
      </c>
      <c r="AN58" s="62">
        <f ca="1">AVERAGE(OFFSET($AM$3,0,0,'Données projet'!$E$10+1,1))-AVERAGE(OFFSET($H$3,0,0,'Données projet'!$E$10+1,1))</f>
        <v>210.08998695869161</v>
      </c>
      <c r="AO58" s="62">
        <f t="shared" si="36"/>
        <v>207.30911916430881</v>
      </c>
      <c r="AP58" s="16">
        <f>IF(ISNA(VLOOKUP(A58,'Données projet'!$A$61:$I$81,3,0)),0,VLOOKUP(A58,'Données projet'!$A$61:$I$81,3,0))</f>
        <v>10</v>
      </c>
      <c r="AQ58" s="16">
        <f>IF(ISNA(VLOOKUP(A58,'Données projet'!$A$61:$I$81,4,0)),0,VLOOKUP(A58,'Données projet'!$A$61:$I$81,4,0))</f>
        <v>20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3.1888414367216148E-5</v>
      </c>
      <c r="AX58" s="23">
        <f t="shared" si="6"/>
        <v>3.1888414367216148E-5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254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253.99999999999997</v>
      </c>
      <c r="BE58" s="14">
        <f>BD58*VLOOKUP('Données projet'!$B$11,Paramètres!$A$1:$I$89,3,0)*VLOOKUP('Données projet'!$B$11,Paramètres!$A$1:$I$89,5,0)</f>
        <v>170.38319999999999</v>
      </c>
      <c r="BF58" s="14">
        <f t="shared" si="37"/>
        <v>43.175836388122306</v>
      </c>
      <c r="BG58" s="22">
        <f t="shared" si="7"/>
        <v>371.94865504264635</v>
      </c>
      <c r="BH58" s="62">
        <f t="shared" si="8"/>
        <v>665.28198837597961</v>
      </c>
      <c r="BI58" s="62">
        <f ca="1">AVERAGE(OFFSET($BH$3,0,0,'Données projet'!$E$11+1,1))-AVERAGE(OFFSET($H$3,0,0,'Données projet'!$E$11+1,1))</f>
        <v>335.83558218229564</v>
      </c>
      <c r="BJ58" s="62">
        <f t="shared" si="38"/>
        <v>217.08423061559648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3.6206690730789162E-3</v>
      </c>
      <c r="BS58" s="24">
        <f t="shared" si="9"/>
        <v>3.6206690730789162E-3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9.375</v>
      </c>
      <c r="BY58" s="13">
        <f>IF('Données projet'!$A$114&gt;35,BY57+BX58-CG57,IF(A58&lt;'Données projet'!$A$114,$BV$205^A58,IF(A58='Données projet'!$A$114,'Données projet'!$B$114,BY57+BX58-CG57)))</f>
        <v>250.12499999999989</v>
      </c>
      <c r="BZ58" s="14">
        <f>BY58*VLOOKUP('Données projet'!$B$12,Paramètres!$A$1:$I$89,3,0)*VLOOKUP('Données projet'!$B$12,Paramètres!$A$1:$I$89,5,0)</f>
        <v>195.09749999999991</v>
      </c>
      <c r="CA58" s="14">
        <f t="shared" si="39"/>
        <v>48.66519532492579</v>
      </c>
      <c r="CB58" s="22">
        <f t="shared" si="10"/>
        <v>424.55336102424553</v>
      </c>
      <c r="CC58" s="62">
        <f t="shared" si="11"/>
        <v>717.88669435757879</v>
      </c>
      <c r="CD58" s="62">
        <f ca="1">AVERAGE(OFFSET($CC$3,0,0,'Données projet'!$E$12+1,1))-AVERAGE(OFFSET($H$3,0,0,'Données projet'!$E$12+1,1))</f>
        <v>288.82868507674738</v>
      </c>
      <c r="CE58" s="62">
        <f t="shared" si="40"/>
        <v>283.48738729114024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2.4358601720118562</v>
      </c>
      <c r="CM58" s="23">
        <f>EXP(-LN(2)/2)*CM57+(1-EXP(-LN(2)/2))/(LN(2)/2)*CG58*CJ58*VLOOKUP('Données projet'!$B$12,Paramètres!$A$1:$I$89,3,0)*0.475*44/12</f>
        <v>4.453546505379401E-4</v>
      </c>
      <c r="CN58" s="24">
        <f t="shared" si="12"/>
        <v>2.4363055266623941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278</v>
      </c>
      <c r="CR58" s="13">
        <f>VLOOKUP(A58,'Données projet'!$A$139:$I$159,9,0)</f>
        <v>7.4</v>
      </c>
      <c r="CS58" s="13">
        <f t="array" ref="CS58">INDEX(CR:CR,MIN(IF(ISNUMBER(CR58:CR254),ROW(CR58:CR254),"")))</f>
        <v>7.4</v>
      </c>
      <c r="CT58" s="13">
        <f>IF('Données projet'!$A$140&gt;35,CT57+CS58-DB57,IF(A58&lt;'Données projet'!$A$140,$CQ$205^A58,IF(A58='Données projet'!$A$140,'Données projet'!$B$140,CT57+CS58-DB57)))</f>
        <v>277.99999999999994</v>
      </c>
      <c r="CU58" s="18">
        <f>CT58*VLOOKUP('Données projet'!$B$13,Paramètres!$A$1:$I$89,3,0)*VLOOKUP('Données projet'!$B$13,Paramètres!$A$1:$I$89,5,0)</f>
        <v>242.86079999999998</v>
      </c>
      <c r="CV58" s="14">
        <f t="shared" si="41"/>
        <v>59.054620410700608</v>
      </c>
      <c r="CW58" s="22">
        <f t="shared" si="13"/>
        <v>525.83602388197016</v>
      </c>
      <c r="CX58" s="62">
        <f t="shared" si="14"/>
        <v>819.16935721530353</v>
      </c>
      <c r="CY58" s="62">
        <f ca="1">AVERAGE(OFFSET($CX$3,0,0,'Données projet'!$E$13+1,1))-AVERAGE(OFFSET($H$3,0,0,'Données projet'!$E$13+1,1))</f>
        <v>383.46266660377637</v>
      </c>
      <c r="CZ58" s="62">
        <f t="shared" si="42"/>
        <v>373.1287543230714</v>
      </c>
      <c r="DA58" s="16">
        <f>IF(ISNA(VLOOKUP(A58,'Données projet'!$A$139:$I$159,3,0)),0,VLOOKUP(A58,'Données projet'!$A$139:$I$159,3,0))</f>
        <v>10</v>
      </c>
      <c r="DB58" s="16">
        <f>IF(ISNA(VLOOKUP(A58,'Données projet'!$A$139:$I$159,4,0)),0,VLOOKUP(A58,'Données projet'!$A$139:$I$159,4,0))</f>
        <v>16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8.0279076240953167</v>
      </c>
      <c r="DH58" s="23">
        <f>EXP(-LN(2)/2)*DH57+(1-EXP(-LN(2)/2))/(LN(2)/2)*DB58*DE58*VLOOKUP('Données projet'!$B$13,Paramètres!$A$1:$I$89,3,0)*0.475*44/12</f>
        <v>3.6661204936129814E-3</v>
      </c>
      <c r="DI58" s="24">
        <f t="shared" si="15"/>
        <v>8.031573744588929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>
        <f>DO58*VLOOKUP('Données projet'!$B$14,Paramètres!$A$1:$I$89,3,0)*VLOOKUP('Données projet'!$B$14,Paramètres!$A$1:$I$89,5,0)</f>
        <v>0</v>
      </c>
      <c r="DQ58" s="14" t="e">
        <f t="shared" si="43"/>
        <v>#NUM!</v>
      </c>
      <c r="DR58" s="22" t="e">
        <f t="shared" si="16"/>
        <v>#NUM!</v>
      </c>
      <c r="DS58" s="62" t="e">
        <f t="shared" si="17"/>
        <v>#NUM!</v>
      </c>
      <c r="DT58" s="62">
        <f ca="1">AVERAGE(OFFSET($DS$3,0,0,'Données projet'!$E$14+1,1))-AVERAGE(OFFSET($H$3,0,0,'Données projet'!$E$14+1,1))</f>
        <v>96.56611521638132</v>
      </c>
      <c r="DU58" s="62">
        <f t="shared" si="44"/>
        <v>465.03257878814094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50.233745058255955</v>
      </c>
      <c r="EB58" s="23">
        <f>EXP(-LN(2)/25)*EB57+(1-EXP(-LN(2)/25))/(LN(2)/25)*Calculateur!DW58*Calculateur!DY58*VLOOKUP('Données projet'!$B$14,Paramètres!$A$1:$I$89,3,0)*0.475*44/12</f>
        <v>9.1843587256232979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59.418103783879253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278</v>
      </c>
      <c r="EH58" s="13">
        <f>VLOOKUP(A58,'Données projet'!$A$191:$I$211,9,0)</f>
        <v>7.4</v>
      </c>
      <c r="EI58" s="13">
        <f t="array" ref="EI58">INDEX(EH:EH,MIN(IF(ISNUMBER(EH58:EH254),ROW(EH58:EH254),"")))</f>
        <v>7.4</v>
      </c>
      <c r="EJ58" s="13">
        <f>IF('Données projet'!$A$192&gt;35,EJ57+EI58-ER57,IF(A58&lt;'Données projet'!$A$192,$EG$205^A58,IF(A58='Données projet'!$A$192,'Données projet'!$B$192,EJ57+EI58-ER57)))</f>
        <v>277.99999999999994</v>
      </c>
      <c r="EK58" s="18">
        <f>EJ58*VLOOKUP('Données projet'!$B$15,Paramètres!$A$1:$I$89,3,0)*VLOOKUP('Données projet'!$B$15,Paramètres!$A$1:$I$89,5,0)</f>
        <v>225.51359999999997</v>
      </c>
      <c r="EL58" s="14">
        <f t="shared" si="45"/>
        <v>55.311507611662591</v>
      </c>
      <c r="EM58" s="22">
        <f t="shared" si="19"/>
        <v>489.1037290903123</v>
      </c>
      <c r="EN58" s="62">
        <f t="shared" si="20"/>
        <v>782.43706242364556</v>
      </c>
      <c r="EO58" s="62">
        <f ca="1">AVERAGE(OFFSET($EN$3,0,0,'Données projet'!$E$15+1,1))-AVERAGE(OFFSET($H$3,0,0,'Données projet'!$E$15+1,1))</f>
        <v>358.75637627589799</v>
      </c>
      <c r="EP58" s="62">
        <f t="shared" si="46"/>
        <v>349.64821164483607</v>
      </c>
      <c r="EQ58" s="16">
        <f>IF(ISNA(VLOOKUP(A58,'Données projet'!$A$191:$I$211,3,0)),0,VLOOKUP(A58,'Données projet'!$A$191:$I$211,3,0))</f>
        <v>10</v>
      </c>
      <c r="ER58" s="16">
        <f>IF(ISNA(VLOOKUP(A58,'Données projet'!$A$191:$I$211,4,0)),0,VLOOKUP(A58,'Données projet'!$A$191:$I$211,4,0))</f>
        <v>16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5.89225924965411</v>
      </c>
      <c r="EW58" s="23">
        <f>EXP(-LN(2)/25)*EW57+(1-EXP(-LN(2)/25))/(LN(2)/25)*Calculateur!ER58*Calculateur!ET58*VLOOKUP('Données projet'!$B$15,Paramètres!$A$1:$I$89,3,0)*0.475*44/12</f>
        <v>7.6689750207141048</v>
      </c>
      <c r="EX58" s="23">
        <f>EXP(-LN(2)/2)*EX57+(1-EXP(-LN(2)/2))/(LN(2)/2)*ER58*EU58*VLOOKUP('Données projet'!$B$15,Paramètres!$A$1:$I$89,3,0)*0.475*44/12</f>
        <v>6.2948734002097923E-4</v>
      </c>
      <c r="EY58" s="24">
        <f t="shared" si="21"/>
        <v>13.561863757708235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>
        <f>FE58*VLOOKUP('Données projet'!$B$16,Paramètres!$A$1:$I$89,3,0)*VLOOKUP('Données projet'!$B$16,Paramètres!$A$1:$I$89,5,0)</f>
        <v>0</v>
      </c>
      <c r="FG58" s="14" t="e">
        <f t="shared" si="47"/>
        <v>#NUM!</v>
      </c>
      <c r="FH58" s="22" t="e">
        <f t="shared" si="22"/>
        <v>#NUM!</v>
      </c>
      <c r="FI58" s="62" t="e">
        <f t="shared" si="23"/>
        <v>#NUM!</v>
      </c>
      <c r="FJ58" s="62">
        <f ca="1">AVERAGE(OFFSET($FI$3,0,0,'Données projet'!$E$16+1,1))-AVERAGE(OFFSET($H$3,0,0,'Données projet'!$E$16+1,1))</f>
        <v>121.28977654040114</v>
      </c>
      <c r="FK58" s="62">
        <f t="shared" si="48"/>
        <v>615.69585264342595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67.681880596697752</v>
      </c>
      <c r="FR58" s="23">
        <f>EXP(-LN(2)/25)*FR57+(1-EXP(-LN(2)/25))/(LN(2)/25)*Calculateur!FM58*Calculateur!FO58*VLOOKUP('Données projet'!$B$16,Paramètres!$A$1:$I$89,3,0)*0.475*44/12</f>
        <v>12.374444109313179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80.056324706010926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6.4</v>
      </c>
      <c r="N59" s="14">
        <f>IF('Données projet'!$A$36&gt;35,N58+M59-V58,IF(A59&lt;'Données projet'!$A$36,$K$205^A59,IF(A59='Données projet'!$A$36,'Données projet'!$B$36,N58+M59-V58)))</f>
        <v>268.39999999999992</v>
      </c>
      <c r="O59" s="14">
        <f>N59*VLOOKUP('Données projet'!$B$9,Paramètres!$A$1:$I$89,3,0)*VLOOKUP('Données projet'!$B$9,Paramètres!$A$1:$I$89,5,0)</f>
        <v>213.53903999999994</v>
      </c>
      <c r="P59" s="14">
        <f t="shared" si="33"/>
        <v>52.708201158564101</v>
      </c>
      <c r="Q59" s="22">
        <f t="shared" si="53"/>
        <v>463.71394501783237</v>
      </c>
      <c r="R59" s="62">
        <f t="shared" si="0"/>
        <v>757.04727835116569</v>
      </c>
      <c r="S59" s="62">
        <f ca="1">AVERAGE(OFFSET($R$3,0,0,'Données projet'!$E$9+1,1))-AVERAGE(OFFSET($H$3,0,0,'Données projet'!$E$9+1,1))</f>
        <v>352.5736659365665</v>
      </c>
      <c r="T59" s="62">
        <f t="shared" si="34"/>
        <v>343.77208530767069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8.0555255757582565</v>
      </c>
      <c r="AA59" s="23">
        <f>EXP(-LN(2)/25)*AA58+(1-EXP(-LN(2)/25))/(LN(2)/25)*Calculateur!V59*Calculateur!X59*VLOOKUP('Données projet'!$B$9,Paramètres!$A$1:$I$89,3,0)*0.475*44/12</f>
        <v>11.535529655355642</v>
      </c>
      <c r="AB59" s="23">
        <f>EXP(-LN(2)/2)*AB58+(1-EXP(-LN(2)/2))/(LN(2)/2)*V59*Y59*VLOOKUP('Données projet'!$B$9,Paramètres!$A$1:$I$89,3,0)*0.475*44/12</f>
        <v>0</v>
      </c>
      <c r="AC59" s="24">
        <f t="shared" si="3"/>
        <v>19.591055231113899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5.2</v>
      </c>
      <c r="AI59" s="14">
        <f>IF('Données projet'!$A$62&gt;35,AI58+AH59-AQ58,IF(A59&lt;'Données projet'!$A$62,$AF$205^A59,IF(A59='Données projet'!$A$62,'Données projet'!$B$62,AI58+AH59-AQ58)))</f>
        <v>156.20000000000016</v>
      </c>
      <c r="AJ59" s="14">
        <f>AI59*VLOOKUP('Données projet'!$B$10,Paramètres!$A$1:$I$89,3,0)*VLOOKUP('Données projet'!$B$10,Paramètres!$A$1:$I$89,5,0)</f>
        <v>102.34224000000012</v>
      </c>
      <c r="AK59" s="14">
        <f t="shared" si="35"/>
        <v>27.519249813625812</v>
      </c>
      <c r="AL59" s="22">
        <f t="shared" si="4"/>
        <v>226.17542809206512</v>
      </c>
      <c r="AM59" s="62">
        <f t="shared" si="5"/>
        <v>519.50876142539846</v>
      </c>
      <c r="AN59" s="62">
        <f ca="1">AVERAGE(OFFSET($AM$3,0,0,'Données projet'!$E$10+1,1))-AVERAGE(OFFSET($H$3,0,0,'Données projet'!$E$10+1,1))</f>
        <v>210.08998695869161</v>
      </c>
      <c r="AO59" s="62">
        <f t="shared" si="36"/>
        <v>207.30911916430881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2.2548514040345068E-5</v>
      </c>
      <c r="AX59" s="23">
        <f t="shared" si="6"/>
        <v>2.2548514040345068E-5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157.90631999999999</v>
      </c>
      <c r="BF59" s="14">
        <f t="shared" si="37"/>
        <v>40.369918631841159</v>
      </c>
      <c r="BG59" s="22">
        <f t="shared" si="7"/>
        <v>345.33111561712332</v>
      </c>
      <c r="BH59" s="62">
        <f t="shared" si="8"/>
        <v>638.66444895045663</v>
      </c>
      <c r="BI59" s="62">
        <f ca="1">AVERAGE(OFFSET($BH$3,0,0,'Données projet'!$E$11+1,1))-AVERAGE(OFFSET($H$3,0,0,'Données projet'!$E$11+1,1))</f>
        <v>335.83558218229564</v>
      </c>
      <c r="BJ59" s="62">
        <f t="shared" si="38"/>
        <v>217.08423061559648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2.560199654006513E-3</v>
      </c>
      <c r="BS59" s="24">
        <f t="shared" si="9"/>
        <v>2.560199654006513E-3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9.375</v>
      </c>
      <c r="BY59" s="13">
        <f>IF('Données projet'!$A$114&gt;35,BY58+BX59-CG58,IF(A59&lt;'Données projet'!$A$114,$BV$205^A59,IF(A59='Données projet'!$A$114,'Données projet'!$B$114,BY58+BX59-CG58)))</f>
        <v>259.49999999999989</v>
      </c>
      <c r="BZ59" s="14">
        <f>BY59*VLOOKUP('Données projet'!$B$12,Paramètres!$A$1:$I$89,3,0)*VLOOKUP('Données projet'!$B$12,Paramètres!$A$1:$I$89,5,0)</f>
        <v>202.40999999999991</v>
      </c>
      <c r="CA59" s="14">
        <f t="shared" si="39"/>
        <v>50.273442991661817</v>
      </c>
      <c r="CB59" s="22">
        <f t="shared" si="10"/>
        <v>440.09032987714414</v>
      </c>
      <c r="CC59" s="62">
        <f t="shared" si="11"/>
        <v>733.42366321047746</v>
      </c>
      <c r="CD59" s="62">
        <f ca="1">AVERAGE(OFFSET($CC$3,0,0,'Données projet'!$E$12+1,1))-AVERAGE(OFFSET($H$3,0,0,'Données projet'!$E$12+1,1))</f>
        <v>288.82868507674738</v>
      </c>
      <c r="CE59" s="62">
        <f t="shared" si="40"/>
        <v>283.48738729114024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2.3692514475118727</v>
      </c>
      <c r="CM59" s="23">
        <f>EXP(-LN(2)/2)*CM58+(1-EXP(-LN(2)/2))/(LN(2)/2)*CG59*CJ59*VLOOKUP('Données projet'!$B$12,Paramètres!$A$1:$I$89,3,0)*0.475*44/12</f>
        <v>3.1491329342834255E-4</v>
      </c>
      <c r="CN59" s="24">
        <f t="shared" si="12"/>
        <v>2.369566360805301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6.4</v>
      </c>
      <c r="CT59" s="13">
        <f>IF('Données projet'!$A$140&gt;35,CT58+CS59-DB58,IF(A59&lt;'Données projet'!$A$140,$CQ$205^A59,IF(A59='Données projet'!$A$140,'Données projet'!$B$140,CT58+CS59-DB58)))</f>
        <v>268.39999999999992</v>
      </c>
      <c r="CU59" s="18">
        <f>CT59*VLOOKUP('Données projet'!$B$13,Paramètres!$A$1:$I$89,3,0)*VLOOKUP('Données projet'!$B$13,Paramètres!$A$1:$I$89,5,0)</f>
        <v>234.47423999999998</v>
      </c>
      <c r="CV59" s="14">
        <f t="shared" si="41"/>
        <v>57.249029367164567</v>
      </c>
      <c r="CW59" s="22">
        <f t="shared" si="13"/>
        <v>508.08469414781166</v>
      </c>
      <c r="CX59" s="62">
        <f t="shared" si="14"/>
        <v>801.41802748114492</v>
      </c>
      <c r="CY59" s="62">
        <f ca="1">AVERAGE(OFFSET($CX$3,0,0,'Données projet'!$E$13+1,1))-AVERAGE(OFFSET($H$3,0,0,'Données projet'!$E$13+1,1))</f>
        <v>383.46266660377637</v>
      </c>
      <c r="CZ59" s="62">
        <f t="shared" si="42"/>
        <v>373.1287543230714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7.8083840679451164</v>
      </c>
      <c r="DH59" s="23">
        <f>EXP(-LN(2)/2)*DH58+(1-EXP(-LN(2)/2))/(LN(2)/2)*DB59*DE59*VLOOKUP('Données projet'!$B$13,Paramètres!$A$1:$I$89,3,0)*0.475*44/12</f>
        <v>2.592338661680712E-3</v>
      </c>
      <c r="DI59" s="24">
        <f t="shared" si="15"/>
        <v>7.8109764066067973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>
        <f>DO59*VLOOKUP('Données projet'!$B$14,Paramètres!$A$1:$I$89,3,0)*VLOOKUP('Données projet'!$B$14,Paramètres!$A$1:$I$89,5,0)</f>
        <v>0</v>
      </c>
      <c r="DQ59" s="14" t="e">
        <f t="shared" si="43"/>
        <v>#NUM!</v>
      </c>
      <c r="DR59" s="22" t="e">
        <f t="shared" si="16"/>
        <v>#NUM!</v>
      </c>
      <c r="DS59" s="62" t="e">
        <f t="shared" si="17"/>
        <v>#NUM!</v>
      </c>
      <c r="DT59" s="62">
        <f ca="1">AVERAGE(OFFSET($DS$3,0,0,'Données projet'!$E$14+1,1))-AVERAGE(OFFSET($H$3,0,0,'Données projet'!$E$14+1,1))</f>
        <v>96.56611521638132</v>
      </c>
      <c r="DU59" s="62">
        <f t="shared" si="44"/>
        <v>465.03257878814094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49.24869195722264</v>
      </c>
      <c r="EB59" s="23">
        <f>EXP(-LN(2)/25)*EB58+(1-EXP(-LN(2)/25))/(LN(2)/25)*Calculateur!DW59*Calculateur!DY59*VLOOKUP('Données projet'!$B$14,Paramètres!$A$1:$I$89,3,0)*0.475*44/12</f>
        <v>8.933211953286694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58.181903910509334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6.4</v>
      </c>
      <c r="EJ59" s="13">
        <f>IF('Données projet'!$A$192&gt;35,EJ58+EI59-ER58,IF(A59&lt;'Données projet'!$A$192,$EG$205^A59,IF(A59='Données projet'!$A$192,'Données projet'!$B$192,EJ58+EI59-ER58)))</f>
        <v>268.39999999999992</v>
      </c>
      <c r="EK59" s="18">
        <f>EJ59*VLOOKUP('Données projet'!$B$15,Paramètres!$A$1:$I$89,3,0)*VLOOKUP('Données projet'!$B$15,Paramètres!$A$1:$I$89,5,0)</f>
        <v>217.72607999999994</v>
      </c>
      <c r="EL59" s="14">
        <f t="shared" si="45"/>
        <v>53.62036198997307</v>
      </c>
      <c r="EM59" s="22">
        <f t="shared" si="19"/>
        <v>472.59505313253635</v>
      </c>
      <c r="EN59" s="62">
        <f t="shared" si="20"/>
        <v>765.92838646586961</v>
      </c>
      <c r="EO59" s="62">
        <f ca="1">AVERAGE(OFFSET($EN$3,0,0,'Données projet'!$E$15+1,1))-AVERAGE(OFFSET($H$3,0,0,'Données projet'!$E$15+1,1))</f>
        <v>358.75637627589799</v>
      </c>
      <c r="EP59" s="62">
        <f t="shared" si="46"/>
        <v>349.64821164483607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5.7767156396916644</v>
      </c>
      <c r="EW59" s="23">
        <f>EXP(-LN(2)/25)*EW58+(1-EXP(-LN(2)/25))/(LN(2)/25)*Calculateur!ER59*Calculateur!ET59*VLOOKUP('Données projet'!$B$15,Paramètres!$A$1:$I$89,3,0)*0.475*44/12</f>
        <v>7.4592664954788086</v>
      </c>
      <c r="EX59" s="23">
        <f>EXP(-LN(2)/2)*EX58+(1-EXP(-LN(2)/2))/(LN(2)/2)*ER59*EU59*VLOOKUP('Données projet'!$B$15,Paramètres!$A$1:$I$89,3,0)*0.475*44/12</f>
        <v>4.451147667999164E-4</v>
      </c>
      <c r="EY59" s="24">
        <f t="shared" si="21"/>
        <v>13.236427249937273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>
        <f>FE59*VLOOKUP('Données projet'!$B$16,Paramètres!$A$1:$I$89,3,0)*VLOOKUP('Données projet'!$B$16,Paramètres!$A$1:$I$89,5,0)</f>
        <v>0</v>
      </c>
      <c r="FG59" s="14" t="e">
        <f t="shared" si="47"/>
        <v>#NUM!</v>
      </c>
      <c r="FH59" s="22" t="e">
        <f t="shared" si="22"/>
        <v>#NUM!</v>
      </c>
      <c r="FI59" s="62" t="e">
        <f t="shared" si="23"/>
        <v>#NUM!</v>
      </c>
      <c r="FJ59" s="62">
        <f ca="1">AVERAGE(OFFSET($FI$3,0,0,'Données projet'!$E$16+1,1))-AVERAGE(OFFSET($H$3,0,0,'Données projet'!$E$16+1,1))</f>
        <v>121.28977654040114</v>
      </c>
      <c r="FK59" s="62">
        <f t="shared" si="48"/>
        <v>615.69585264342595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66.354680200067421</v>
      </c>
      <c r="FR59" s="23">
        <f>EXP(-LN(2)/25)*FR58+(1-EXP(-LN(2)/25))/(LN(2)/25)*Calculateur!FM59*Calculateur!FO59*VLOOKUP('Données projet'!$B$16,Paramètres!$A$1:$I$89,3,0)*0.475*44/12</f>
        <v>12.036064284400277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78.390744484467703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6.4</v>
      </c>
      <c r="N60" s="14">
        <f>IF('Données projet'!$A$36&gt;35,N59+M60-V59,IF(A60&lt;'Données projet'!$A$36,$K$205^A60,IF(A60='Données projet'!$A$36,'Données projet'!$B$36,N59+M60-V59)))</f>
        <v>274.7999999999999</v>
      </c>
      <c r="O60" s="14">
        <f>N60*VLOOKUP('Données projet'!$B$9,Paramètres!$A$1:$I$89,3,0)*VLOOKUP('Données projet'!$B$9,Paramètres!$A$1:$I$89,5,0)</f>
        <v>218.63087999999991</v>
      </c>
      <c r="P60" s="14">
        <f t="shared" si="33"/>
        <v>53.817206223982794</v>
      </c>
      <c r="Q60" s="22">
        <f t="shared" si="53"/>
        <v>474.51375017343656</v>
      </c>
      <c r="R60" s="62">
        <f t="shared" si="0"/>
        <v>767.84708350676988</v>
      </c>
      <c r="S60" s="62">
        <f ca="1">AVERAGE(OFFSET($R$3,0,0,'Données projet'!$E$9+1,1))-AVERAGE(OFFSET($H$3,0,0,'Données projet'!$E$9+1,1))</f>
        <v>352.5736659365665</v>
      </c>
      <c r="T60" s="62">
        <f t="shared" si="34"/>
        <v>343.77208530767069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7.8975616326030815</v>
      </c>
      <c r="AA60" s="23">
        <f>EXP(-LN(2)/25)*AA59+(1-EXP(-LN(2)/25))/(LN(2)/25)*Calculateur!V60*Calculateur!X60*VLOOKUP('Données projet'!$B$9,Paramètres!$A$1:$I$89,3,0)*0.475*44/12</f>
        <v>11.220089990302803</v>
      </c>
      <c r="AB60" s="23">
        <f>EXP(-LN(2)/2)*AB59+(1-EXP(-LN(2)/2))/(LN(2)/2)*V60*Y60*VLOOKUP('Données projet'!$B$9,Paramètres!$A$1:$I$89,3,0)*0.475*44/12</f>
        <v>0</v>
      </c>
      <c r="AC60" s="24">
        <f t="shared" si="3"/>
        <v>19.117651622905885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5.2</v>
      </c>
      <c r="AI60" s="14">
        <f>IF('Données projet'!$A$62&gt;35,AI59+AH60-AQ59,IF(A60&lt;'Données projet'!$A$62,$AF$205^A60,IF(A60='Données projet'!$A$62,'Données projet'!$B$62,AI59+AH60-AQ59)))</f>
        <v>161.40000000000015</v>
      </c>
      <c r="AJ60" s="14">
        <f>AI60*VLOOKUP('Données projet'!$B$10,Paramètres!$A$1:$I$89,3,0)*VLOOKUP('Données projet'!$B$10,Paramètres!$A$1:$I$89,5,0)</f>
        <v>105.74928000000008</v>
      </c>
      <c r="AK60" s="14">
        <f t="shared" si="35"/>
        <v>28.327196320252899</v>
      </c>
      <c r="AL60" s="22">
        <f t="shared" si="4"/>
        <v>233.51652959110729</v>
      </c>
      <c r="AM60" s="62">
        <f t="shared" si="5"/>
        <v>526.84986292444057</v>
      </c>
      <c r="AN60" s="62">
        <f ca="1">AVERAGE(OFFSET($AM$3,0,0,'Données projet'!$E$10+1,1))-AVERAGE(OFFSET($H$3,0,0,'Données projet'!$E$10+1,1))</f>
        <v>210.08998695869161</v>
      </c>
      <c r="AO60" s="62">
        <f t="shared" si="36"/>
        <v>207.30911916430881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1.5944207183608074E-5</v>
      </c>
      <c r="AX60" s="23">
        <f t="shared" si="6"/>
        <v>1.5944207183608074E-5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164.21184</v>
      </c>
      <c r="BF60" s="14">
        <f t="shared" si="37"/>
        <v>41.79106629541738</v>
      </c>
      <c r="BG60" s="22">
        <f t="shared" si="7"/>
        <v>358.78839513118527</v>
      </c>
      <c r="BH60" s="62">
        <f t="shared" si="8"/>
        <v>652.12172846451858</v>
      </c>
      <c r="BI60" s="62">
        <f ca="1">AVERAGE(OFFSET($BH$3,0,0,'Données projet'!$E$11+1,1))-AVERAGE(OFFSET($H$3,0,0,'Données projet'!$E$11+1,1))</f>
        <v>335.83558218229564</v>
      </c>
      <c r="BJ60" s="62">
        <f t="shared" si="38"/>
        <v>217.08423061559648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1.8103345365394581E-3</v>
      </c>
      <c r="BS60" s="24">
        <f t="shared" si="9"/>
        <v>1.8103345365394581E-3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9.375</v>
      </c>
      <c r="BY60" s="13">
        <f>IF('Données projet'!$A$114&gt;35,BY59+BX60-CG59,IF(A60&lt;'Données projet'!$A$114,$BV$205^A60,IF(A60='Données projet'!$A$114,'Données projet'!$B$114,BY59+BX60-CG59)))</f>
        <v>268.87499999999989</v>
      </c>
      <c r="BZ60" s="14">
        <f>BY60*VLOOKUP('Données projet'!$B$12,Paramètres!$A$1:$I$89,3,0)*VLOOKUP('Données projet'!$B$12,Paramètres!$A$1:$I$89,5,0)</f>
        <v>209.72249999999991</v>
      </c>
      <c r="CA60" s="14">
        <f t="shared" si="39"/>
        <v>51.874940300502246</v>
      </c>
      <c r="CB60" s="22">
        <f t="shared" si="10"/>
        <v>455.61554185670792</v>
      </c>
      <c r="CC60" s="62">
        <f t="shared" si="11"/>
        <v>748.94887519004124</v>
      </c>
      <c r="CD60" s="62">
        <f ca="1">AVERAGE(OFFSET($CC$3,0,0,'Données projet'!$E$12+1,1))-AVERAGE(OFFSET($H$3,0,0,'Données projet'!$E$12+1,1))</f>
        <v>288.82868507674738</v>
      </c>
      <c r="CE60" s="62">
        <f t="shared" si="40"/>
        <v>283.48738729114024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2.3044641420861418</v>
      </c>
      <c r="CM60" s="23">
        <f>EXP(-LN(2)/2)*CM59+(1-EXP(-LN(2)/2))/(LN(2)/2)*CG60*CJ60*VLOOKUP('Données projet'!$B$12,Paramètres!$A$1:$I$89,3,0)*0.475*44/12</f>
        <v>2.2267732526897005E-4</v>
      </c>
      <c r="CN60" s="24">
        <f t="shared" si="12"/>
        <v>2.304686819411411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6.4</v>
      </c>
      <c r="CT60" s="13">
        <f>IF('Données projet'!$A$140&gt;35,CT59+CS60-DB59,IF(A60&lt;'Données projet'!$A$140,$CQ$205^A60,IF(A60='Données projet'!$A$140,'Données projet'!$B$140,CT59+CS60-DB59)))</f>
        <v>274.7999999999999</v>
      </c>
      <c r="CU60" s="18">
        <f>CT60*VLOOKUP('Données projet'!$B$13,Paramètres!$A$1:$I$89,3,0)*VLOOKUP('Données projet'!$B$13,Paramètres!$A$1:$I$89,5,0)</f>
        <v>240.06527999999992</v>
      </c>
      <c r="CV60" s="14">
        <f t="shared" si="41"/>
        <v>58.453575569898582</v>
      </c>
      <c r="CW60" s="22">
        <f t="shared" si="13"/>
        <v>519.92034011757323</v>
      </c>
      <c r="CX60" s="62">
        <f t="shared" si="14"/>
        <v>813.25367345090649</v>
      </c>
      <c r="CY60" s="62">
        <f ca="1">AVERAGE(OFFSET($CX$3,0,0,'Données projet'!$E$13+1,1))-AVERAGE(OFFSET($H$3,0,0,'Données projet'!$E$13+1,1))</f>
        <v>383.46266660377637</v>
      </c>
      <c r="CZ60" s="62">
        <f t="shared" si="42"/>
        <v>373.1287543230714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7.5948633949820854</v>
      </c>
      <c r="DH60" s="23">
        <f>EXP(-LN(2)/2)*DH59+(1-EXP(-LN(2)/2))/(LN(2)/2)*DB60*DE60*VLOOKUP('Données projet'!$B$13,Paramètres!$A$1:$I$89,3,0)*0.475*44/12</f>
        <v>1.8330602468064907E-3</v>
      </c>
      <c r="DI60" s="24">
        <f t="shared" si="15"/>
        <v>7.5966964552288916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>
        <f>DO60*VLOOKUP('Données projet'!$B$14,Paramètres!$A$1:$I$89,3,0)*VLOOKUP('Données projet'!$B$14,Paramètres!$A$1:$I$89,5,0)</f>
        <v>0</v>
      </c>
      <c r="DQ60" s="14" t="e">
        <f t="shared" si="43"/>
        <v>#NUM!</v>
      </c>
      <c r="DR60" s="22" t="e">
        <f t="shared" si="16"/>
        <v>#NUM!</v>
      </c>
      <c r="DS60" s="62" t="e">
        <f t="shared" si="17"/>
        <v>#NUM!</v>
      </c>
      <c r="DT60" s="62">
        <f ca="1">AVERAGE(OFFSET($DS$3,0,0,'Données projet'!$E$14+1,1))-AVERAGE(OFFSET($H$3,0,0,'Données projet'!$E$14+1,1))</f>
        <v>96.56611521638132</v>
      </c>
      <c r="DU60" s="62">
        <f t="shared" si="44"/>
        <v>465.03257878814094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48.282955146677516</v>
      </c>
      <c r="EB60" s="23">
        <f>EXP(-LN(2)/25)*EB59+(1-EXP(-LN(2)/25))/(LN(2)/25)*Calculateur!DW60*Calculateur!DY60*VLOOKUP('Données projet'!$B$14,Paramètres!$A$1:$I$89,3,0)*0.475*44/12</f>
        <v>8.6889328026468693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56.971887949324383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6.4</v>
      </c>
      <c r="EJ60" s="13">
        <f>IF('Données projet'!$A$192&gt;35,EJ59+EI60-ER59,IF(A60&lt;'Données projet'!$A$192,$EG$205^A60,IF(A60='Données projet'!$A$192,'Données projet'!$B$192,EJ59+EI60-ER59)))</f>
        <v>274.7999999999999</v>
      </c>
      <c r="EK60" s="18">
        <f>EJ60*VLOOKUP('Données projet'!$B$15,Paramètres!$A$1:$I$89,3,0)*VLOOKUP('Données projet'!$B$15,Paramètres!$A$1:$I$89,5,0)</f>
        <v>222.91775999999993</v>
      </c>
      <c r="EL60" s="14">
        <f t="shared" si="45"/>
        <v>54.74855934350397</v>
      </c>
      <c r="EM60" s="22">
        <f t="shared" si="19"/>
        <v>483.60217285660264</v>
      </c>
      <c r="EN60" s="62">
        <f t="shared" si="20"/>
        <v>776.93550618993595</v>
      </c>
      <c r="EO60" s="62">
        <f ca="1">AVERAGE(OFFSET($EN$3,0,0,'Données projet'!$E$15+1,1))-AVERAGE(OFFSET($H$3,0,0,'Données projet'!$E$15+1,1))</f>
        <v>358.75637627589799</v>
      </c>
      <c r="EP60" s="62">
        <f t="shared" si="46"/>
        <v>349.64821164483607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5.663437769445939</v>
      </c>
      <c r="EW60" s="23">
        <f>EXP(-LN(2)/25)*EW59+(1-EXP(-LN(2)/25))/(LN(2)/25)*Calculateur!ER60*Calculateur!ET60*VLOOKUP('Données projet'!$B$15,Paramètres!$A$1:$I$89,3,0)*0.475*44/12</f>
        <v>7.2552924608941636</v>
      </c>
      <c r="EX60" s="23">
        <f>EXP(-LN(2)/2)*EX59+(1-EXP(-LN(2)/2))/(LN(2)/2)*ER60*EU60*VLOOKUP('Données projet'!$B$15,Paramètres!$A$1:$I$89,3,0)*0.475*44/12</f>
        <v>3.1474367001048961E-4</v>
      </c>
      <c r="EY60" s="24">
        <f t="shared" si="21"/>
        <v>12.919044974010113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>
        <f>FE60*VLOOKUP('Données projet'!$B$16,Paramètres!$A$1:$I$89,3,0)*VLOOKUP('Données projet'!$B$16,Paramètres!$A$1:$I$89,5,0)</f>
        <v>0</v>
      </c>
      <c r="FG60" s="14" t="e">
        <f t="shared" si="47"/>
        <v>#NUM!</v>
      </c>
      <c r="FH60" s="22" t="e">
        <f t="shared" si="22"/>
        <v>#NUM!</v>
      </c>
      <c r="FI60" s="62" t="e">
        <f t="shared" si="23"/>
        <v>#NUM!</v>
      </c>
      <c r="FJ60" s="62">
        <f ca="1">AVERAGE(OFFSET($FI$3,0,0,'Données projet'!$E$16+1,1))-AVERAGE(OFFSET($H$3,0,0,'Données projet'!$E$16+1,1))</f>
        <v>121.28977654040114</v>
      </c>
      <c r="FK60" s="62">
        <f t="shared" si="48"/>
        <v>615.69585264342595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65.053505393702707</v>
      </c>
      <c r="FR60" s="23">
        <f>EXP(-LN(2)/25)*FR59+(1-EXP(-LN(2)/25))/(LN(2)/25)*Calculateur!FM60*Calculateur!FO60*VLOOKUP('Données projet'!$B$16,Paramètres!$A$1:$I$89,3,0)*0.475*44/12</f>
        <v>11.706937473594239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76.760442867296945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6.4</v>
      </c>
      <c r="N61" s="14">
        <f>IF('Données projet'!$A$36&gt;35,N60+M61-V60,IF(A61&lt;'Données projet'!$A$36,$K$205^A61,IF(A61='Données projet'!$A$36,'Données projet'!$B$36,N60+M61-V60)))</f>
        <v>281.19999999999987</v>
      </c>
      <c r="O61" s="14">
        <f>N61*VLOOKUP('Données projet'!$B$9,Paramètres!$A$1:$I$89,3,0)*VLOOKUP('Données projet'!$B$9,Paramètres!$A$1:$I$89,5,0)</f>
        <v>223.72271999999992</v>
      </c>
      <c r="P61" s="14">
        <f t="shared" si="33"/>
        <v>54.923208653192283</v>
      </c>
      <c r="Q61" s="22">
        <f t="shared" si="53"/>
        <v>485.30832573764309</v>
      </c>
      <c r="R61" s="62">
        <f t="shared" si="0"/>
        <v>778.6416590709764</v>
      </c>
      <c r="S61" s="62">
        <f ca="1">AVERAGE(OFFSET($R$3,0,0,'Données projet'!$E$9+1,1))-AVERAGE(OFFSET($H$3,0,0,'Données projet'!$E$9+1,1))</f>
        <v>352.5736659365665</v>
      </c>
      <c r="T61" s="62">
        <f t="shared" si="34"/>
        <v>343.77208530767069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7.7426952660246879</v>
      </c>
      <c r="AA61" s="23">
        <f>EXP(-LN(2)/25)*AA60+(1-EXP(-LN(2)/25))/(LN(2)/25)*Calculateur!V61*Calculateur!X61*VLOOKUP('Données projet'!$B$9,Paramètres!$A$1:$I$89,3,0)*0.475*44/12</f>
        <v>10.913276039479085</v>
      </c>
      <c r="AB61" s="23">
        <f>EXP(-LN(2)/2)*AB60+(1-EXP(-LN(2)/2))/(LN(2)/2)*V61*Y61*VLOOKUP('Données projet'!$B$9,Paramètres!$A$1:$I$89,3,0)*0.475*44/12</f>
        <v>0</v>
      </c>
      <c r="AC61" s="24">
        <f t="shared" si="3"/>
        <v>18.655971305503773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5.2</v>
      </c>
      <c r="AI61" s="14">
        <f>IF('Données projet'!$A$62&gt;35,AI60+AH61-AQ60,IF(A61&lt;'Données projet'!$A$62,$AF$205^A61,IF(A61='Données projet'!$A$62,'Données projet'!$B$62,AI60+AH61-AQ60)))</f>
        <v>166.60000000000014</v>
      </c>
      <c r="AJ61" s="14">
        <f>AI61*VLOOKUP('Données projet'!$B$10,Paramètres!$A$1:$I$89,3,0)*VLOOKUP('Données projet'!$B$10,Paramètres!$A$1:$I$89,5,0)</f>
        <v>109.15632000000008</v>
      </c>
      <c r="AK61" s="14">
        <f t="shared" si="35"/>
        <v>29.132117998790388</v>
      </c>
      <c r="AL61" s="22">
        <f t="shared" si="4"/>
        <v>240.85236284789337</v>
      </c>
      <c r="AM61" s="62">
        <f t="shared" si="5"/>
        <v>534.18569618122672</v>
      </c>
      <c r="AN61" s="62">
        <f ca="1">AVERAGE(OFFSET($AM$3,0,0,'Données projet'!$E$10+1,1))-AVERAGE(OFFSET($H$3,0,0,'Données projet'!$E$10+1,1))</f>
        <v>210.08998695869161</v>
      </c>
      <c r="AO61" s="62">
        <f t="shared" si="36"/>
        <v>207.30911916430881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1.1274257020172534E-5</v>
      </c>
      <c r="AX61" s="23">
        <f t="shared" si="6"/>
        <v>1.1274257020172534E-5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170.51736</v>
      </c>
      <c r="BF61" s="14">
        <f t="shared" si="37"/>
        <v>43.205874515087281</v>
      </c>
      <c r="BG61" s="22">
        <f t="shared" si="7"/>
        <v>372.23463344711035</v>
      </c>
      <c r="BH61" s="62">
        <f t="shared" si="8"/>
        <v>665.56796678044361</v>
      </c>
      <c r="BI61" s="62">
        <f ca="1">AVERAGE(OFFSET($BH$3,0,0,'Données projet'!$E$11+1,1))-AVERAGE(OFFSET($H$3,0,0,'Données projet'!$E$11+1,1))</f>
        <v>335.83558218229564</v>
      </c>
      <c r="BJ61" s="62">
        <f t="shared" si="38"/>
        <v>217.08423061559648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1.2800998270032565E-3</v>
      </c>
      <c r="BS61" s="24">
        <f t="shared" si="9"/>
        <v>1.2800998270032565E-3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9.375</v>
      </c>
      <c r="BY61" s="13">
        <f>IF('Données projet'!$A$114&gt;35,BY60+BX61-CG60,IF(A61&lt;'Données projet'!$A$114,$BV$205^A61,IF(A61='Données projet'!$A$114,'Données projet'!$B$114,BY60+BX61-CG60)))</f>
        <v>278.24999999999989</v>
      </c>
      <c r="BZ61" s="14">
        <f>BY61*VLOOKUP('Données projet'!$B$12,Paramètres!$A$1:$I$89,3,0)*VLOOKUP('Données projet'!$B$12,Paramètres!$A$1:$I$89,5,0)</f>
        <v>217.03499999999991</v>
      </c>
      <c r="CA61" s="14">
        <f t="shared" si="39"/>
        <v>53.469949591969474</v>
      </c>
      <c r="CB61" s="22">
        <f t="shared" si="10"/>
        <v>471.12945387267996</v>
      </c>
      <c r="CC61" s="62">
        <f t="shared" si="11"/>
        <v>764.46278720601322</v>
      </c>
      <c r="CD61" s="62">
        <f ca="1">AVERAGE(OFFSET($CC$3,0,0,'Données projet'!$E$12+1,1))-AVERAGE(OFFSET($H$3,0,0,'Données projet'!$E$12+1,1))</f>
        <v>288.82868507674738</v>
      </c>
      <c r="CE61" s="62">
        <f t="shared" si="40"/>
        <v>283.48738729114024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2.2414484489342938</v>
      </c>
      <c r="CM61" s="23">
        <f>EXP(-LN(2)/2)*CM60+(1-EXP(-LN(2)/2))/(LN(2)/2)*CG61*CJ61*VLOOKUP('Données projet'!$B$12,Paramètres!$A$1:$I$89,3,0)*0.475*44/12</f>
        <v>1.5745664671417127E-4</v>
      </c>
      <c r="CN61" s="24">
        <f t="shared" si="12"/>
        <v>2.2416059055810078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6.4</v>
      </c>
      <c r="CT61" s="13">
        <f>IF('Données projet'!$A$140&gt;35,CT60+CS61-DB60,IF(A61&lt;'Données projet'!$A$140,$CQ$205^A61,IF(A61='Données projet'!$A$140,'Données projet'!$B$140,CT60+CS61-DB60)))</f>
        <v>281.19999999999987</v>
      </c>
      <c r="CU61" s="18">
        <f>CT61*VLOOKUP('Données projet'!$B$13,Paramètres!$A$1:$I$89,3,0)*VLOOKUP('Données projet'!$B$13,Paramètres!$A$1:$I$89,5,0)</f>
        <v>245.65631999999994</v>
      </c>
      <c r="CV61" s="14">
        <f t="shared" si="41"/>
        <v>59.654860458363828</v>
      </c>
      <c r="CW61" s="22">
        <f t="shared" si="13"/>
        <v>531.75030596498357</v>
      </c>
      <c r="CX61" s="62">
        <f t="shared" si="14"/>
        <v>825.08363929831694</v>
      </c>
      <c r="CY61" s="62">
        <f ca="1">AVERAGE(OFFSET($CX$3,0,0,'Données projet'!$E$13+1,1))-AVERAGE(OFFSET($H$3,0,0,'Données projet'!$E$13+1,1))</f>
        <v>383.46266660377637</v>
      </c>
      <c r="CZ61" s="62">
        <f t="shared" si="42"/>
        <v>373.1287543230714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7.3871814560497926</v>
      </c>
      <c r="DH61" s="23">
        <f>EXP(-LN(2)/2)*DH60+(1-EXP(-LN(2)/2))/(LN(2)/2)*DB61*DE61*VLOOKUP('Données projet'!$B$13,Paramètres!$A$1:$I$89,3,0)*0.475*44/12</f>
        <v>1.296169330840356E-3</v>
      </c>
      <c r="DI61" s="24">
        <f t="shared" si="15"/>
        <v>7.3884776253806326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>
        <f>DO61*VLOOKUP('Données projet'!$B$14,Paramètres!$A$1:$I$89,3,0)*VLOOKUP('Données projet'!$B$14,Paramètres!$A$1:$I$89,5,0)</f>
        <v>0</v>
      </c>
      <c r="DQ61" s="14" t="e">
        <f t="shared" si="43"/>
        <v>#NUM!</v>
      </c>
      <c r="DR61" s="22" t="e">
        <f t="shared" si="16"/>
        <v>#NUM!</v>
      </c>
      <c r="DS61" s="62" t="e">
        <f t="shared" si="17"/>
        <v>#NUM!</v>
      </c>
      <c r="DT61" s="62">
        <f ca="1">AVERAGE(OFFSET($DS$3,0,0,'Données projet'!$E$14+1,1))-AVERAGE(OFFSET($H$3,0,0,'Données projet'!$E$14+1,1))</f>
        <v>96.56611521638132</v>
      </c>
      <c r="DU61" s="62">
        <f t="shared" si="44"/>
        <v>465.03257878814094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47.336155845945896</v>
      </c>
      <c r="EB61" s="23">
        <f>EXP(-LN(2)/25)*EB60+(1-EXP(-LN(2)/25))/(LN(2)/25)*Calculateur!DW61*Calculateur!DY61*VLOOKUP('Données projet'!$B$14,Paramètres!$A$1:$I$89,3,0)*0.475*44/12</f>
        <v>8.4513334782273741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55.787489324173272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6.4</v>
      </c>
      <c r="EJ61" s="13">
        <f>IF('Données projet'!$A$192&gt;35,EJ60+EI61-ER60,IF(A61&lt;'Données projet'!$A$192,$EG$205^A61,IF(A61='Données projet'!$A$192,'Données projet'!$B$192,EJ60+EI61-ER60)))</f>
        <v>281.19999999999987</v>
      </c>
      <c r="EK61" s="18">
        <f>EJ61*VLOOKUP('Données projet'!$B$15,Paramètres!$A$1:$I$89,3,0)*VLOOKUP('Données projet'!$B$15,Paramètres!$A$1:$I$89,5,0)</f>
        <v>228.10943999999989</v>
      </c>
      <c r="EL61" s="14">
        <f t="shared" si="45"/>
        <v>55.873702097619123</v>
      </c>
      <c r="EM61" s="22">
        <f t="shared" si="19"/>
        <v>494.60397248668642</v>
      </c>
      <c r="EN61" s="62">
        <f t="shared" si="20"/>
        <v>787.93730582001967</v>
      </c>
      <c r="EO61" s="62">
        <f ca="1">AVERAGE(OFFSET($EN$3,0,0,'Données projet'!$E$15+1,1))-AVERAGE(OFFSET($H$3,0,0,'Données projet'!$E$15+1,1))</f>
        <v>358.75637627589799</v>
      </c>
      <c r="EP61" s="62">
        <f t="shared" si="46"/>
        <v>349.64821164483607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5.5523812091430544</v>
      </c>
      <c r="EW61" s="23">
        <f>EXP(-LN(2)/25)*EW60+(1-EXP(-LN(2)/25))/(LN(2)/25)*Calculateur!ER61*Calculateur!ET61*VLOOKUP('Données projet'!$B$15,Paramètres!$A$1:$I$89,3,0)*0.475*44/12</f>
        <v>7.056896107011764</v>
      </c>
      <c r="EX61" s="23">
        <f>EXP(-LN(2)/2)*EX60+(1-EXP(-LN(2)/2))/(LN(2)/2)*ER61*EU61*VLOOKUP('Données projet'!$B$15,Paramètres!$A$1:$I$89,3,0)*0.475*44/12</f>
        <v>2.225573833999582E-4</v>
      </c>
      <c r="EY61" s="24">
        <f t="shared" si="21"/>
        <v>12.609499873538219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>
        <f>FE61*VLOOKUP('Données projet'!$B$16,Paramètres!$A$1:$I$89,3,0)*VLOOKUP('Données projet'!$B$16,Paramètres!$A$1:$I$89,5,0)</f>
        <v>0</v>
      </c>
      <c r="FG61" s="14" t="e">
        <f t="shared" si="47"/>
        <v>#NUM!</v>
      </c>
      <c r="FH61" s="22" t="e">
        <f t="shared" si="22"/>
        <v>#NUM!</v>
      </c>
      <c r="FI61" s="62" t="e">
        <f t="shared" si="23"/>
        <v>#NUM!</v>
      </c>
      <c r="FJ61" s="62">
        <f ca="1">AVERAGE(OFFSET($FI$3,0,0,'Données projet'!$E$16+1,1))-AVERAGE(OFFSET($H$3,0,0,'Données projet'!$E$16+1,1))</f>
        <v>121.28977654040114</v>
      </c>
      <c r="FK61" s="62">
        <f t="shared" si="48"/>
        <v>615.69585264342595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63.777845831652542</v>
      </c>
      <c r="FR61" s="23">
        <f>EXP(-LN(2)/25)*FR60+(1-EXP(-LN(2)/25))/(LN(2)/25)*Calculateur!FM61*Calculateur!FO61*VLOOKUP('Données projet'!$B$16,Paramètres!$A$1:$I$89,3,0)*0.475*44/12</f>
        <v>11.38681065273772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75.164656484390264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6.4</v>
      </c>
      <c r="N62" s="14">
        <f>IF('Données projet'!$A$36&gt;35,N61+M62-V61,IF(A62&lt;'Données projet'!$A$36,$K$205^A62,IF(A62='Données projet'!$A$36,'Données projet'!$B$36,N61+M62-V61)))</f>
        <v>287.59999999999985</v>
      </c>
      <c r="O62" s="14">
        <f>N62*VLOOKUP('Données projet'!$B$9,Paramètres!$A$1:$I$89,3,0)*VLOOKUP('Données projet'!$B$9,Paramètres!$A$1:$I$89,5,0)</f>
        <v>228.81455999999989</v>
      </c>
      <c r="P62" s="14">
        <f t="shared" si="33"/>
        <v>56.026284651959251</v>
      </c>
      <c r="Q62" s="22">
        <f t="shared" si="53"/>
        <v>496.09780443549545</v>
      </c>
      <c r="R62" s="62">
        <f t="shared" si="0"/>
        <v>789.43113776882876</v>
      </c>
      <c r="S62" s="62">
        <f ca="1">AVERAGE(OFFSET($R$3,0,0,'Données projet'!$E$9+1,1))-AVERAGE(OFFSET($H$3,0,0,'Données projet'!$E$9+1,1))</f>
        <v>352.5736659365665</v>
      </c>
      <c r="T62" s="62">
        <f t="shared" si="34"/>
        <v>343.77208530767069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7.5908657344357406</v>
      </c>
      <c r="AA62" s="23">
        <f>EXP(-LN(2)/25)*AA61+(1-EXP(-LN(2)/25))/(LN(2)/25)*Calculateur!V62*Calculateur!X62*VLOOKUP('Données projet'!$B$9,Paramètres!$A$1:$I$89,3,0)*0.475*44/12</f>
        <v>10.614851932275284</v>
      </c>
      <c r="AB62" s="23">
        <f>EXP(-LN(2)/2)*AB61+(1-EXP(-LN(2)/2))/(LN(2)/2)*V62*Y62*VLOOKUP('Données projet'!$B$9,Paramètres!$A$1:$I$89,3,0)*0.475*44/12</f>
        <v>0</v>
      </c>
      <c r="AC62" s="24">
        <f t="shared" si="3"/>
        <v>18.205717666711024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5.2</v>
      </c>
      <c r="AI62" s="14">
        <f>IF('Données projet'!$A$62&gt;35,AI61+AH62-AQ61,IF(A62&lt;'Données projet'!$A$62,$AF$205^A62,IF(A62='Données projet'!$A$62,'Données projet'!$B$62,AI61+AH62-AQ61)))</f>
        <v>171.80000000000013</v>
      </c>
      <c r="AJ62" s="14">
        <f>AI62*VLOOKUP('Données projet'!$B$10,Paramètres!$A$1:$I$89,3,0)*VLOOKUP('Données projet'!$B$10,Paramètres!$A$1:$I$89,5,0)</f>
        <v>112.56336000000007</v>
      </c>
      <c r="AK62" s="14">
        <f t="shared" si="35"/>
        <v>29.934120094679091</v>
      </c>
      <c r="AL62" s="22">
        <f t="shared" si="4"/>
        <v>248.18311116489954</v>
      </c>
      <c r="AM62" s="62">
        <f t="shared" si="5"/>
        <v>541.51644449823289</v>
      </c>
      <c r="AN62" s="62">
        <f ca="1">AVERAGE(OFFSET($AM$3,0,0,'Données projet'!$E$10+1,1))-AVERAGE(OFFSET($H$3,0,0,'Données projet'!$E$10+1,1))</f>
        <v>210.08998695869161</v>
      </c>
      <c r="AO62" s="62">
        <f t="shared" si="36"/>
        <v>207.30911916430881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7.972103591804037E-6</v>
      </c>
      <c r="AX62" s="23">
        <f t="shared" si="6"/>
        <v>7.972103591804037E-6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176.82287999999997</v>
      </c>
      <c r="BF62" s="14">
        <f t="shared" si="37"/>
        <v>44.614604561369582</v>
      </c>
      <c r="BG62" s="22">
        <f t="shared" si="7"/>
        <v>385.67028561105195</v>
      </c>
      <c r="BH62" s="62">
        <f t="shared" si="8"/>
        <v>679.00361894438527</v>
      </c>
      <c r="BI62" s="62">
        <f ca="1">AVERAGE(OFFSET($BH$3,0,0,'Données projet'!$E$11+1,1))-AVERAGE(OFFSET($H$3,0,0,'Données projet'!$E$11+1,1))</f>
        <v>335.83558218229564</v>
      </c>
      <c r="BJ62" s="62">
        <f t="shared" si="38"/>
        <v>217.08423061559648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9.0516726826972904E-4</v>
      </c>
      <c r="BS62" s="24">
        <f t="shared" si="9"/>
        <v>9.0516726826972904E-4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9.375</v>
      </c>
      <c r="BY62" s="13">
        <f>IF('Données projet'!$A$114&gt;35,BY61+BX62-CG61,IF(A62&lt;'Données projet'!$A$114,$BV$205^A62,IF(A62='Données projet'!$A$114,'Données projet'!$B$114,BY61+BX62-CG61)))</f>
        <v>287.62499999999989</v>
      </c>
      <c r="BZ62" s="14">
        <f>BY62*VLOOKUP('Données projet'!$B$12,Paramètres!$A$1:$I$89,3,0)*VLOOKUP('Données projet'!$B$12,Paramètres!$A$1:$I$89,5,0)</f>
        <v>224.34749999999991</v>
      </c>
      <c r="CA62" s="14">
        <f t="shared" si="39"/>
        <v>55.058714525680429</v>
      </c>
      <c r="CB62" s="22">
        <f t="shared" si="10"/>
        <v>486.63249029889329</v>
      </c>
      <c r="CC62" s="62">
        <f t="shared" si="11"/>
        <v>779.9658236322266</v>
      </c>
      <c r="CD62" s="62">
        <f ca="1">AVERAGE(OFFSET($CC$3,0,0,'Données projet'!$E$12+1,1))-AVERAGE(OFFSET($H$3,0,0,'Données projet'!$E$12+1,1))</f>
        <v>288.82868507674738</v>
      </c>
      <c r="CE62" s="62">
        <f t="shared" si="40"/>
        <v>283.48738729114024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2.1801559232255348</v>
      </c>
      <c r="CM62" s="23">
        <f>EXP(-LN(2)/2)*CM61+(1-EXP(-LN(2)/2))/(LN(2)/2)*CG62*CJ62*VLOOKUP('Données projet'!$B$12,Paramètres!$A$1:$I$89,3,0)*0.475*44/12</f>
        <v>1.1133866263448503E-4</v>
      </c>
      <c r="CN62" s="24">
        <f t="shared" si="12"/>
        <v>2.1802672618881691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6.4</v>
      </c>
      <c r="CT62" s="13">
        <f>IF('Données projet'!$A$140&gt;35,CT61+CS62-DB61,IF(A62&lt;'Données projet'!$A$140,$CQ$205^A62,IF(A62='Données projet'!$A$140,'Données projet'!$B$140,CT61+CS62-DB61)))</f>
        <v>287.59999999999985</v>
      </c>
      <c r="CU62" s="18">
        <f>CT62*VLOOKUP('Données projet'!$B$13,Paramètres!$A$1:$I$89,3,0)*VLOOKUP('Données projet'!$B$13,Paramètres!$A$1:$I$89,5,0)</f>
        <v>251.2473599999999</v>
      </c>
      <c r="CV62" s="14">
        <f t="shared" si="41"/>
        <v>60.852966803477898</v>
      </c>
      <c r="CW62" s="22">
        <f t="shared" si="13"/>
        <v>543.57473584939044</v>
      </c>
      <c r="CX62" s="62">
        <f t="shared" si="14"/>
        <v>836.90806918272369</v>
      </c>
      <c r="CY62" s="62">
        <f ca="1">AVERAGE(OFFSET($CX$3,0,0,'Données projet'!$E$13+1,1))-AVERAGE(OFFSET($H$3,0,0,'Données projet'!$E$13+1,1))</f>
        <v>383.46266660377637</v>
      </c>
      <c r="CZ62" s="62">
        <f t="shared" si="42"/>
        <v>373.1287543230714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7.1851785906591221</v>
      </c>
      <c r="DH62" s="23">
        <f>EXP(-LN(2)/2)*DH61+(1-EXP(-LN(2)/2))/(LN(2)/2)*DB62*DE62*VLOOKUP('Données projet'!$B$13,Paramètres!$A$1:$I$89,3,0)*0.475*44/12</f>
        <v>9.1653012340324534E-4</v>
      </c>
      <c r="DI62" s="24">
        <f t="shared" si="15"/>
        <v>7.1860951207825252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>
        <f>DO62*VLOOKUP('Données projet'!$B$14,Paramètres!$A$1:$I$89,3,0)*VLOOKUP('Données projet'!$B$14,Paramètres!$A$1:$I$89,5,0)</f>
        <v>0</v>
      </c>
      <c r="DQ62" s="14" t="e">
        <f t="shared" si="43"/>
        <v>#NUM!</v>
      </c>
      <c r="DR62" s="22" t="e">
        <f t="shared" si="16"/>
        <v>#NUM!</v>
      </c>
      <c r="DS62" s="62" t="e">
        <f t="shared" si="17"/>
        <v>#NUM!</v>
      </c>
      <c r="DT62" s="62">
        <f ca="1">AVERAGE(OFFSET($DS$3,0,0,'Données projet'!$E$14+1,1))-AVERAGE(OFFSET($H$3,0,0,'Données projet'!$E$14+1,1))</f>
        <v>96.56611521638132</v>
      </c>
      <c r="DU62" s="62">
        <f t="shared" si="44"/>
        <v>465.03257878814094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46.407922702011071</v>
      </c>
      <c r="EB62" s="23">
        <f>EXP(-LN(2)/25)*EB61+(1-EXP(-LN(2)/25))/(LN(2)/25)*Calculateur!DW62*Calculateur!DY62*VLOOKUP('Données projet'!$B$14,Paramètres!$A$1:$I$89,3,0)*0.475*44/12</f>
        <v>8.220231319828935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54.628154021840004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6.4</v>
      </c>
      <c r="EJ62" s="13">
        <f>IF('Données projet'!$A$192&gt;35,EJ61+EI62-ER61,IF(A62&lt;'Données projet'!$A$192,$EG$205^A62,IF(A62='Données projet'!$A$192,'Données projet'!$B$192,EJ61+EI62-ER61)))</f>
        <v>287.59999999999985</v>
      </c>
      <c r="EK62" s="18">
        <f>EJ62*VLOOKUP('Données projet'!$B$15,Paramètres!$A$1:$I$89,3,0)*VLOOKUP('Données projet'!$B$15,Paramètres!$A$1:$I$89,5,0)</f>
        <v>233.30111999999991</v>
      </c>
      <c r="EL62" s="14">
        <f t="shared" si="45"/>
        <v>56.995867776891657</v>
      </c>
      <c r="EM62" s="22">
        <f t="shared" si="19"/>
        <v>505.60058704475279</v>
      </c>
      <c r="EN62" s="62">
        <f t="shared" si="20"/>
        <v>798.9339203780861</v>
      </c>
      <c r="EO62" s="62">
        <f ca="1">AVERAGE(OFFSET($EN$3,0,0,'Données projet'!$E$15+1,1))-AVERAGE(OFFSET($H$3,0,0,'Données projet'!$E$15+1,1))</f>
        <v>358.75637627589799</v>
      </c>
      <c r="EP62" s="62">
        <f t="shared" si="46"/>
        <v>349.64821164483607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5.443502400249896</v>
      </c>
      <c r="EW62" s="23">
        <f>EXP(-LN(2)/25)*EW61+(1-EXP(-LN(2)/25))/(LN(2)/25)*Calculateur!ER62*Calculateur!ET62*VLOOKUP('Données projet'!$B$15,Paramètres!$A$1:$I$89,3,0)*0.475*44/12</f>
        <v>6.8639249118594901</v>
      </c>
      <c r="EX62" s="23">
        <f>EXP(-LN(2)/2)*EX61+(1-EXP(-LN(2)/2))/(LN(2)/2)*ER62*EU62*VLOOKUP('Données projet'!$B$15,Paramètres!$A$1:$I$89,3,0)*0.475*44/12</f>
        <v>1.5737183500524481E-4</v>
      </c>
      <c r="EY62" s="24">
        <f t="shared" si="21"/>
        <v>12.307584683944391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>
        <f>FE62*VLOOKUP('Données projet'!$B$16,Paramètres!$A$1:$I$89,3,0)*VLOOKUP('Données projet'!$B$16,Paramètres!$A$1:$I$89,5,0)</f>
        <v>0</v>
      </c>
      <c r="FG62" s="14" t="e">
        <f t="shared" si="47"/>
        <v>#NUM!</v>
      </c>
      <c r="FH62" s="22" t="e">
        <f t="shared" si="22"/>
        <v>#NUM!</v>
      </c>
      <c r="FI62" s="62" t="e">
        <f t="shared" si="23"/>
        <v>#NUM!</v>
      </c>
      <c r="FJ62" s="62">
        <f ca="1">AVERAGE(OFFSET($FI$3,0,0,'Données projet'!$E$16+1,1))-AVERAGE(OFFSET($H$3,0,0,'Données projet'!$E$16+1,1))</f>
        <v>121.28977654040114</v>
      </c>
      <c r="FK62" s="62">
        <f t="shared" si="48"/>
        <v>615.69585264342595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62.527201175538671</v>
      </c>
      <c r="FR62" s="23">
        <f>EXP(-LN(2)/25)*FR61+(1-EXP(-LN(2)/25))/(LN(2)/25)*Calculateur!FM62*Calculateur!FO62*VLOOKUP('Données projet'!$B$16,Paramètres!$A$1:$I$89,3,0)*0.475*44/12</f>
        <v>11.07543771663226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73.60263889217093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294</v>
      </c>
      <c r="L63" s="13">
        <f>VLOOKUP(A63,'Données projet'!$A$35:$I$55,9,0)</f>
        <v>6.4</v>
      </c>
      <c r="M63" s="13">
        <f t="array" ref="M63">INDEX(L:L,MIN(IF(ISNUMBER(L63:L259),ROW(L63:L259),"")))</f>
        <v>6.4</v>
      </c>
      <c r="N63" s="14">
        <f>IF('Données projet'!$A$36&gt;35,N62+M63-V62,IF(A63&lt;'Données projet'!$A$36,$K$205^A63,IF(A63='Données projet'!$A$36,'Données projet'!$B$36,N62+M63-V62)))</f>
        <v>293.99999999999983</v>
      </c>
      <c r="O63" s="14">
        <f>N63*VLOOKUP('Données projet'!$B$9,Paramètres!$A$1:$I$89,3,0)*VLOOKUP('Données projet'!$B$9,Paramètres!$A$1:$I$89,5,0)</f>
        <v>233.90639999999988</v>
      </c>
      <c r="P63" s="14">
        <f t="shared" si="33"/>
        <v>57.126506840778347</v>
      </c>
      <c r="Q63" s="22">
        <f t="shared" si="53"/>
        <v>506.88231274768867</v>
      </c>
      <c r="R63" s="62">
        <f t="shared" si="0"/>
        <v>800.21564608102199</v>
      </c>
      <c r="S63" s="62">
        <f ca="1">AVERAGE(OFFSET($R$3,0,0,'Données projet'!$E$9+1,1))-AVERAGE(OFFSET($H$3,0,0,'Données projet'!$E$9+1,1))</f>
        <v>352.5736659365665</v>
      </c>
      <c r="T63" s="62">
        <f t="shared" si="34"/>
        <v>343.77208530767069</v>
      </c>
      <c r="U63" s="16">
        <f>IF(ISNA(VLOOKUP(A63,'Données projet'!$A$35:$I$55,3,0)),0,VLOOKUP(A63,'Données projet'!$A$35:$I$55,3,0))</f>
        <v>11</v>
      </c>
      <c r="V63" s="16">
        <f>IF(ISNA(VLOOKUP(A63,'Données projet'!$A$35:$I$55,4,0)),0,VLOOKUP(A63,'Données projet'!$A$35:$I$55,4,0))</f>
        <v>14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7.442013487354382</v>
      </c>
      <c r="AA63" s="23">
        <f>EXP(-LN(2)/25)*AA62+(1-EXP(-LN(2)/25))/(LN(2)/25)*Calculateur!V63*Calculateur!X63*VLOOKUP('Données projet'!$B$9,Paramètres!$A$1:$I$89,3,0)*0.475*44/12</f>
        <v>10.324588247976415</v>
      </c>
      <c r="AB63" s="23">
        <f>EXP(-LN(2)/2)*AB62+(1-EXP(-LN(2)/2))/(LN(2)/2)*V63*Y63*VLOOKUP('Données projet'!$B$9,Paramètres!$A$1:$I$89,3,0)*0.475*44/12</f>
        <v>0</v>
      </c>
      <c r="AC63" s="24">
        <f t="shared" si="3"/>
        <v>17.766601735330795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177</v>
      </c>
      <c r="AG63" s="13">
        <f>VLOOKUP(A63,'Données projet'!$A$61:$I$81,9,0)</f>
        <v>5.2</v>
      </c>
      <c r="AH63" s="13">
        <f t="array" ref="AH63">INDEX(AG:AG,MIN(IF(ISNUMBER(AG63:AG259),ROW(AG63:AG259),"")))</f>
        <v>5.2</v>
      </c>
      <c r="AI63" s="14">
        <f>IF('Données projet'!$A$62&gt;35,AI62+AH63-AQ62,IF(A63&lt;'Données projet'!$A$62,$AF$205^A63,IF(A63='Données projet'!$A$62,'Données projet'!$B$62,AI62+AH63-AQ62)))</f>
        <v>177.00000000000011</v>
      </c>
      <c r="AJ63" s="14">
        <f>AI63*VLOOKUP('Données projet'!$B$10,Paramètres!$A$1:$I$89,3,0)*VLOOKUP('Données projet'!$B$10,Paramètres!$A$1:$I$89,5,0)</f>
        <v>115.97040000000007</v>
      </c>
      <c r="AK63" s="14">
        <f t="shared" si="35"/>
        <v>30.733301120222794</v>
      </c>
      <c r="AL63" s="22">
        <f t="shared" si="4"/>
        <v>255.50894611772148</v>
      </c>
      <c r="AM63" s="62">
        <f t="shared" si="5"/>
        <v>548.84227945105476</v>
      </c>
      <c r="AN63" s="62">
        <f ca="1">AVERAGE(OFFSET($AM$3,0,0,'Données projet'!$E$10+1,1))-AVERAGE(OFFSET($H$3,0,0,'Données projet'!$E$10+1,1))</f>
        <v>210.08998695869161</v>
      </c>
      <c r="AO63" s="62">
        <f t="shared" si="36"/>
        <v>207.30911916430881</v>
      </c>
      <c r="AP63" s="16">
        <f>IF(ISNA(VLOOKUP(A63,'Données projet'!$A$61:$I$81,3,0)),0,VLOOKUP(A63,'Données projet'!$A$61:$I$81,3,0))</f>
        <v>11</v>
      </c>
      <c r="AQ63" s="16">
        <f>IF(ISNA(VLOOKUP(A63,'Données projet'!$A$61:$I$81,4,0)),0,VLOOKUP(A63,'Données projet'!$A$61:$I$81,4,0))</f>
        <v>19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5.637128510086267E-6</v>
      </c>
      <c r="AX63" s="23">
        <f t="shared" si="6"/>
        <v>5.637128510086267E-6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183.12839999999997</v>
      </c>
      <c r="BF63" s="14">
        <f t="shared" si="37"/>
        <v>46.017498014577676</v>
      </c>
      <c r="BG63" s="22">
        <f t="shared" si="7"/>
        <v>399.09577237538934</v>
      </c>
      <c r="BH63" s="62">
        <f t="shared" si="8"/>
        <v>692.42910570872266</v>
      </c>
      <c r="BI63" s="62">
        <f ca="1">AVERAGE(OFFSET($BH$3,0,0,'Données projet'!$E$11+1,1))-AVERAGE(OFFSET($H$3,0,0,'Données projet'!$E$11+1,1))</f>
        <v>335.83558218229564</v>
      </c>
      <c r="BJ63" s="62">
        <f t="shared" si="38"/>
        <v>217.08423061559648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28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6.4004991350162825E-4</v>
      </c>
      <c r="BS63" s="24">
        <f t="shared" si="9"/>
        <v>6.4004991350162825E-4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297</v>
      </c>
      <c r="BW63" s="13">
        <f>VLOOKUP(A63,'Données projet'!$A$113:$I$133,9,0)</f>
        <v>9.375</v>
      </c>
      <c r="BX63" s="13">
        <f t="array" ref="BX63">INDEX(BW:BW,MIN(IF(ISNUMBER(BW63:BW259),ROW(BW63:BW259),"")))</f>
        <v>9.375</v>
      </c>
      <c r="BY63" s="13">
        <f>IF('Données projet'!$A$114&gt;35,BY62+BX63-CG62,IF(A63&lt;'Données projet'!$A$114,$BV$205^A63,IF(A63='Données projet'!$A$114,'Données projet'!$B$114,BY62+BX63-CG62)))</f>
        <v>296.99999999999989</v>
      </c>
      <c r="BZ63" s="14">
        <f>BY63*VLOOKUP('Données projet'!$B$12,Paramètres!$A$1:$I$89,3,0)*VLOOKUP('Données projet'!$B$12,Paramètres!$A$1:$I$89,5,0)</f>
        <v>231.65999999999991</v>
      </c>
      <c r="CA63" s="14">
        <f t="shared" si="39"/>
        <v>56.641461975682766</v>
      </c>
      <c r="CB63" s="22">
        <f t="shared" si="10"/>
        <v>502.125046274314</v>
      </c>
      <c r="CC63" s="62">
        <f t="shared" si="11"/>
        <v>795.45837960764732</v>
      </c>
      <c r="CD63" s="62">
        <f ca="1">AVERAGE(OFFSET($CC$3,0,0,'Données projet'!$E$12+1,1))-AVERAGE(OFFSET($H$3,0,0,'Données projet'!$E$12+1,1))</f>
        <v>288.82868507674738</v>
      </c>
      <c r="CE63" s="62">
        <f t="shared" si="40"/>
        <v>283.48738729114024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47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2.1205394448555155</v>
      </c>
      <c r="CM63" s="23">
        <f>EXP(-LN(2)/2)*CM62+(1-EXP(-LN(2)/2))/(LN(2)/2)*CG63*CJ63*VLOOKUP('Données projet'!$B$12,Paramètres!$A$1:$I$89,3,0)*0.475*44/12</f>
        <v>7.8728323357085637E-5</v>
      </c>
      <c r="CN63" s="24">
        <f t="shared" si="12"/>
        <v>2.1206181731788725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294</v>
      </c>
      <c r="CR63" s="13">
        <f>VLOOKUP(A63,'Données projet'!$A$139:$I$159,9,0)</f>
        <v>6.4</v>
      </c>
      <c r="CS63" s="13">
        <f t="array" ref="CS63">INDEX(CR:CR,MIN(IF(ISNUMBER(CR63:CR259),ROW(CR63:CR259),"")))</f>
        <v>6.4</v>
      </c>
      <c r="CT63" s="13">
        <f>IF('Données projet'!$A$140&gt;35,CT62+CS63-DB62,IF(A63&lt;'Données projet'!$A$140,$CQ$205^A63,IF(A63='Données projet'!$A$140,'Données projet'!$B$140,CT62+CS63-DB62)))</f>
        <v>293.99999999999983</v>
      </c>
      <c r="CU63" s="18">
        <f>CT63*VLOOKUP('Données projet'!$B$13,Paramètres!$A$1:$I$89,3,0)*VLOOKUP('Données projet'!$B$13,Paramètres!$A$1:$I$89,5,0)</f>
        <v>256.83839999999992</v>
      </c>
      <c r="CV63" s="14">
        <f t="shared" si="41"/>
        <v>62.047973482014044</v>
      </c>
      <c r="CW63" s="22">
        <f t="shared" si="13"/>
        <v>555.39376714784089</v>
      </c>
      <c r="CX63" s="62">
        <f t="shared" si="14"/>
        <v>848.72710048117415</v>
      </c>
      <c r="CY63" s="62">
        <f ca="1">AVERAGE(OFFSET($CX$3,0,0,'Données projet'!$E$13+1,1))-AVERAGE(OFFSET($H$3,0,0,'Données projet'!$E$13+1,1))</f>
        <v>383.46266660377637</v>
      </c>
      <c r="CZ63" s="62">
        <f t="shared" si="42"/>
        <v>373.1287543230714</v>
      </c>
      <c r="DA63" s="16">
        <f>IF(ISNA(VLOOKUP(A63,'Données projet'!$A$139:$I$159,3,0)),0,VLOOKUP(A63,'Données projet'!$A$139:$I$159,3,0))</f>
        <v>11</v>
      </c>
      <c r="DB63" s="16">
        <f>IF(ISNA(VLOOKUP(A63,'Données projet'!$A$139:$I$159,4,0)),0,VLOOKUP(A63,'Données projet'!$A$139:$I$159,4,0))</f>
        <v>14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6.9886995042454281</v>
      </c>
      <c r="DH63" s="23">
        <f>EXP(-LN(2)/2)*DH62+(1-EXP(-LN(2)/2))/(LN(2)/2)*DB63*DE63*VLOOKUP('Données projet'!$B$13,Paramètres!$A$1:$I$89,3,0)*0.475*44/12</f>
        <v>6.4808466542017799E-4</v>
      </c>
      <c r="DI63" s="24">
        <f t="shared" si="15"/>
        <v>6.9893475889108485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>
        <f>DO63*VLOOKUP('Données projet'!$B$14,Paramètres!$A$1:$I$89,3,0)*VLOOKUP('Données projet'!$B$14,Paramètres!$A$1:$I$89,5,0)</f>
        <v>0</v>
      </c>
      <c r="DQ63" s="14" t="e">
        <f t="shared" si="43"/>
        <v>#NUM!</v>
      </c>
      <c r="DR63" s="22" t="e">
        <f t="shared" si="16"/>
        <v>#NUM!</v>
      </c>
      <c r="DS63" s="62" t="e">
        <f t="shared" si="17"/>
        <v>#NUM!</v>
      </c>
      <c r="DT63" s="62">
        <f ca="1">AVERAGE(OFFSET($DS$3,0,0,'Données projet'!$E$14+1,1))-AVERAGE(OFFSET($H$3,0,0,'Données projet'!$E$14+1,1))</f>
        <v>96.56611521638132</v>
      </c>
      <c r="DU63" s="62">
        <f t="shared" si="44"/>
        <v>465.03257878814094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45.497891643862495</v>
      </c>
      <c r="EB63" s="23">
        <f>EXP(-LN(2)/25)*EB62+(1-EXP(-LN(2)/25))/(LN(2)/25)*Calculateur!DW63*Calculateur!DY63*VLOOKUP('Données projet'!$B$14,Paramètres!$A$1:$I$89,3,0)*0.475*44/12</f>
        <v>7.9954486621050354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53.493340305967529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294</v>
      </c>
      <c r="EH63" s="13">
        <f>VLOOKUP(A63,'Données projet'!$A$191:$I$211,9,0)</f>
        <v>6.4</v>
      </c>
      <c r="EI63" s="13">
        <f t="array" ref="EI63">INDEX(EH:EH,MIN(IF(ISNUMBER(EH63:EH259),ROW(EH63:EH259),"")))</f>
        <v>6.4</v>
      </c>
      <c r="EJ63" s="13">
        <f>IF('Données projet'!$A$192&gt;35,EJ62+EI63-ER62,IF(A63&lt;'Données projet'!$A$192,$EG$205^A63,IF(A63='Données projet'!$A$192,'Données projet'!$B$192,EJ62+EI63-ER62)))</f>
        <v>293.99999999999983</v>
      </c>
      <c r="EK63" s="18">
        <f>EJ63*VLOOKUP('Données projet'!$B$15,Paramètres!$A$1:$I$89,3,0)*VLOOKUP('Données projet'!$B$15,Paramètres!$A$1:$I$89,5,0)</f>
        <v>238.49279999999987</v>
      </c>
      <c r="EL63" s="14">
        <f t="shared" si="45"/>
        <v>58.115130258576542</v>
      </c>
      <c r="EM63" s="22">
        <f t="shared" si="19"/>
        <v>516.59214520035391</v>
      </c>
      <c r="EN63" s="62">
        <f t="shared" si="20"/>
        <v>809.92547853368728</v>
      </c>
      <c r="EO63" s="62">
        <f ca="1">AVERAGE(OFFSET($EN$3,0,0,'Données projet'!$E$15+1,1))-AVERAGE(OFFSET($H$3,0,0,'Données projet'!$E$15+1,1))</f>
        <v>358.75637627589799</v>
      </c>
      <c r="EP63" s="62">
        <f t="shared" si="46"/>
        <v>349.64821164483607</v>
      </c>
      <c r="EQ63" s="16">
        <f>IF(ISNA(VLOOKUP(A63,'Données projet'!$A$191:$I$211,3,0)),0,VLOOKUP(A63,'Données projet'!$A$191:$I$211,3,0))</f>
        <v>11</v>
      </c>
      <c r="ER63" s="16">
        <f>IF(ISNA(VLOOKUP(A63,'Données projet'!$A$191:$I$211,4,0)),0,VLOOKUP(A63,'Données projet'!$A$191:$I$211,4,0))</f>
        <v>14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5.3367586383896164</v>
      </c>
      <c r="EW63" s="23">
        <f>EXP(-LN(2)/25)*EW62+(1-EXP(-LN(2)/25))/(LN(2)/25)*Calculateur!ER63*Calculateur!ET63*VLOOKUP('Données projet'!$B$15,Paramètres!$A$1:$I$89,3,0)*0.475*44/12</f>
        <v>6.6762305241865691</v>
      </c>
      <c r="EX63" s="23">
        <f>EXP(-LN(2)/2)*EX62+(1-EXP(-LN(2)/2))/(LN(2)/2)*ER63*EU63*VLOOKUP('Données projet'!$B$15,Paramètres!$A$1:$I$89,3,0)*0.475*44/12</f>
        <v>1.112786916999791E-4</v>
      </c>
      <c r="EY63" s="24">
        <f t="shared" si="21"/>
        <v>12.013100441267886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>
        <f>FE63*VLOOKUP('Données projet'!$B$16,Paramètres!$A$1:$I$89,3,0)*VLOOKUP('Données projet'!$B$16,Paramètres!$A$1:$I$89,5,0)</f>
        <v>0</v>
      </c>
      <c r="FG63" s="14" t="e">
        <f t="shared" si="47"/>
        <v>#NUM!</v>
      </c>
      <c r="FH63" s="22" t="e">
        <f t="shared" si="22"/>
        <v>#NUM!</v>
      </c>
      <c r="FI63" s="62" t="e">
        <f t="shared" si="23"/>
        <v>#NUM!</v>
      </c>
      <c r="FJ63" s="62">
        <f ca="1">AVERAGE(OFFSET($FI$3,0,0,'Données projet'!$E$16+1,1))-AVERAGE(OFFSET($H$3,0,0,'Données projet'!$E$16+1,1))</f>
        <v>121.28977654040114</v>
      </c>
      <c r="FK63" s="62">
        <f t="shared" si="48"/>
        <v>615.69585264342595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61.30108089831328</v>
      </c>
      <c r="FR63" s="23">
        <f>EXP(-LN(2)/25)*FR62+(1-EXP(-LN(2)/25))/(LN(2)/25)*Calculateur!FM63*Calculateur!FO63*VLOOKUP('Données projet'!$B$16,Paramètres!$A$1:$I$89,3,0)*0.475*44/12</f>
        <v>10.772579289838994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72.073660188152274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5.2</v>
      </c>
      <c r="N64" s="14">
        <f>IF('Données projet'!$A$36&gt;35,N63+M64-V63,IF(A64&lt;'Données projet'!$A$36,$K$205^A64,IF(A64='Données projet'!$A$36,'Données projet'!$B$36,N63+M64-V63)))</f>
        <v>285.19999999999982</v>
      </c>
      <c r="O64" s="14">
        <f>N64*VLOOKUP('Données projet'!$B$9,Paramètres!$A$1:$I$89,3,0)*VLOOKUP('Données projet'!$B$9,Paramètres!$A$1:$I$89,5,0)</f>
        <v>226.90511999999987</v>
      </c>
      <c r="P64" s="14">
        <f t="shared" si="33"/>
        <v>55.612969408444364</v>
      </c>
      <c r="Q64" s="22">
        <f t="shared" si="53"/>
        <v>492.05233905304038</v>
      </c>
      <c r="R64" s="62">
        <f t="shared" si="0"/>
        <v>785.3856723863737</v>
      </c>
      <c r="S64" s="62">
        <f ca="1">AVERAGE(OFFSET($R$3,0,0,'Données projet'!$E$9+1,1))-AVERAGE(OFFSET($H$3,0,0,'Données projet'!$E$9+1,1))</f>
        <v>352.5736659365665</v>
      </c>
      <c r="T64" s="62">
        <f t="shared" si="34"/>
        <v>343.77208530767069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7.2960801420473826</v>
      </c>
      <c r="AA64" s="23">
        <f>EXP(-LN(2)/25)*AA63+(1-EXP(-LN(2)/25))/(LN(2)/25)*Calculateur!V64*Calculateur!X64*VLOOKUP('Données projet'!$B$9,Paramètres!$A$1:$I$89,3,0)*0.475*44/12</f>
        <v>10.042261839389001</v>
      </c>
      <c r="AB64" s="23">
        <f>EXP(-LN(2)/2)*AB63+(1-EXP(-LN(2)/2))/(LN(2)/2)*V64*Y64*VLOOKUP('Données projet'!$B$9,Paramètres!$A$1:$I$89,3,0)*0.475*44/12</f>
        <v>0</v>
      </c>
      <c r="AC64" s="24">
        <f t="shared" si="3"/>
        <v>17.338341981436383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</v>
      </c>
      <c r="AI64" s="14">
        <f>IF('Données projet'!$A$62&gt;35,AI63+AH64-AQ63,IF(A64&lt;'Données projet'!$A$62,$AF$205^A64,IF(A64='Données projet'!$A$62,'Données projet'!$B$62,AI63+AH64-AQ63)))</f>
        <v>163.00000000000011</v>
      </c>
      <c r="AJ64" s="14">
        <f>AI64*VLOOKUP('Données projet'!$B$10,Paramètres!$A$1:$I$89,3,0)*VLOOKUP('Données projet'!$B$10,Paramètres!$A$1:$I$89,5,0)</f>
        <v>106.79760000000009</v>
      </c>
      <c r="AK64" s="14">
        <f t="shared" si="35"/>
        <v>28.575181674561119</v>
      </c>
      <c r="AL64" s="22">
        <f t="shared" si="4"/>
        <v>235.77426141652742</v>
      </c>
      <c r="AM64" s="62">
        <f t="shared" si="5"/>
        <v>529.10759474986071</v>
      </c>
      <c r="AN64" s="62">
        <f ca="1">AVERAGE(OFFSET($AM$3,0,0,'Données projet'!$E$10+1,1))-AVERAGE(OFFSET($H$3,0,0,'Données projet'!$E$10+1,1))</f>
        <v>210.08998695869161</v>
      </c>
      <c r="AO64" s="62">
        <f t="shared" si="36"/>
        <v>207.30911916430881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3.9860517959020185E-6</v>
      </c>
      <c r="AX64" s="23">
        <f t="shared" si="6"/>
        <v>3.9860517959020185E-6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253.79999999999995</v>
      </c>
      <c r="BE64" s="14">
        <f>BD64*VLOOKUP('Données projet'!$B$11,Paramètres!$A$1:$I$89,3,0)*VLOOKUP('Données projet'!$B$11,Paramètres!$A$1:$I$89,5,0)</f>
        <v>170.24903999999995</v>
      </c>
      <c r="BF64" s="14">
        <f t="shared" si="37"/>
        <v>43.145795507930075</v>
      </c>
      <c r="BG64" s="22">
        <f t="shared" si="7"/>
        <v>371.66267184297811</v>
      </c>
      <c r="BH64" s="62">
        <f t="shared" si="8"/>
        <v>664.99600517631143</v>
      </c>
      <c r="BI64" s="62">
        <f ca="1">AVERAGE(OFFSET($BH$3,0,0,'Données projet'!$E$11+1,1))-AVERAGE(OFFSET($H$3,0,0,'Données projet'!$E$11+1,1))</f>
        <v>335.83558218229564</v>
      </c>
      <c r="BJ64" s="62">
        <f t="shared" si="38"/>
        <v>217.08423061559648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4.5258363413486452E-4</v>
      </c>
      <c r="BS64" s="24">
        <f t="shared" si="9"/>
        <v>4.5258363413486452E-4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8.6666666666666661</v>
      </c>
      <c r="BY64" s="13">
        <f>IF('Données projet'!$A$114&gt;35,BY63+BX64-CG63,IF(A64&lt;'Données projet'!$A$114,$BV$205^A64,IF(A64='Données projet'!$A$114,'Données projet'!$B$114,BY63+BX64-CG63)))</f>
        <v>258.66666666666657</v>
      </c>
      <c r="BZ64" s="14">
        <f>BY64*VLOOKUP('Données projet'!$B$12,Paramètres!$A$1:$I$89,3,0)*VLOOKUP('Données projet'!$B$12,Paramètres!$A$1:$I$89,5,0)</f>
        <v>201.75999999999993</v>
      </c>
      <c r="CA64" s="14">
        <f t="shared" si="39"/>
        <v>50.130765000424169</v>
      </c>
      <c r="CB64" s="22">
        <f t="shared" si="10"/>
        <v>438.70974904240529</v>
      </c>
      <c r="CC64" s="62">
        <f t="shared" si="11"/>
        <v>732.04308237573855</v>
      </c>
      <c r="CD64" s="62">
        <f ca="1">AVERAGE(OFFSET($CC$3,0,0,'Données projet'!$E$12+1,1))-AVERAGE(OFFSET($H$3,0,0,'Données projet'!$E$12+1,1))</f>
        <v>288.82868507674738</v>
      </c>
      <c r="CE64" s="62">
        <f t="shared" si="40"/>
        <v>283.48738729114024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2.0625531822216185</v>
      </c>
      <c r="CM64" s="23">
        <f>EXP(-LN(2)/2)*CM63+(1-EXP(-LN(2)/2))/(LN(2)/2)*CG64*CJ64*VLOOKUP('Données projet'!$B$12,Paramètres!$A$1:$I$89,3,0)*0.475*44/12</f>
        <v>5.5669331317242513E-5</v>
      </c>
      <c r="CN64" s="24">
        <f t="shared" si="12"/>
        <v>2.0626088515529357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5.2</v>
      </c>
      <c r="CT64" s="13">
        <f>IF('Données projet'!$A$140&gt;35,CT63+CS64-DB63,IF(A64&lt;'Données projet'!$A$140,$CQ$205^A64,IF(A64='Données projet'!$A$140,'Données projet'!$B$140,CT63+CS64-DB63)))</f>
        <v>285.19999999999982</v>
      </c>
      <c r="CU64" s="18">
        <f>CT64*VLOOKUP('Données projet'!$B$13,Paramètres!$A$1:$I$89,3,0)*VLOOKUP('Données projet'!$B$13,Paramètres!$A$1:$I$89,5,0)</f>
        <v>249.15071999999986</v>
      </c>
      <c r="CV64" s="14">
        <f t="shared" si="41"/>
        <v>60.404044320946248</v>
      </c>
      <c r="CW64" s="22">
        <f t="shared" si="13"/>
        <v>539.1412145256478</v>
      </c>
      <c r="CX64" s="62">
        <f t="shared" si="14"/>
        <v>832.47454785898117</v>
      </c>
      <c r="CY64" s="62">
        <f ca="1">AVERAGE(OFFSET($CX$3,0,0,'Données projet'!$E$13+1,1))-AVERAGE(OFFSET($H$3,0,0,'Données projet'!$E$13+1,1))</f>
        <v>383.46266660377637</v>
      </c>
      <c r="CZ64" s="62">
        <f t="shared" si="42"/>
        <v>373.1287543230714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6.7975931487821031</v>
      </c>
      <c r="DH64" s="23">
        <f>EXP(-LN(2)/2)*DH63+(1-EXP(-LN(2)/2))/(LN(2)/2)*DB64*DE64*VLOOKUP('Données projet'!$B$13,Paramètres!$A$1:$I$89,3,0)*0.475*44/12</f>
        <v>4.5826506170162267E-4</v>
      </c>
      <c r="DI64" s="24">
        <f t="shared" si="15"/>
        <v>6.7980514138438046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>
        <f>DO64*VLOOKUP('Données projet'!$B$14,Paramètres!$A$1:$I$89,3,0)*VLOOKUP('Données projet'!$B$14,Paramètres!$A$1:$I$89,5,0)</f>
        <v>0</v>
      </c>
      <c r="DQ64" s="14" t="e">
        <f t="shared" si="43"/>
        <v>#NUM!</v>
      </c>
      <c r="DR64" s="22" t="e">
        <f t="shared" si="16"/>
        <v>#NUM!</v>
      </c>
      <c r="DS64" s="62" t="e">
        <f t="shared" si="17"/>
        <v>#NUM!</v>
      </c>
      <c r="DT64" s="62">
        <f ca="1">AVERAGE(OFFSET($DS$3,0,0,'Données projet'!$E$14+1,1))-AVERAGE(OFFSET($H$3,0,0,'Données projet'!$E$14+1,1))</f>
        <v>96.56611521638132</v>
      </c>
      <c r="DU64" s="62">
        <f t="shared" si="44"/>
        <v>465.03257878814094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44.60570573970007</v>
      </c>
      <c r="EB64" s="23">
        <f>EXP(-LN(2)/25)*EB63+(1-EXP(-LN(2)/25))/(LN(2)/25)*Calculateur!DW64*Calculateur!DY64*VLOOKUP('Données projet'!$B$14,Paramètres!$A$1:$I$89,3,0)*0.475*44/12</f>
        <v>7.7768126979774017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52.382518437677476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5.2</v>
      </c>
      <c r="EJ64" s="13">
        <f>IF('Données projet'!$A$192&gt;35,EJ63+EI64-ER63,IF(A64&lt;'Données projet'!$A$192,$EG$205^A64,IF(A64='Données projet'!$A$192,'Données projet'!$B$192,EJ63+EI64-ER63)))</f>
        <v>285.19999999999982</v>
      </c>
      <c r="EK64" s="18">
        <f>EJ64*VLOOKUP('Données projet'!$B$15,Paramètres!$A$1:$I$89,3,0)*VLOOKUP('Données projet'!$B$15,Paramètres!$A$1:$I$89,5,0)</f>
        <v>231.35423999999989</v>
      </c>
      <c r="EL64" s="14">
        <f t="shared" si="45"/>
        <v>56.575399756999062</v>
      </c>
      <c r="EM64" s="22">
        <f t="shared" si="19"/>
        <v>501.47745591010653</v>
      </c>
      <c r="EN64" s="62">
        <f t="shared" si="20"/>
        <v>794.81078924343979</v>
      </c>
      <c r="EO64" s="62">
        <f ca="1">AVERAGE(OFFSET($EN$3,0,0,'Données projet'!$E$15+1,1))-AVERAGE(OFFSET($H$3,0,0,'Données projet'!$E$15+1,1))</f>
        <v>358.75637627589799</v>
      </c>
      <c r="EP64" s="62">
        <f t="shared" si="46"/>
        <v>349.64821164483607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5.2321080565921507</v>
      </c>
      <c r="EW64" s="23">
        <f>EXP(-LN(2)/25)*EW63+(1-EXP(-LN(2)/25))/(LN(2)/25)*Calculateur!ER64*Calculateur!ET64*VLOOKUP('Données projet'!$B$15,Paramètres!$A$1:$I$89,3,0)*0.475*44/12</f>
        <v>6.4936686494149827</v>
      </c>
      <c r="EX64" s="23">
        <f>EXP(-LN(2)/2)*EX63+(1-EXP(-LN(2)/2))/(LN(2)/2)*ER64*EU64*VLOOKUP('Données projet'!$B$15,Paramètres!$A$1:$I$89,3,0)*0.475*44/12</f>
        <v>7.8685917502622403E-5</v>
      </c>
      <c r="EY64" s="24">
        <f t="shared" si="21"/>
        <v>11.725855391924636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>
        <f>FE64*VLOOKUP('Données projet'!$B$16,Paramètres!$A$1:$I$89,3,0)*VLOOKUP('Données projet'!$B$16,Paramètres!$A$1:$I$89,5,0)</f>
        <v>0</v>
      </c>
      <c r="FG64" s="14" t="e">
        <f t="shared" si="47"/>
        <v>#NUM!</v>
      </c>
      <c r="FH64" s="22" t="e">
        <f t="shared" si="22"/>
        <v>#NUM!</v>
      </c>
      <c r="FI64" s="62" t="e">
        <f t="shared" si="23"/>
        <v>#NUM!</v>
      </c>
      <c r="FJ64" s="62">
        <f ca="1">AVERAGE(OFFSET($FI$3,0,0,'Données projet'!$E$16+1,1))-AVERAGE(OFFSET($H$3,0,0,'Données projet'!$E$16+1,1))</f>
        <v>121.28977654040114</v>
      </c>
      <c r="FK64" s="62">
        <f t="shared" si="48"/>
        <v>615.69585264342595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60.099004091864749</v>
      </c>
      <c r="FR64" s="23">
        <f>EXP(-LN(2)/25)*FR63+(1-EXP(-LN(2)/25))/(LN(2)/25)*Calculateur!FM64*Calculateur!FO64*VLOOKUP('Données projet'!$B$16,Paramètres!$A$1:$I$89,3,0)*0.475*44/12</f>
        <v>10.478002542653023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70.577006634517772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5.2</v>
      </c>
      <c r="N65" s="14">
        <f>IF('Données projet'!$A$36&gt;35,N64+M65-V64,IF(A65&lt;'Données projet'!$A$36,$K$205^A65,IF(A65='Données projet'!$A$36,'Données projet'!$B$36,N64+M65-V64)))</f>
        <v>290.39999999999981</v>
      </c>
      <c r="O65" s="14">
        <f>N65*VLOOKUP('Données projet'!$B$9,Paramètres!$A$1:$I$89,3,0)*VLOOKUP('Données projet'!$B$9,Paramètres!$A$1:$I$89,5,0)</f>
        <v>231.04223999999985</v>
      </c>
      <c r="P65" s="14">
        <f t="shared" si="33"/>
        <v>56.507978852931409</v>
      </c>
      <c r="Q65" s="22">
        <f t="shared" si="53"/>
        <v>500.81663116885534</v>
      </c>
      <c r="R65" s="62">
        <f t="shared" si="0"/>
        <v>794.1499645021886</v>
      </c>
      <c r="S65" s="62">
        <f ca="1">AVERAGE(OFFSET($R$3,0,0,'Données projet'!$E$9+1,1))-AVERAGE(OFFSET($H$3,0,0,'Données projet'!$E$9+1,1))</f>
        <v>352.5736659365665</v>
      </c>
      <c r="T65" s="62">
        <f t="shared" si="34"/>
        <v>343.77208530767069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7.1530084606313027</v>
      </c>
      <c r="AA65" s="23">
        <f>EXP(-LN(2)/25)*AA64+(1-EXP(-LN(2)/25))/(LN(2)/25)*Calculateur!V65*Calculateur!X65*VLOOKUP('Données projet'!$B$9,Paramètres!$A$1:$I$89,3,0)*0.475*44/12</f>
        <v>9.767655661291311</v>
      </c>
      <c r="AB65" s="23">
        <f>EXP(-LN(2)/2)*AB64+(1-EXP(-LN(2)/2))/(LN(2)/2)*V65*Y65*VLOOKUP('Données projet'!$B$9,Paramètres!$A$1:$I$89,3,0)*0.475*44/12</f>
        <v>0</v>
      </c>
      <c r="AC65" s="24">
        <f t="shared" si="3"/>
        <v>16.920664121922613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</v>
      </c>
      <c r="AI65" s="14">
        <f>IF('Données projet'!$A$62&gt;35,AI64+AH65-AQ64,IF(A65&lt;'Données projet'!$A$62,$AF$205^A65,IF(A65='Données projet'!$A$62,'Données projet'!$B$62,AI64+AH65-AQ64)))</f>
        <v>168.00000000000011</v>
      </c>
      <c r="AJ65" s="14">
        <f>AI65*VLOOKUP('Données projet'!$B$10,Paramètres!$A$1:$I$89,3,0)*VLOOKUP('Données projet'!$B$10,Paramètres!$A$1:$I$89,5,0)</f>
        <v>110.07360000000007</v>
      </c>
      <c r="AK65" s="14">
        <f t="shared" si="35"/>
        <v>29.348324631518828</v>
      </c>
      <c r="AL65" s="22">
        <f t="shared" si="4"/>
        <v>242.82651873322871</v>
      </c>
      <c r="AM65" s="62">
        <f t="shared" si="5"/>
        <v>536.15985206656205</v>
      </c>
      <c r="AN65" s="62">
        <f ca="1">AVERAGE(OFFSET($AM$3,0,0,'Données projet'!$E$10+1,1))-AVERAGE(OFFSET($H$3,0,0,'Données projet'!$E$10+1,1))</f>
        <v>210.08998695869161</v>
      </c>
      <c r="AO65" s="62">
        <f t="shared" si="36"/>
        <v>207.30911916430881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2.8185642550431335E-6</v>
      </c>
      <c r="AX65" s="23">
        <f t="shared" si="6"/>
        <v>2.8185642550431335E-6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262.59999999999997</v>
      </c>
      <c r="BE65" s="14">
        <f>BD65*VLOOKUP('Données projet'!$B$11,Paramètres!$A$1:$I$89,3,0)*VLOOKUP('Données projet'!$B$11,Paramètres!$A$1:$I$89,5,0)</f>
        <v>176.15207999999998</v>
      </c>
      <c r="BF65" s="14">
        <f t="shared" si="37"/>
        <v>44.465021174680203</v>
      </c>
      <c r="BG65" s="22">
        <f t="shared" si="7"/>
        <v>384.24145121256805</v>
      </c>
      <c r="BH65" s="62">
        <f t="shared" si="8"/>
        <v>677.57478454590137</v>
      </c>
      <c r="BI65" s="62">
        <f ca="1">AVERAGE(OFFSET($BH$3,0,0,'Données projet'!$E$11+1,1))-AVERAGE(OFFSET($H$3,0,0,'Données projet'!$E$11+1,1))</f>
        <v>335.83558218229564</v>
      </c>
      <c r="BJ65" s="62">
        <f t="shared" si="38"/>
        <v>217.08423061559648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3.2002495675081412E-4</v>
      </c>
      <c r="BS65" s="24">
        <f t="shared" si="9"/>
        <v>3.2002495675081412E-4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8.6666666666666661</v>
      </c>
      <c r="BY65" s="13">
        <f>IF('Données projet'!$A$114&gt;35,BY64+BX65-CG64,IF(A65&lt;'Données projet'!$A$114,$BV$205^A65,IF(A65='Données projet'!$A$114,'Données projet'!$B$114,BY64+BX65-CG64)))</f>
        <v>267.33333333333326</v>
      </c>
      <c r="BZ65" s="14">
        <f>BY65*VLOOKUP('Données projet'!$B$12,Paramètres!$A$1:$I$89,3,0)*VLOOKUP('Données projet'!$B$12,Paramètres!$A$1:$I$89,5,0)</f>
        <v>208.51999999999995</v>
      </c>
      <c r="CA65" s="14">
        <f t="shared" si="39"/>
        <v>51.612035456318459</v>
      </c>
      <c r="CB65" s="22">
        <f t="shared" si="10"/>
        <v>453.06329508642119</v>
      </c>
      <c r="CC65" s="62">
        <f t="shared" si="11"/>
        <v>746.39662841975451</v>
      </c>
      <c r="CD65" s="62">
        <f ca="1">AVERAGE(OFFSET($CC$3,0,0,'Données projet'!$E$12+1,1))-AVERAGE(OFFSET($H$3,0,0,'Données projet'!$E$12+1,1))</f>
        <v>288.82868507674738</v>
      </c>
      <c r="CE65" s="62">
        <f t="shared" si="40"/>
        <v>283.48738729114024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2.0061525569888103</v>
      </c>
      <c r="CM65" s="23">
        <f>EXP(-LN(2)/2)*CM64+(1-EXP(-LN(2)/2))/(LN(2)/2)*CG65*CJ65*VLOOKUP('Données projet'!$B$12,Paramètres!$A$1:$I$89,3,0)*0.475*44/12</f>
        <v>3.9364161678542819E-5</v>
      </c>
      <c r="CN65" s="24">
        <f t="shared" si="12"/>
        <v>2.0061919211504891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5.2</v>
      </c>
      <c r="CT65" s="13">
        <f>IF('Données projet'!$A$140&gt;35,CT64+CS65-DB64,IF(A65&lt;'Données projet'!$A$140,$CQ$205^A65,IF(A65='Données projet'!$A$140,'Données projet'!$B$140,CT64+CS65-DB64)))</f>
        <v>290.39999999999981</v>
      </c>
      <c r="CU65" s="18">
        <f>CT65*VLOOKUP('Données projet'!$B$13,Paramètres!$A$1:$I$89,3,0)*VLOOKUP('Données projet'!$B$13,Paramètres!$A$1:$I$89,5,0)</f>
        <v>253.69343999999987</v>
      </c>
      <c r="CV65" s="14">
        <f t="shared" si="41"/>
        <v>61.376159112289358</v>
      </c>
      <c r="CW65" s="22">
        <f t="shared" si="13"/>
        <v>548.74621845390368</v>
      </c>
      <c r="CX65" s="62">
        <f t="shared" si="14"/>
        <v>842.07955178723705</v>
      </c>
      <c r="CY65" s="62">
        <f ca="1">AVERAGE(OFFSET($CX$3,0,0,'Données projet'!$E$13+1,1))-AVERAGE(OFFSET($H$3,0,0,'Données projet'!$E$13+1,1))</f>
        <v>383.46266660377637</v>
      </c>
      <c r="CZ65" s="62">
        <f t="shared" si="42"/>
        <v>373.1287543230714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6.6117126066587693</v>
      </c>
      <c r="DH65" s="23">
        <f>EXP(-LN(2)/2)*DH64+(1-EXP(-LN(2)/2))/(LN(2)/2)*DB65*DE65*VLOOKUP('Données projet'!$B$13,Paramètres!$A$1:$I$89,3,0)*0.475*44/12</f>
        <v>3.24042332710089E-4</v>
      </c>
      <c r="DI65" s="24">
        <f t="shared" si="15"/>
        <v>6.612036648991479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>
        <f>DO65*VLOOKUP('Données projet'!$B$14,Paramètres!$A$1:$I$89,3,0)*VLOOKUP('Données projet'!$B$14,Paramètres!$A$1:$I$89,5,0)</f>
        <v>0</v>
      </c>
      <c r="DQ65" s="14" t="e">
        <f t="shared" si="43"/>
        <v>#NUM!</v>
      </c>
      <c r="DR65" s="22" t="e">
        <f t="shared" si="16"/>
        <v>#NUM!</v>
      </c>
      <c r="DS65" s="62" t="e">
        <f t="shared" si="17"/>
        <v>#NUM!</v>
      </c>
      <c r="DT65" s="62">
        <f ca="1">AVERAGE(OFFSET($DS$3,0,0,'Données projet'!$E$14+1,1))-AVERAGE(OFFSET($H$3,0,0,'Données projet'!$E$14+1,1))</f>
        <v>96.56611521638132</v>
      </c>
      <c r="DU65" s="62">
        <f t="shared" si="44"/>
        <v>465.03257878814094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43.731015056938602</v>
      </c>
      <c r="EB65" s="23">
        <f>EXP(-LN(2)/25)*EB64+(1-EXP(-LN(2)/25))/(LN(2)/25)*Calculateur!DW65*Calculateur!DY65*VLOOKUP('Données projet'!$B$14,Paramètres!$A$1:$I$89,3,0)*0.475*44/12</f>
        <v>7.5641553457864044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51.295170402725006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5.2</v>
      </c>
      <c r="EJ65" s="13">
        <f>IF('Données projet'!$A$192&gt;35,EJ64+EI65-ER64,IF(A65&lt;'Données projet'!$A$192,$EG$205^A65,IF(A65='Données projet'!$A$192,'Données projet'!$B$192,EJ64+EI65-ER64)))</f>
        <v>290.39999999999981</v>
      </c>
      <c r="EK65" s="18">
        <f>EJ65*VLOOKUP('Données projet'!$B$15,Paramètres!$A$1:$I$89,3,0)*VLOOKUP('Données projet'!$B$15,Paramètres!$A$1:$I$89,5,0)</f>
        <v>235.57247999999984</v>
      </c>
      <c r="EL65" s="14">
        <f t="shared" si="45"/>
        <v>57.485898111011707</v>
      </c>
      <c r="EM65" s="22">
        <f t="shared" si="19"/>
        <v>510.41000854334516</v>
      </c>
      <c r="EN65" s="62">
        <f t="shared" si="20"/>
        <v>803.74334187667841</v>
      </c>
      <c r="EO65" s="62">
        <f ca="1">AVERAGE(OFFSET($EN$3,0,0,'Données projet'!$E$15+1,1))-AVERAGE(OFFSET($H$3,0,0,'Données projet'!$E$15+1,1))</f>
        <v>358.75637627589799</v>
      </c>
      <c r="EP65" s="62">
        <f t="shared" si="46"/>
        <v>349.64821164483607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5.1295096088731817</v>
      </c>
      <c r="EW65" s="23">
        <f>EXP(-LN(2)/25)*EW64+(1-EXP(-LN(2)/25))/(LN(2)/25)*Calculateur!ER65*Calculateur!ET65*VLOOKUP('Données projet'!$B$15,Paramètres!$A$1:$I$89,3,0)*0.475*44/12</f>
        <v>6.316098938709537</v>
      </c>
      <c r="EX65" s="23">
        <f>EXP(-LN(2)/2)*EX64+(1-EXP(-LN(2)/2))/(LN(2)/2)*ER65*EU65*VLOOKUP('Données projet'!$B$15,Paramètres!$A$1:$I$89,3,0)*0.475*44/12</f>
        <v>5.563934584998955E-5</v>
      </c>
      <c r="EY65" s="24">
        <f t="shared" si="21"/>
        <v>11.445664186928569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>
        <f>FE65*VLOOKUP('Données projet'!$B$16,Paramètres!$A$1:$I$89,3,0)*VLOOKUP('Données projet'!$B$16,Paramètres!$A$1:$I$89,5,0)</f>
        <v>0</v>
      </c>
      <c r="FG65" s="14" t="e">
        <f t="shared" si="47"/>
        <v>#NUM!</v>
      </c>
      <c r="FH65" s="22" t="e">
        <f t="shared" si="22"/>
        <v>#NUM!</v>
      </c>
      <c r="FI65" s="62" t="e">
        <f t="shared" si="23"/>
        <v>#NUM!</v>
      </c>
      <c r="FJ65" s="62">
        <f ca="1">AVERAGE(OFFSET($FI$3,0,0,'Données projet'!$E$16+1,1))-AVERAGE(OFFSET($H$3,0,0,'Données projet'!$E$16+1,1))</f>
        <v>121.28977654040114</v>
      </c>
      <c r="FK65" s="62">
        <f t="shared" si="48"/>
        <v>615.69585264342595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58.920499278396221</v>
      </c>
      <c r="FR65" s="23">
        <f>EXP(-LN(2)/25)*FR64+(1-EXP(-LN(2)/25))/(LN(2)/25)*Calculateur!FM65*Calculateur!FO65*VLOOKUP('Données projet'!$B$16,Paramètres!$A$1:$I$89,3,0)*0.475*44/12</f>
        <v>10.191481012109969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69.111980290506196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5.2</v>
      </c>
      <c r="N66" s="14">
        <f>IF('Données projet'!$A$36&gt;35,N65+M66-V65,IF(A66&lt;'Données projet'!$A$36,$K$205^A66,IF(A66='Données projet'!$A$36,'Données projet'!$B$36,N65+M66-V65)))</f>
        <v>295.5999999999998</v>
      </c>
      <c r="O66" s="14">
        <f>N66*VLOOKUP('Données projet'!$B$9,Paramètres!$A$1:$I$89,3,0)*VLOOKUP('Données projet'!$B$9,Paramètres!$A$1:$I$89,5,0)</f>
        <v>235.17935999999983</v>
      </c>
      <c r="P66" s="14">
        <f t="shared" si="33"/>
        <v>57.401124668909425</v>
      </c>
      <c r="Q66" s="22">
        <f t="shared" si="53"/>
        <v>509.57767746501696</v>
      </c>
      <c r="R66" s="62">
        <f t="shared" si="0"/>
        <v>802.91101079835028</v>
      </c>
      <c r="S66" s="62">
        <f ca="1">AVERAGE(OFFSET($R$3,0,0,'Données projet'!$E$9+1,1))-AVERAGE(OFFSET($H$3,0,0,'Données projet'!$E$9+1,1))</f>
        <v>352.5736659365665</v>
      </c>
      <c r="T66" s="62">
        <f t="shared" si="34"/>
        <v>343.77208530767069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7.012742327622683</v>
      </c>
      <c r="AA66" s="23">
        <f>EXP(-LN(2)/25)*AA65+(1-EXP(-LN(2)/25))/(LN(2)/25)*Calculateur!V66*Calculateur!X66*VLOOKUP('Données projet'!$B$9,Paramètres!$A$1:$I$89,3,0)*0.475*44/12</f>
        <v>9.5005586035746123</v>
      </c>
      <c r="AB66" s="23">
        <f>EXP(-LN(2)/2)*AB65+(1-EXP(-LN(2)/2))/(LN(2)/2)*V66*Y66*VLOOKUP('Données projet'!$B$9,Paramètres!$A$1:$I$89,3,0)*0.475*44/12</f>
        <v>0</v>
      </c>
      <c r="AC66" s="24">
        <f t="shared" si="3"/>
        <v>16.513300931197296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</v>
      </c>
      <c r="AI66" s="14">
        <f>IF('Données projet'!$A$62&gt;35,AI65+AH66-AQ65,IF(A66&lt;'Données projet'!$A$62,$AF$205^A66,IF(A66='Données projet'!$A$62,'Données projet'!$B$62,AI65+AH66-AQ65)))</f>
        <v>173.00000000000011</v>
      </c>
      <c r="AJ66" s="14">
        <f>AI66*VLOOKUP('Données projet'!$B$10,Paramètres!$A$1:$I$89,3,0)*VLOOKUP('Données projet'!$B$10,Paramètres!$A$1:$I$89,5,0)</f>
        <v>113.34960000000007</v>
      </c>
      <c r="AK66" s="14">
        <f t="shared" si="35"/>
        <v>30.118793417247105</v>
      </c>
      <c r="AL66" s="22">
        <f t="shared" si="4"/>
        <v>249.87411853503883</v>
      </c>
      <c r="AM66" s="62">
        <f t="shared" si="5"/>
        <v>543.20745186837212</v>
      </c>
      <c r="AN66" s="62">
        <f ca="1">AVERAGE(OFFSET($AM$3,0,0,'Données projet'!$E$10+1,1))-AVERAGE(OFFSET($H$3,0,0,'Données projet'!$E$10+1,1))</f>
        <v>210.08998695869161</v>
      </c>
      <c r="AO66" s="62">
        <f t="shared" si="36"/>
        <v>207.30911916430881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1.9930258979510093E-6</v>
      </c>
      <c r="AX66" s="23">
        <f t="shared" si="6"/>
        <v>1.9930258979510093E-6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271.39999999999998</v>
      </c>
      <c r="BE66" s="14">
        <f>BD66*VLOOKUP('Données projet'!$B$11,Paramètres!$A$1:$I$89,3,0)*VLOOKUP('Données projet'!$B$11,Paramètres!$A$1:$I$89,5,0)</f>
        <v>182.05511999999999</v>
      </c>
      <c r="BF66" s="14">
        <f t="shared" si="37"/>
        <v>45.7791099645709</v>
      </c>
      <c r="BG66" s="22">
        <f t="shared" si="7"/>
        <v>396.81128385496095</v>
      </c>
      <c r="BH66" s="62">
        <f t="shared" si="8"/>
        <v>690.14461718829421</v>
      </c>
      <c r="BI66" s="62">
        <f ca="1">AVERAGE(OFFSET($BH$3,0,0,'Données projet'!$E$11+1,1))-AVERAGE(OFFSET($H$3,0,0,'Données projet'!$E$11+1,1))</f>
        <v>335.83558218229564</v>
      </c>
      <c r="BJ66" s="62">
        <f t="shared" si="38"/>
        <v>217.08423061559648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2.2629181706743226E-4</v>
      </c>
      <c r="BS66" s="24">
        <f t="shared" si="9"/>
        <v>2.2629181706743226E-4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8.6666666666666661</v>
      </c>
      <c r="BY66" s="13">
        <f>IF('Données projet'!$A$114&gt;35,BY65+BX66-CG65,IF(A66&lt;'Données projet'!$A$114,$BV$205^A66,IF(A66='Données projet'!$A$114,'Données projet'!$B$114,BY65+BX66-CG65)))</f>
        <v>275.99999999999994</v>
      </c>
      <c r="BZ66" s="14">
        <f>BY66*VLOOKUP('Données projet'!$B$12,Paramètres!$A$1:$I$89,3,0)*VLOOKUP('Données projet'!$B$12,Paramètres!$A$1:$I$89,5,0)</f>
        <v>215.27999999999997</v>
      </c>
      <c r="CA66" s="14">
        <f t="shared" si="39"/>
        <v>53.087725740853138</v>
      </c>
      <c r="CB66" s="22">
        <f t="shared" si="10"/>
        <v>467.40712233198587</v>
      </c>
      <c r="CC66" s="62">
        <f t="shared" si="11"/>
        <v>760.74045566531913</v>
      </c>
      <c r="CD66" s="62">
        <f ca="1">AVERAGE(OFFSET($CC$3,0,0,'Données projet'!$E$12+1,1))-AVERAGE(OFFSET($H$3,0,0,'Données projet'!$E$12+1,1))</f>
        <v>288.82868507674738</v>
      </c>
      <c r="CE66" s="62">
        <f t="shared" si="40"/>
        <v>283.48738729114024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1.9512942098189734</v>
      </c>
      <c r="CM66" s="23">
        <f>EXP(-LN(2)/2)*CM65+(1-EXP(-LN(2)/2))/(LN(2)/2)*CG66*CJ66*VLOOKUP('Données projet'!$B$12,Paramètres!$A$1:$I$89,3,0)*0.475*44/12</f>
        <v>2.7834665658621257E-5</v>
      </c>
      <c r="CN66" s="24">
        <f t="shared" si="12"/>
        <v>1.951322044484632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5.2</v>
      </c>
      <c r="CT66" s="13">
        <f>IF('Données projet'!$A$140&gt;35,CT65+CS66-DB65,IF(A66&lt;'Données projet'!$A$140,$CQ$205^A66,IF(A66='Données projet'!$A$140,'Données projet'!$B$140,CT65+CS66-DB65)))</f>
        <v>295.5999999999998</v>
      </c>
      <c r="CU66" s="18">
        <f>CT66*VLOOKUP('Données projet'!$B$13,Paramètres!$A$1:$I$89,3,0)*VLOOKUP('Données projet'!$B$13,Paramètres!$A$1:$I$89,5,0)</f>
        <v>258.23615999999981</v>
      </c>
      <c r="CV66" s="14">
        <f t="shared" si="41"/>
        <v>62.346249722937671</v>
      </c>
      <c r="CW66" s="22">
        <f t="shared" si="13"/>
        <v>558.34769693411602</v>
      </c>
      <c r="CX66" s="62">
        <f t="shared" si="14"/>
        <v>851.68103026744939</v>
      </c>
      <c r="CY66" s="62">
        <f ca="1">AVERAGE(OFFSET($CX$3,0,0,'Données projet'!$E$13+1,1))-AVERAGE(OFFSET($H$3,0,0,'Données projet'!$E$13+1,1))</f>
        <v>383.46266660377637</v>
      </c>
      <c r="CZ66" s="62">
        <f t="shared" si="42"/>
        <v>373.1287543230714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6.4309149777348305</v>
      </c>
      <c r="DH66" s="23">
        <f>EXP(-LN(2)/2)*DH65+(1-EXP(-LN(2)/2))/(LN(2)/2)*DB66*DE66*VLOOKUP('Données projet'!$B$13,Paramètres!$A$1:$I$89,3,0)*0.475*44/12</f>
        <v>2.2913253085081134E-4</v>
      </c>
      <c r="DI66" s="24">
        <f t="shared" si="15"/>
        <v>6.4311441102656817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>
        <f>DO66*VLOOKUP('Données projet'!$B$14,Paramètres!$A$1:$I$89,3,0)*VLOOKUP('Données projet'!$B$14,Paramètres!$A$1:$I$89,5,0)</f>
        <v>0</v>
      </c>
      <c r="DQ66" s="14" t="e">
        <f t="shared" si="43"/>
        <v>#NUM!</v>
      </c>
      <c r="DR66" s="22" t="e">
        <f t="shared" si="16"/>
        <v>#NUM!</v>
      </c>
      <c r="DS66" s="62" t="e">
        <f t="shared" si="17"/>
        <v>#NUM!</v>
      </c>
      <c r="DT66" s="62">
        <f ca="1">AVERAGE(OFFSET($DS$3,0,0,'Données projet'!$E$14+1,1))-AVERAGE(OFFSET($H$3,0,0,'Données projet'!$E$14+1,1))</f>
        <v>96.56611521638132</v>
      </c>
      <c r="DU66" s="62">
        <f t="shared" si="44"/>
        <v>465.03257878814094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42.873476524957454</v>
      </c>
      <c r="EB66" s="23">
        <f>EXP(-LN(2)/25)*EB65+(1-EXP(-LN(2)/25))/(LN(2)/25)*Calculateur!DW66*Calculateur!DY66*VLOOKUP('Données projet'!$B$14,Paramètres!$A$1:$I$89,3,0)*0.475*44/12</f>
        <v>7.3573131200742337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50.230789645031685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5.2</v>
      </c>
      <c r="EJ66" s="13">
        <f>IF('Données projet'!$A$192&gt;35,EJ65+EI66-ER65,IF(A66&lt;'Données projet'!$A$192,$EG$205^A66,IF(A66='Données projet'!$A$192,'Données projet'!$B$192,EJ65+EI66-ER65)))</f>
        <v>295.5999999999998</v>
      </c>
      <c r="EK66" s="18">
        <f>EJ66*VLOOKUP('Données projet'!$B$15,Paramètres!$A$1:$I$89,3,0)*VLOOKUP('Données projet'!$B$15,Paramètres!$A$1:$I$89,5,0)</f>
        <v>239.79071999999985</v>
      </c>
      <c r="EL66" s="14">
        <f t="shared" si="45"/>
        <v>58.394500584818381</v>
      </c>
      <c r="EM66" s="22">
        <f t="shared" si="19"/>
        <v>519.33925918522505</v>
      </c>
      <c r="EN66" s="62">
        <f t="shared" si="20"/>
        <v>812.6725925185583</v>
      </c>
      <c r="EO66" s="62">
        <f ca="1">AVERAGE(OFFSET($EN$3,0,0,'Données projet'!$E$15+1,1))-AVERAGE(OFFSET($H$3,0,0,'Données projet'!$E$15+1,1))</f>
        <v>358.75637627589799</v>
      </c>
      <c r="EP66" s="62">
        <f t="shared" si="46"/>
        <v>349.64821164483607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5.0289230541351078</v>
      </c>
      <c r="EW66" s="23">
        <f>EXP(-LN(2)/25)*EW65+(1-EXP(-LN(2)/25))/(LN(2)/25)*Calculateur!ER66*Calculateur!ET66*VLOOKUP('Données projet'!$B$15,Paramètres!$A$1:$I$89,3,0)*0.475*44/12</f>
        <v>6.1433848810813174</v>
      </c>
      <c r="EX66" s="23">
        <f>EXP(-LN(2)/2)*EX65+(1-EXP(-LN(2)/2))/(LN(2)/2)*ER66*EU66*VLOOKUP('Données projet'!$B$15,Paramètres!$A$1:$I$89,3,0)*0.475*44/12</f>
        <v>3.9342958751311202E-5</v>
      </c>
      <c r="EY66" s="24">
        <f t="shared" si="21"/>
        <v>11.172347278175177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>
        <f>FE66*VLOOKUP('Données projet'!$B$16,Paramètres!$A$1:$I$89,3,0)*VLOOKUP('Données projet'!$B$16,Paramètres!$A$1:$I$89,5,0)</f>
        <v>0</v>
      </c>
      <c r="FG66" s="14" t="e">
        <f t="shared" si="47"/>
        <v>#NUM!</v>
      </c>
      <c r="FH66" s="22" t="e">
        <f t="shared" si="22"/>
        <v>#NUM!</v>
      </c>
      <c r="FI66" s="62" t="e">
        <f t="shared" si="23"/>
        <v>#NUM!</v>
      </c>
      <c r="FJ66" s="62">
        <f ca="1">AVERAGE(OFFSET($FI$3,0,0,'Données projet'!$E$16+1,1))-AVERAGE(OFFSET($H$3,0,0,'Données projet'!$E$16+1,1))</f>
        <v>121.28977654040114</v>
      </c>
      <c r="FK66" s="62">
        <f t="shared" si="48"/>
        <v>615.69585264342595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57.765104225502853</v>
      </c>
      <c r="FR66" s="23">
        <f>EXP(-LN(2)/25)*FR65+(1-EXP(-LN(2)/25))/(LN(2)/25)*Calculateur!FM66*Calculateur!FO66*VLOOKUP('Données projet'!$B$16,Paramètres!$A$1:$I$89,3,0)*0.475*44/12</f>
        <v>9.9127944278871283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67.677898653389974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5.2</v>
      </c>
      <c r="N67" s="14">
        <f>IF('Données projet'!$A$36&gt;35,N66+M67-V66,IF(A67&lt;'Données projet'!$A$36,$K$205^A67,IF(A67='Données projet'!$A$36,'Données projet'!$B$36,N66+M67-V66)))</f>
        <v>300.79999999999978</v>
      </c>
      <c r="O67" s="14">
        <f>N67*VLOOKUP('Données projet'!$B$9,Paramètres!$A$1:$I$89,3,0)*VLOOKUP('Données projet'!$B$9,Paramètres!$A$1:$I$89,5,0)</f>
        <v>239.31647999999984</v>
      </c>
      <c r="P67" s="14">
        <f t="shared" si="33"/>
        <v>58.292443422481945</v>
      </c>
      <c r="Q67" s="22">
        <f t="shared" ref="Q67:Q98" si="54">(O67+P67)*0.475*44/12</f>
        <v>518.33554162748908</v>
      </c>
      <c r="R67" s="62">
        <f t="shared" ref="R67:R130" si="55">Q67+(I67+J67)*44/12</f>
        <v>811.66887496082245</v>
      </c>
      <c r="S67" s="62">
        <f ca="1">AVERAGE(OFFSET($R$3,0,0,'Données projet'!$E$9+1,1))-AVERAGE(OFFSET($H$3,0,0,'Données projet'!$E$9+1,1))</f>
        <v>352.5736659365665</v>
      </c>
      <c r="T67" s="62">
        <f t="shared" si="34"/>
        <v>343.77208530767069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6.8752267279284691</v>
      </c>
      <c r="AA67" s="23">
        <f>EXP(-LN(2)/25)*AA66+(1-EXP(-LN(2)/25))/(LN(2)/25)*Calculateur!V67*Calculateur!X67*VLOOKUP('Données projet'!$B$9,Paramètres!$A$1:$I$89,3,0)*0.475*44/12</f>
        <v>9.2407653289472016</v>
      </c>
      <c r="AB67" s="23">
        <f>EXP(-LN(2)/2)*AB66+(1-EXP(-LN(2)/2))/(LN(2)/2)*V67*Y67*VLOOKUP('Données projet'!$B$9,Paramètres!$A$1:$I$89,3,0)*0.475*44/12</f>
        <v>0</v>
      </c>
      <c r="AC67" s="24">
        <f t="shared" si="3"/>
        <v>16.115992056875669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</v>
      </c>
      <c r="AI67" s="14">
        <f>IF('Données projet'!$A$62&gt;35,AI66+AH67-AQ66,IF(A67&lt;'Données projet'!$A$62,$AF$205^A67,IF(A67='Données projet'!$A$62,'Données projet'!$B$62,AI66+AH67-AQ66)))</f>
        <v>178.00000000000011</v>
      </c>
      <c r="AJ67" s="14">
        <f>AI67*VLOOKUP('Données projet'!$B$10,Paramètres!$A$1:$I$89,3,0)*VLOOKUP('Données projet'!$B$10,Paramètres!$A$1:$I$89,5,0)</f>
        <v>116.62560000000008</v>
      </c>
      <c r="AK67" s="14">
        <f t="shared" si="35"/>
        <v>30.886674195614248</v>
      </c>
      <c r="AL67" s="22">
        <f t="shared" si="4"/>
        <v>256.91721089069495</v>
      </c>
      <c r="AM67" s="62">
        <f t="shared" si="5"/>
        <v>550.25054422402832</v>
      </c>
      <c r="AN67" s="62">
        <f ca="1">AVERAGE(OFFSET($AM$3,0,0,'Données projet'!$E$10+1,1))-AVERAGE(OFFSET($H$3,0,0,'Données projet'!$E$10+1,1))</f>
        <v>210.08998695869161</v>
      </c>
      <c r="AO67" s="62">
        <f t="shared" si="36"/>
        <v>207.30911916430881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1.4092821275215667E-6</v>
      </c>
      <c r="AX67" s="23">
        <f t="shared" si="6"/>
        <v>1.4092821275215667E-6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280.2</v>
      </c>
      <c r="BE67" s="14">
        <f>BD67*VLOOKUP('Données projet'!$B$11,Paramètres!$A$1:$I$89,3,0)*VLOOKUP('Données projet'!$B$11,Paramètres!$A$1:$I$89,5,0)</f>
        <v>187.95815999999999</v>
      </c>
      <c r="BF67" s="14">
        <f t="shared" si="37"/>
        <v>47.088247541318253</v>
      </c>
      <c r="BG67" s="22">
        <f t="shared" si="7"/>
        <v>409.37249313446256</v>
      </c>
      <c r="BH67" s="62">
        <f t="shared" si="8"/>
        <v>702.70582646779587</v>
      </c>
      <c r="BI67" s="62">
        <f ca="1">AVERAGE(OFFSET($BH$3,0,0,'Données projet'!$E$11+1,1))-AVERAGE(OFFSET($H$3,0,0,'Données projet'!$E$11+1,1))</f>
        <v>335.83558218229564</v>
      </c>
      <c r="BJ67" s="62">
        <f t="shared" si="38"/>
        <v>217.08423061559648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1.6001247837540706E-4</v>
      </c>
      <c r="BS67" s="24">
        <f t="shared" si="9"/>
        <v>1.6001247837540706E-4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8.6666666666666661</v>
      </c>
      <c r="BY67" s="13">
        <f>IF('Données projet'!$A$114&gt;35,BY66+BX67-CG66,IF(A67&lt;'Données projet'!$A$114,$BV$205^A67,IF(A67='Données projet'!$A$114,'Données projet'!$B$114,BY66+BX67-CG66)))</f>
        <v>284.66666666666663</v>
      </c>
      <c r="BZ67" s="14">
        <f>BY67*VLOOKUP('Données projet'!$B$12,Paramètres!$A$1:$I$89,3,0)*VLOOKUP('Données projet'!$B$12,Paramètres!$A$1:$I$89,5,0)</f>
        <v>222.04</v>
      </c>
      <c r="CA67" s="14">
        <f t="shared" si="39"/>
        <v>54.558031180803546</v>
      </c>
      <c r="CB67" s="22">
        <f t="shared" si="10"/>
        <v>481.74157097323285</v>
      </c>
      <c r="CC67" s="62">
        <f t="shared" si="11"/>
        <v>775.07490430656617</v>
      </c>
      <c r="CD67" s="62">
        <f ca="1">AVERAGE(OFFSET($CC$3,0,0,'Données projet'!$E$12+1,1))-AVERAGE(OFFSET($H$3,0,0,'Données projet'!$E$12+1,1))</f>
        <v>288.82868507674738</v>
      </c>
      <c r="CE67" s="62">
        <f t="shared" si="40"/>
        <v>283.48738729114024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1.8979359670373708</v>
      </c>
      <c r="CM67" s="23">
        <f>EXP(-LN(2)/2)*CM66+(1-EXP(-LN(2)/2))/(LN(2)/2)*CG67*CJ67*VLOOKUP('Données projet'!$B$12,Paramètres!$A$1:$I$89,3,0)*0.475*44/12</f>
        <v>1.9682080839271409E-5</v>
      </c>
      <c r="CN67" s="24">
        <f t="shared" si="12"/>
        <v>1.8979556491182101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5.2</v>
      </c>
      <c r="CT67" s="13">
        <f>IF('Données projet'!$A$140&gt;35,CT66+CS67-DB66,IF(A67&lt;'Données projet'!$A$140,$CQ$205^A67,IF(A67='Données projet'!$A$140,'Données projet'!$B$140,CT66+CS67-DB66)))</f>
        <v>300.79999999999978</v>
      </c>
      <c r="CU67" s="18">
        <f>CT67*VLOOKUP('Données projet'!$B$13,Paramètres!$A$1:$I$89,3,0)*VLOOKUP('Données projet'!$B$13,Paramètres!$A$1:$I$89,5,0)</f>
        <v>262.77887999999984</v>
      </c>
      <c r="CV67" s="14">
        <f t="shared" si="41"/>
        <v>63.314355869176104</v>
      </c>
      <c r="CW67" s="22">
        <f t="shared" si="13"/>
        <v>567.94571913881475</v>
      </c>
      <c r="CX67" s="62">
        <f t="shared" si="14"/>
        <v>861.27905247214812</v>
      </c>
      <c r="CY67" s="62">
        <f ca="1">AVERAGE(OFFSET($CX$3,0,0,'Données projet'!$E$13+1,1))-AVERAGE(OFFSET($H$3,0,0,'Données projet'!$E$13+1,1))</f>
        <v>383.46266660377637</v>
      </c>
      <c r="CZ67" s="62">
        <f t="shared" si="42"/>
        <v>373.1287543230714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6.2550612694815513</v>
      </c>
      <c r="DH67" s="23">
        <f>EXP(-LN(2)/2)*DH66+(1-EXP(-LN(2)/2))/(LN(2)/2)*DB67*DE67*VLOOKUP('Données projet'!$B$13,Paramètres!$A$1:$I$89,3,0)*0.475*44/12</f>
        <v>1.620211663550445E-4</v>
      </c>
      <c r="DI67" s="24">
        <f t="shared" si="15"/>
        <v>6.2552232906479066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>
        <f>DO67*VLOOKUP('Données projet'!$B$14,Paramètres!$A$1:$I$89,3,0)*VLOOKUP('Données projet'!$B$14,Paramètres!$A$1:$I$89,5,0)</f>
        <v>0</v>
      </c>
      <c r="DQ67" s="14" t="e">
        <f t="shared" si="43"/>
        <v>#NUM!</v>
      </c>
      <c r="DR67" s="22" t="e">
        <f t="shared" si="16"/>
        <v>#NUM!</v>
      </c>
      <c r="DS67" s="62" t="e">
        <f t="shared" si="17"/>
        <v>#NUM!</v>
      </c>
      <c r="DT67" s="62">
        <f ca="1">AVERAGE(OFFSET($DS$3,0,0,'Données projet'!$E$14+1,1))-AVERAGE(OFFSET($H$3,0,0,'Données projet'!$E$14+1,1))</f>
        <v>96.56611521638132</v>
      </c>
      <c r="DU67" s="62">
        <f t="shared" si="44"/>
        <v>465.03257878814094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42.032753800541599</v>
      </c>
      <c r="EB67" s="23">
        <f>EXP(-LN(2)/25)*EB66+(1-EXP(-LN(2)/25))/(LN(2)/25)*Calculateur!DW67*Calculateur!DY67*VLOOKUP('Données projet'!$B$14,Paramètres!$A$1:$I$89,3,0)*0.475*44/12</f>
        <v>7.1561270059015225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49.188880806443123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5.2</v>
      </c>
      <c r="EJ67" s="13">
        <f>IF('Données projet'!$A$192&gt;35,EJ66+EI67-ER66,IF(A67&lt;'Données projet'!$A$192,$EG$205^A67,IF(A67='Données projet'!$A$192,'Données projet'!$B$192,EJ66+EI67-ER66)))</f>
        <v>300.79999999999978</v>
      </c>
      <c r="EK67" s="18">
        <f>EJ67*VLOOKUP('Données projet'!$B$15,Paramètres!$A$1:$I$89,3,0)*VLOOKUP('Données projet'!$B$15,Paramètres!$A$1:$I$89,5,0)</f>
        <v>244.00895999999983</v>
      </c>
      <c r="EL67" s="14">
        <f t="shared" si="45"/>
        <v>59.301244377330541</v>
      </c>
      <c r="EM67" s="22">
        <f t="shared" si="19"/>
        <v>528.26527262385036</v>
      </c>
      <c r="EN67" s="62">
        <f t="shared" si="20"/>
        <v>821.59860595718374</v>
      </c>
      <c r="EO67" s="62">
        <f ca="1">AVERAGE(OFFSET($EN$3,0,0,'Données projet'!$E$15+1,1))-AVERAGE(OFFSET($H$3,0,0,'Données projet'!$E$15+1,1))</f>
        <v>358.75637627589799</v>
      </c>
      <c r="EP67" s="62">
        <f t="shared" si="46"/>
        <v>349.64821164483607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4.930308940383707</v>
      </c>
      <c r="EW67" s="23">
        <f>EXP(-LN(2)/25)*EW66+(1-EXP(-LN(2)/25))/(LN(2)/25)*Calculateur!ER67*Calculateur!ET67*VLOOKUP('Données projet'!$B$15,Paramètres!$A$1:$I$89,3,0)*0.475*44/12</f>
        <v>5.9753936984415787</v>
      </c>
      <c r="EX67" s="23">
        <f>EXP(-LN(2)/2)*EX66+(1-EXP(-LN(2)/2))/(LN(2)/2)*ER67*EU67*VLOOKUP('Données projet'!$B$15,Paramètres!$A$1:$I$89,3,0)*0.475*44/12</f>
        <v>2.7819672924994775E-5</v>
      </c>
      <c r="EY67" s="24">
        <f t="shared" si="21"/>
        <v>10.90573045849821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>
        <f>FE67*VLOOKUP('Données projet'!$B$16,Paramètres!$A$1:$I$89,3,0)*VLOOKUP('Données projet'!$B$16,Paramètres!$A$1:$I$89,5,0)</f>
        <v>0</v>
      </c>
      <c r="FG67" s="14" t="e">
        <f t="shared" si="47"/>
        <v>#NUM!</v>
      </c>
      <c r="FH67" s="22" t="e">
        <f t="shared" si="22"/>
        <v>#NUM!</v>
      </c>
      <c r="FI67" s="62" t="e">
        <f t="shared" si="23"/>
        <v>#NUM!</v>
      </c>
      <c r="FJ67" s="62">
        <f ca="1">AVERAGE(OFFSET($FI$3,0,0,'Données projet'!$E$16+1,1))-AVERAGE(OFFSET($H$3,0,0,'Données projet'!$E$16+1,1))</f>
        <v>121.28977654040114</v>
      </c>
      <c r="FK67" s="62">
        <f t="shared" si="48"/>
        <v>615.69585264342595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56.632365764875324</v>
      </c>
      <c r="FR67" s="23">
        <f>EXP(-LN(2)/25)*FR66+(1-EXP(-LN(2)/25))/(LN(2)/25)*Calculateur!FM67*Calculateur!FO67*VLOOKUP('Données projet'!$B$16,Paramètres!$A$1:$I$89,3,0)*0.475*44/12</f>
        <v>9.6417285429653514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66.27409430784067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306</v>
      </c>
      <c r="L68" s="13">
        <f>VLOOKUP(A68,'Données projet'!$A$35:$I$55,9,0)</f>
        <v>5.2</v>
      </c>
      <c r="M68" s="13">
        <f t="array" ref="M68">INDEX(L:L,MIN(IF(ISNUMBER(L68:L264),ROW(L68:L264),"")))</f>
        <v>5.2</v>
      </c>
      <c r="N68" s="14">
        <f>IF('Données projet'!$A$36&gt;35,N67+M68-V67,IF(A68&lt;'Données projet'!$A$36,$K$205^A68,IF(A68='Données projet'!$A$36,'Données projet'!$B$36,N67+M68-V67)))</f>
        <v>305.99999999999977</v>
      </c>
      <c r="O68" s="14">
        <f>N68*VLOOKUP('Données projet'!$B$9,Paramètres!$A$1:$I$89,3,0)*VLOOKUP('Données projet'!$B$9,Paramètres!$A$1:$I$89,5,0)</f>
        <v>243.45359999999982</v>
      </c>
      <c r="P68" s="14">
        <f t="shared" si="33"/>
        <v>59.181970343065267</v>
      </c>
      <c r="Q68" s="22">
        <f t="shared" si="54"/>
        <v>527.09028501417163</v>
      </c>
      <c r="R68" s="62">
        <f t="shared" si="55"/>
        <v>820.423618347505</v>
      </c>
      <c r="S68" s="62">
        <f ca="1">AVERAGE(OFFSET($R$3,0,0,'Données projet'!$E$9+1,1))-AVERAGE(OFFSET($H$3,0,0,'Données projet'!$E$9+1,1))</f>
        <v>352.5736659365665</v>
      </c>
      <c r="T68" s="62">
        <f t="shared" si="34"/>
        <v>343.77208530767069</v>
      </c>
      <c r="U68" s="16">
        <f>IF(ISNA(VLOOKUP(A68,'Données projet'!$A$35:$I$55,3,0)),0,VLOOKUP(A68,'Données projet'!$A$35:$I$55,3,0))</f>
        <v>12</v>
      </c>
      <c r="V68" s="16">
        <f>IF(ISNA(VLOOKUP(A68,'Données projet'!$A$35:$I$55,4,0)),0,VLOOKUP(A68,'Données projet'!$A$35:$I$55,4,0))</f>
        <v>13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6.7404077252680246</v>
      </c>
      <c r="AA68" s="23">
        <f>EXP(-LN(2)/25)*AA67+(1-EXP(-LN(2)/25))/(LN(2)/25)*Calculateur!V68*Calculateur!X68*VLOOKUP('Données projet'!$B$9,Paramètres!$A$1:$I$89,3,0)*0.475*44/12</f>
        <v>8.9880761150764119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15.728483840344436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183</v>
      </c>
      <c r="AG68" s="13">
        <f>VLOOKUP(A68,'Données projet'!$A$61:$I$81,9,0)</f>
        <v>5</v>
      </c>
      <c r="AH68" s="13">
        <f t="array" ref="AH68">INDEX(AG:AG,MIN(IF(ISNUMBER(AG68:AG264),ROW(AG68:AG264),"")))</f>
        <v>5</v>
      </c>
      <c r="AI68" s="14">
        <f>IF('Données projet'!$A$62&gt;35,AI67+AH68-AQ67,IF(A68&lt;'Données projet'!$A$62,$AF$205^A68,IF(A68='Données projet'!$A$62,'Données projet'!$B$62,AI67+AH68-AQ67)))</f>
        <v>183.00000000000011</v>
      </c>
      <c r="AJ68" s="14">
        <f>AI68*VLOOKUP('Données projet'!$B$10,Paramètres!$A$1:$I$89,3,0)*VLOOKUP('Données projet'!$B$10,Paramètres!$A$1:$I$89,5,0)</f>
        <v>119.90160000000007</v>
      </c>
      <c r="AK68" s="14">
        <f t="shared" si="35"/>
        <v>31.652048014425564</v>
      </c>
      <c r="AL68" s="22">
        <f t="shared" ref="AL68:AL131" si="58">(AJ68+AK68)*0.475*44/12</f>
        <v>263.95593695845798</v>
      </c>
      <c r="AM68" s="62">
        <f t="shared" ref="AM68:AM131" si="59">AL68+(AD68+AE68)*44/12</f>
        <v>557.28927029179135</v>
      </c>
      <c r="AN68" s="62">
        <f ca="1">AVERAGE(OFFSET($AM$3,0,0,'Données projet'!$E$10+1,1))-AVERAGE(OFFSET($H$3,0,0,'Données projet'!$E$10+1,1))</f>
        <v>210.08998695869161</v>
      </c>
      <c r="AO68" s="62">
        <f t="shared" si="36"/>
        <v>207.30911916430881</v>
      </c>
      <c r="AP68" s="16">
        <f>IF(ISNA(VLOOKUP(A68,'Données projet'!$A$61:$I$81,3,0)),0,VLOOKUP(A68,'Données projet'!$A$61:$I$81,3,0))</f>
        <v>12</v>
      </c>
      <c r="AQ68" s="16">
        <f>IF(ISNA(VLOOKUP(A68,'Données projet'!$A$61:$I$81,4,0)),0,VLOOKUP(A68,'Données projet'!$A$61:$I$81,4,0))</f>
        <v>18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9.9651294897550463E-7</v>
      </c>
      <c r="AX68" s="23">
        <f t="shared" ref="AX68:AX131" si="60">SUM(AU68:AW68)</f>
        <v>9.9651294897550463E-7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289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289</v>
      </c>
      <c r="BE68" s="14">
        <f>BD68*VLOOKUP('Données projet'!$B$11,Paramètres!$A$1:$I$89,3,0)*VLOOKUP('Données projet'!$B$11,Paramètres!$A$1:$I$89,5,0)</f>
        <v>193.8612</v>
      </c>
      <c r="BF68" s="14">
        <f t="shared" si="37"/>
        <v>48.392607244332538</v>
      </c>
      <c r="BG68" s="22">
        <f t="shared" ref="BG68:BG131" si="61">(BE68+BF68)*0.475*44/12</f>
        <v>421.92538095054584</v>
      </c>
      <c r="BH68" s="62">
        <f t="shared" ref="BH68:BH131" si="62">BG68+(AY68+AZ68)*44/12</f>
        <v>715.25871428387916</v>
      </c>
      <c r="BI68" s="62">
        <f ca="1">AVERAGE(OFFSET($BH$3,0,0,'Données projet'!$E$11+1,1))-AVERAGE(OFFSET($H$3,0,0,'Données projet'!$E$11+1,1))</f>
        <v>335.83558218229564</v>
      </c>
      <c r="BJ68" s="62">
        <f t="shared" si="38"/>
        <v>217.08423061559648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28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1.1314590853371613E-4</v>
      </c>
      <c r="BS68" s="24">
        <f t="shared" ref="BS68:BS131" si="63">SUM(BP68:BR68)</f>
        <v>1.1314590853371613E-4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8.6666666666666661</v>
      </c>
      <c r="BY68" s="13">
        <f>IF('Données projet'!$A$114&gt;35,BY67+BX68-CG67,IF(A68&lt;'Données projet'!$A$114,$BV$205^A68,IF(A68='Données projet'!$A$114,'Données projet'!$B$114,BY67+BX68-CG67)))</f>
        <v>293.33333333333331</v>
      </c>
      <c r="BZ68" s="14">
        <f>BY68*VLOOKUP('Données projet'!$B$12,Paramètres!$A$1:$I$89,3,0)*VLOOKUP('Données projet'!$B$12,Paramètres!$A$1:$I$89,5,0)</f>
        <v>228.79999999999998</v>
      </c>
      <c r="CA68" s="14">
        <f t="shared" si="39"/>
        <v>56.023134533701196</v>
      </c>
      <c r="CB68" s="22">
        <f t="shared" ref="CB68:CB131" si="64">(BZ68+CA68)*0.475*44/12</f>
        <v>496.06695931286293</v>
      </c>
      <c r="CC68" s="62">
        <f t="shared" ref="CC68:CC131" si="65">CB68+(BT68+BU68)*44/12</f>
        <v>789.40029264619625</v>
      </c>
      <c r="CD68" s="62">
        <f ca="1">AVERAGE(OFFSET($CC$3,0,0,'Données projet'!$E$12+1,1))-AVERAGE(OFFSET($H$3,0,0,'Données projet'!$E$12+1,1))</f>
        <v>288.82868507674738</v>
      </c>
      <c r="CE68" s="62">
        <f t="shared" si="40"/>
        <v>283.48738729114024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1.8460368082106191</v>
      </c>
      <c r="CM68" s="23">
        <f>EXP(-LN(2)/2)*CM67+(1-EXP(-LN(2)/2))/(LN(2)/2)*CG68*CJ68*VLOOKUP('Données projet'!$B$12,Paramètres!$A$1:$I$89,3,0)*0.475*44/12</f>
        <v>1.3917332829310628E-5</v>
      </c>
      <c r="CN68" s="24">
        <f t="shared" ref="CN68:CN131" si="66">SUM(CK68:CM68)</f>
        <v>1.8460507255434484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306</v>
      </c>
      <c r="CR68" s="13">
        <f>VLOOKUP(A68,'Données projet'!$A$139:$I$159,9,0)</f>
        <v>5.2</v>
      </c>
      <c r="CS68" s="13">
        <f t="array" ref="CS68">INDEX(CR:CR,MIN(IF(ISNUMBER(CR68:CR264),ROW(CR68:CR264),"")))</f>
        <v>5.2</v>
      </c>
      <c r="CT68" s="13">
        <f>IF('Données projet'!$A$140&gt;35,CT67+CS68-DB67,IF(A68&lt;'Données projet'!$A$140,$CQ$205^A68,IF(A68='Données projet'!$A$140,'Données projet'!$B$140,CT67+CS68-DB67)))</f>
        <v>305.99999999999977</v>
      </c>
      <c r="CU68" s="18">
        <f>CT68*VLOOKUP('Données projet'!$B$13,Paramètres!$A$1:$I$89,3,0)*VLOOKUP('Données projet'!$B$13,Paramètres!$A$1:$I$89,5,0)</f>
        <v>267.32159999999988</v>
      </c>
      <c r="CV68" s="14">
        <f t="shared" si="41"/>
        <v>64.280515815446321</v>
      </c>
      <c r="CW68" s="22">
        <f t="shared" ref="CW68:CW131" si="67">(CU68+CV68)*0.475*44/12</f>
        <v>577.54035171190208</v>
      </c>
      <c r="CX68" s="62">
        <f t="shared" ref="CX68:CX131" si="68">CW68+(CO68+CP68)*44/12</f>
        <v>870.87368504523533</v>
      </c>
      <c r="CY68" s="62">
        <f ca="1">AVERAGE(OFFSET($CX$3,0,0,'Données projet'!$E$13+1,1))-AVERAGE(OFFSET($H$3,0,0,'Données projet'!$E$13+1,1))</f>
        <v>383.46266660377637</v>
      </c>
      <c r="CZ68" s="62">
        <f t="shared" si="42"/>
        <v>373.1287543230714</v>
      </c>
      <c r="DA68" s="16">
        <f>IF(ISNA(VLOOKUP(A68,'Données projet'!$A$139:$I$159,3,0)),0,VLOOKUP(A68,'Données projet'!$A$139:$I$159,3,0))</f>
        <v>12</v>
      </c>
      <c r="DB68" s="16">
        <f>IF(ISNA(VLOOKUP(A68,'Données projet'!$A$139:$I$159,4,0)),0,VLOOKUP(A68,'Données projet'!$A$139:$I$159,4,0))</f>
        <v>13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6.0840162901282024</v>
      </c>
      <c r="DH68" s="23">
        <f>EXP(-LN(2)/2)*DH67+(1-EXP(-LN(2)/2))/(LN(2)/2)*DB68*DE68*VLOOKUP('Données projet'!$B$13,Paramètres!$A$1:$I$89,3,0)*0.475*44/12</f>
        <v>1.1456626542540567E-4</v>
      </c>
      <c r="DI68" s="24">
        <f t="shared" ref="DI68:DI131" si="69">SUM(DF68:DH68)</f>
        <v>6.0841308563936281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>
        <f>DO68*VLOOKUP('Données projet'!$B$14,Paramètres!$A$1:$I$89,3,0)*VLOOKUP('Données projet'!$B$14,Paramètres!$A$1:$I$89,5,0)</f>
        <v>0</v>
      </c>
      <c r="DQ68" s="14" t="e">
        <f t="shared" si="43"/>
        <v>#NUM!</v>
      </c>
      <c r="DR68" s="22" t="e">
        <f t="shared" ref="DR68:DR131" si="70">(DP68+DQ68)*0.475*44/12</f>
        <v>#NUM!</v>
      </c>
      <c r="DS68" s="62" t="e">
        <f t="shared" ref="DS68:DS131" si="71">DR68+(DJ68+DK68)*44/12</f>
        <v>#NUM!</v>
      </c>
      <c r="DT68" s="62">
        <f ca="1">AVERAGE(OFFSET($DS$3,0,0,'Données projet'!$E$14+1,1))-AVERAGE(OFFSET($H$3,0,0,'Données projet'!$E$14+1,1))</f>
        <v>96.56611521638132</v>
      </c>
      <c r="DU68" s="62">
        <f t="shared" si="44"/>
        <v>465.03257878814094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41.208517135961308</v>
      </c>
      <c r="EB68" s="23">
        <f>EXP(-LN(2)/25)*EB67+(1-EXP(-LN(2)/25))/(LN(2)/25)*Calculateur!DW68*Calculateur!DY68*VLOOKUP('Données projet'!$B$14,Paramètres!$A$1:$I$89,3,0)*0.475*44/12</f>
        <v>6.9604423366007815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48.168959472562094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306</v>
      </c>
      <c r="EH68" s="13">
        <f>VLOOKUP(A68,'Données projet'!$A$191:$I$211,9,0)</f>
        <v>5.2</v>
      </c>
      <c r="EI68" s="13">
        <f t="array" ref="EI68">INDEX(EH:EH,MIN(IF(ISNUMBER(EH68:EH264),ROW(EH68:EH264),"")))</f>
        <v>5.2</v>
      </c>
      <c r="EJ68" s="13">
        <f>IF('Données projet'!$A$192&gt;35,EJ67+EI68-ER67,IF(A68&lt;'Données projet'!$A$192,$EG$205^A68,IF(A68='Données projet'!$A$192,'Données projet'!$B$192,EJ67+EI68-ER67)))</f>
        <v>305.99999999999977</v>
      </c>
      <c r="EK68" s="18">
        <f>EJ68*VLOOKUP('Données projet'!$B$15,Paramètres!$A$1:$I$89,3,0)*VLOOKUP('Données projet'!$B$15,Paramètres!$A$1:$I$89,5,0)</f>
        <v>248.22719999999984</v>
      </c>
      <c r="EL68" s="14">
        <f t="shared" si="45"/>
        <v>60.20616532763993</v>
      </c>
      <c r="EM68" s="22">
        <f t="shared" ref="EM68:EM131" si="73">(EK68+EL68)*0.475*44/12</f>
        <v>537.18811127897254</v>
      </c>
      <c r="EN68" s="62">
        <f t="shared" ref="EN68:EN131" si="74">EM68+(EE68+EF68)*44/12</f>
        <v>830.52144461230591</v>
      </c>
      <c r="EO68" s="62">
        <f ca="1">AVERAGE(OFFSET($EN$3,0,0,'Données projet'!$E$15+1,1))-AVERAGE(OFFSET($H$3,0,0,'Données projet'!$E$15+1,1))</f>
        <v>358.75637627589799</v>
      </c>
      <c r="EP68" s="62">
        <f t="shared" si="46"/>
        <v>349.64821164483607</v>
      </c>
      <c r="EQ68" s="16">
        <f>IF(ISNA(VLOOKUP(A68,'Données projet'!$A$191:$I$211,3,0)),0,VLOOKUP(A68,'Données projet'!$A$191:$I$211,3,0))</f>
        <v>12</v>
      </c>
      <c r="ER68" s="16">
        <f>IF(ISNA(VLOOKUP(A68,'Données projet'!$A$191:$I$211,4,0)),0,VLOOKUP(A68,'Données projet'!$A$191:$I$211,4,0))</f>
        <v>13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4.8336285892543005</v>
      </c>
      <c r="EW68" s="23">
        <f>EXP(-LN(2)/25)*EW67+(1-EXP(-LN(2)/25))/(LN(2)/25)*Calculateur!ER68*Calculateur!ET68*VLOOKUP('Données projet'!$B$15,Paramètres!$A$1:$I$89,3,0)*0.475*44/12</f>
        <v>5.811996243525396</v>
      </c>
      <c r="EX68" s="23">
        <f>EXP(-LN(2)/2)*EX67+(1-EXP(-LN(2)/2))/(LN(2)/2)*ER68*EU68*VLOOKUP('Données projet'!$B$15,Paramètres!$A$1:$I$89,3,0)*0.475*44/12</f>
        <v>1.9671479375655601E-5</v>
      </c>
      <c r="EY68" s="24">
        <f t="shared" ref="EY68:EY131" si="75">SUM(EV68:EX68)</f>
        <v>10.645644504259071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>
        <f>FE68*VLOOKUP('Données projet'!$B$16,Paramètres!$A$1:$I$89,3,0)*VLOOKUP('Données projet'!$B$16,Paramètres!$A$1:$I$89,5,0)</f>
        <v>0</v>
      </c>
      <c r="FG68" s="14" t="e">
        <f t="shared" si="47"/>
        <v>#NUM!</v>
      </c>
      <c r="FH68" s="22" t="e">
        <f t="shared" ref="FH68:FH131" si="76">(FF68+FG68)*0.475*44/12</f>
        <v>#NUM!</v>
      </c>
      <c r="FI68" s="62" t="e">
        <f t="shared" ref="FI68:FI131" si="77">FH68+(EZ68+FA68)*44/12</f>
        <v>#NUM!</v>
      </c>
      <c r="FJ68" s="62">
        <f ca="1">AVERAGE(OFFSET($FI$3,0,0,'Données projet'!$E$16+1,1))-AVERAGE(OFFSET($H$3,0,0,'Données projet'!$E$16+1,1))</f>
        <v>121.28977654040114</v>
      </c>
      <c r="FK68" s="62">
        <f t="shared" si="48"/>
        <v>615.69585264342595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55.521839614558466</v>
      </c>
      <c r="FR68" s="23">
        <f>EXP(-LN(2)/25)*FR67+(1-EXP(-LN(2)/25))/(LN(2)/25)*Calculateur!FM68*Calculateur!FO68*VLOOKUP('Données projet'!$B$16,Paramètres!$A$1:$I$89,3,0)*0.475*44/12</f>
        <v>9.3780749689214957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64.899914583479955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4.4000000000000004</v>
      </c>
      <c r="N69" s="14">
        <f>IF('Données projet'!$A$36&gt;35,N68+M69-V68,IF(A69&lt;'Données projet'!$A$36,$K$205^A69,IF(A69='Données projet'!$A$36,'Données projet'!$B$36,N68+M69-V68)))</f>
        <v>297.39999999999975</v>
      </c>
      <c r="O69" s="14">
        <f>N69*VLOOKUP('Données projet'!$B$9,Paramètres!$A$1:$I$89,3,0)*VLOOKUP('Données projet'!$B$9,Paramètres!$A$1:$I$89,5,0)</f>
        <v>236.61143999999979</v>
      </c>
      <c r="P69" s="14">
        <f t="shared" ref="P69:P132" si="87">EXP(-1.0587+0.8836*LN(O69)+0.284)</f>
        <v>57.70986302809164</v>
      </c>
      <c r="Q69" s="22">
        <f t="shared" si="54"/>
        <v>512.60960277392599</v>
      </c>
      <c r="R69" s="62">
        <f t="shared" si="55"/>
        <v>805.94293610725936</v>
      </c>
      <c r="S69" s="62">
        <f ca="1">AVERAGE(OFFSET($R$3,0,0,'Données projet'!$E$9+1,1))-AVERAGE(OFFSET($H$3,0,0,'Données projet'!$E$9+1,1))</f>
        <v>352.5736659365665</v>
      </c>
      <c r="T69" s="62">
        <f t="shared" ref="T69:T132" si="88">$T$3</f>
        <v>343.77208530767069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6.6082324410182798</v>
      </c>
      <c r="AA69" s="23">
        <f>EXP(-LN(2)/25)*AA68+(1-EXP(-LN(2)/25))/(LN(2)/25)*Calculateur!V69*Calculateur!X69*VLOOKUP('Données projet'!$B$9,Paramètres!$A$1:$I$89,3,0)*0.475*44/12</f>
        <v>8.7422967010472679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15.350529142065547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4.5999999999999996</v>
      </c>
      <c r="AI69" s="14">
        <f>IF('Données projet'!$A$62&gt;35,AI68+AH69-AQ68,IF(A69&lt;'Données projet'!$A$62,$AF$205^A69,IF(A69='Données projet'!$A$62,'Données projet'!$B$62,AI68+AH69-AQ68)))</f>
        <v>169.60000000000011</v>
      </c>
      <c r="AJ69" s="14">
        <f>AI69*VLOOKUP('Données projet'!$B$10,Paramètres!$A$1:$I$89,3,0)*VLOOKUP('Données projet'!$B$10,Paramètres!$A$1:$I$89,5,0)</f>
        <v>111.12192000000007</v>
      </c>
      <c r="AK69" s="14">
        <f t="shared" ref="AK69:AK132" si="89">EXP(-1.0587+0.8836*LN(AJ69)+0.284)</f>
        <v>29.595161360044589</v>
      </c>
      <c r="AL69" s="22">
        <f t="shared" si="58"/>
        <v>245.08225003541111</v>
      </c>
      <c r="AM69" s="62">
        <f t="shared" si="59"/>
        <v>538.41558336874436</v>
      </c>
      <c r="AN69" s="62">
        <f ca="1">AVERAGE(OFFSET($AM$3,0,0,'Données projet'!$E$10+1,1))-AVERAGE(OFFSET($H$3,0,0,'Données projet'!$E$10+1,1))</f>
        <v>210.08998695869161</v>
      </c>
      <c r="AO69" s="62">
        <f t="shared" ref="AO69:AO132" si="90">$AO$3</f>
        <v>207.30911916430881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7.0464106376078337E-7</v>
      </c>
      <c r="AX69" s="23">
        <f t="shared" si="60"/>
        <v>7.0464106376078337E-7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180.57936000000001</v>
      </c>
      <c r="BF69" s="14">
        <f t="shared" ref="BF69:BF132" si="91">EXP(-1.0587+0.8836*LN(BE69)+0.284)</f>
        <v>45.45105897556433</v>
      </c>
      <c r="BG69" s="22">
        <f t="shared" si="61"/>
        <v>393.66964638244121</v>
      </c>
      <c r="BH69" s="62">
        <f t="shared" si="62"/>
        <v>687.00297971577447</v>
      </c>
      <c r="BI69" s="62">
        <f ca="1">AVERAGE(OFFSET($BH$3,0,0,'Données projet'!$E$11+1,1))-AVERAGE(OFFSET($H$3,0,0,'Données projet'!$E$11+1,1))</f>
        <v>335.83558218229564</v>
      </c>
      <c r="BJ69" s="62">
        <f t="shared" ref="BJ69:BJ132" si="92">$BJ$3</f>
        <v>217.08423061559648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8.0006239187703531E-5</v>
      </c>
      <c r="BS69" s="24">
        <f t="shared" si="63"/>
        <v>8.0006239187703531E-5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8.6666666666666661</v>
      </c>
      <c r="BY69" s="13">
        <f>IF('Données projet'!$A$114&gt;35,BY68+BX69-CG68,IF(A69&lt;'Données projet'!$A$114,$BV$205^A69,IF(A69='Données projet'!$A$114,'Données projet'!$B$114,BY68+BX69-CG68)))</f>
        <v>302</v>
      </c>
      <c r="BZ69" s="14">
        <f>BY69*VLOOKUP('Données projet'!$B$12,Paramètres!$A$1:$I$89,3,0)*VLOOKUP('Données projet'!$B$12,Paramètres!$A$1:$I$89,5,0)</f>
        <v>235.56</v>
      </c>
      <c r="CA69" s="14">
        <f t="shared" ref="CA69:CA132" si="93">EXP(-1.0587+0.8836*LN(BZ69)+0.284)</f>
        <v>57.483207143847721</v>
      </c>
      <c r="CB69" s="22">
        <f t="shared" si="64"/>
        <v>510.38358577553481</v>
      </c>
      <c r="CC69" s="62">
        <f t="shared" si="65"/>
        <v>803.71691910886807</v>
      </c>
      <c r="CD69" s="62">
        <f ca="1">AVERAGE(OFFSET($CC$3,0,0,'Données projet'!$E$12+1,1))-AVERAGE(OFFSET($H$3,0,0,'Données projet'!$E$12+1,1))</f>
        <v>288.82868507674738</v>
      </c>
      <c r="CE69" s="62">
        <f t="shared" ref="CE69:CE132" si="94">$CE$3</f>
        <v>283.48738729114024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1.7955568346112432</v>
      </c>
      <c r="CM69" s="23">
        <f>EXP(-LN(2)/2)*CM68+(1-EXP(-LN(2)/2))/(LN(2)/2)*CG69*CJ69*VLOOKUP('Données projet'!$B$12,Paramètres!$A$1:$I$89,3,0)*0.475*44/12</f>
        <v>9.8410404196357047E-6</v>
      </c>
      <c r="CN69" s="24">
        <f t="shared" si="66"/>
        <v>1.7955666756516628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4.4000000000000004</v>
      </c>
      <c r="CT69" s="13">
        <f>IF('Données projet'!$A$140&gt;35,CT68+CS69-DB68,IF(A69&lt;'Données projet'!$A$140,$CQ$205^A69,IF(A69='Données projet'!$A$140,'Données projet'!$B$140,CT68+CS69-DB68)))</f>
        <v>297.39999999999975</v>
      </c>
      <c r="CU69" s="18">
        <f>CT69*VLOOKUP('Données projet'!$B$13,Paramètres!$A$1:$I$89,3,0)*VLOOKUP('Données projet'!$B$13,Paramètres!$A$1:$I$89,5,0)</f>
        <v>259.8086399999998</v>
      </c>
      <c r="CV69" s="14">
        <f t="shared" ref="CV69:CV132" si="95">EXP(-1.0587+0.8836*LN(CU69)+0.284)</f>
        <v>62.681585989459471</v>
      </c>
      <c r="CW69" s="22">
        <f t="shared" si="67"/>
        <v>561.67047693164147</v>
      </c>
      <c r="CX69" s="62">
        <f t="shared" si="68"/>
        <v>855.00381026497485</v>
      </c>
      <c r="CY69" s="62">
        <f ca="1">AVERAGE(OFFSET($CX$3,0,0,'Données projet'!$E$13+1,1))-AVERAGE(OFFSET($H$3,0,0,'Données projet'!$E$13+1,1))</f>
        <v>383.46266660377637</v>
      </c>
      <c r="CZ69" s="62">
        <f t="shared" ref="CZ69:CZ132" si="96">$CZ$3</f>
        <v>373.1287543230714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5.9176485447301355</v>
      </c>
      <c r="DH69" s="23">
        <f>EXP(-LN(2)/2)*DH68+(1-EXP(-LN(2)/2))/(LN(2)/2)*DB69*DE69*VLOOKUP('Données projet'!$B$13,Paramètres!$A$1:$I$89,3,0)*0.475*44/12</f>
        <v>8.1010583177522249E-5</v>
      </c>
      <c r="DI69" s="24">
        <f t="shared" si="69"/>
        <v>5.9177295553133131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>
        <f>DO69*VLOOKUP('Données projet'!$B$14,Paramètres!$A$1:$I$89,3,0)*VLOOKUP('Données projet'!$B$14,Paramètres!$A$1:$I$89,5,0)</f>
        <v>0</v>
      </c>
      <c r="DQ69" s="14" t="e">
        <f t="shared" ref="DQ69:DQ132" si="97">EXP(-1.0587+0.8836*LN(DP69)+0.284)</f>
        <v>#NUM!</v>
      </c>
      <c r="DR69" s="22" t="e">
        <f t="shared" si="70"/>
        <v>#NUM!</v>
      </c>
      <c r="DS69" s="62" t="e">
        <f t="shared" si="71"/>
        <v>#NUM!</v>
      </c>
      <c r="DT69" s="62">
        <f ca="1">AVERAGE(OFFSET($DS$3,0,0,'Données projet'!$E$14+1,1))-AVERAGE(OFFSET($H$3,0,0,'Données projet'!$E$14+1,1))</f>
        <v>96.56611521638132</v>
      </c>
      <c r="DU69" s="62">
        <f t="shared" ref="DU69:DU132" si="98">$DU$3</f>
        <v>465.03257878814094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40.400443249638712</v>
      </c>
      <c r="EB69" s="23">
        <f>EXP(-LN(2)/25)*EB68+(1-EXP(-LN(2)/25))/(LN(2)/25)*Calculateur!DW69*Calculateur!DY69*VLOOKUP('Données projet'!$B$14,Paramètres!$A$1:$I$89,3,0)*0.475*44/12</f>
        <v>6.7701086748726791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47.170551924511393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4.4000000000000004</v>
      </c>
      <c r="EJ69" s="13">
        <f>IF('Données projet'!$A$192&gt;35,EJ68+EI69-ER68,IF(A69&lt;'Données projet'!$A$192,$EG$205^A69,IF(A69='Données projet'!$A$192,'Données projet'!$B$192,EJ68+EI69-ER68)))</f>
        <v>297.39999999999975</v>
      </c>
      <c r="EK69" s="18">
        <f>EJ69*VLOOKUP('Données projet'!$B$15,Paramètres!$A$1:$I$89,3,0)*VLOOKUP('Données projet'!$B$15,Paramètres!$A$1:$I$89,5,0)</f>
        <v>241.25087999999982</v>
      </c>
      <c r="EL69" s="14">
        <f t="shared" ref="EL69:EL132" si="99">EXP(-1.0587+0.8836*LN(EK69)+0.284)</f>
        <v>58.708581927297487</v>
      </c>
      <c r="EM69" s="22">
        <f t="shared" si="73"/>
        <v>522.42939619004278</v>
      </c>
      <c r="EN69" s="62">
        <f t="shared" si="74"/>
        <v>815.76272952337604</v>
      </c>
      <c r="EO69" s="62">
        <f ca="1">AVERAGE(OFFSET($EN$3,0,0,'Données projet'!$E$15+1,1))-AVERAGE(OFFSET($H$3,0,0,'Données projet'!$E$15+1,1))</f>
        <v>358.75637627589799</v>
      </c>
      <c r="EP69" s="62">
        <f t="shared" ref="EP69:EP132" si="100">$EP$3</f>
        <v>349.64821164483607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4.7388440808413508</v>
      </c>
      <c r="EW69" s="23">
        <f>EXP(-LN(2)/25)*EW68+(1-EXP(-LN(2)/25))/(LN(2)/25)*Calculateur!ER69*Calculateur!ET69*VLOOKUP('Données projet'!$B$15,Paramètres!$A$1:$I$89,3,0)*0.475*44/12</f>
        <v>5.6530669006065954</v>
      </c>
      <c r="EX69" s="23">
        <f>EXP(-LN(2)/2)*EX68+(1-EXP(-LN(2)/2))/(LN(2)/2)*ER69*EU69*VLOOKUP('Données projet'!$B$15,Paramètres!$A$1:$I$89,3,0)*0.475*44/12</f>
        <v>1.3909836462497388E-5</v>
      </c>
      <c r="EY69" s="24">
        <f t="shared" si="75"/>
        <v>10.391924891284409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>
        <f>FE69*VLOOKUP('Données projet'!$B$16,Paramètres!$A$1:$I$89,3,0)*VLOOKUP('Données projet'!$B$16,Paramètres!$A$1:$I$89,5,0)</f>
        <v>0</v>
      </c>
      <c r="FG69" s="14" t="e">
        <f t="shared" ref="FG69:FG132" si="101">EXP(-1.0587+0.8836*LN(FF69)+0.284)</f>
        <v>#NUM!</v>
      </c>
      <c r="FH69" s="22" t="e">
        <f t="shared" si="76"/>
        <v>#NUM!</v>
      </c>
      <c r="FI69" s="62" t="e">
        <f t="shared" si="77"/>
        <v>#NUM!</v>
      </c>
      <c r="FJ69" s="62">
        <f ca="1">AVERAGE(OFFSET($FI$3,0,0,'Données projet'!$E$16+1,1))-AVERAGE(OFFSET($H$3,0,0,'Données projet'!$E$16+1,1))</f>
        <v>121.28977654040114</v>
      </c>
      <c r="FK69" s="62">
        <f t="shared" ref="FK69:FK132" si="102">$FK$3</f>
        <v>615.69585264342595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54.433090204695247</v>
      </c>
      <c r="FR69" s="23">
        <f>EXP(-LN(2)/25)*FR68+(1-EXP(-LN(2)/25))/(LN(2)/25)*Calculateur!FM69*Calculateur!FO69*VLOOKUP('Données projet'!$B$16,Paramètres!$A$1:$I$89,3,0)*0.475*44/12</f>
        <v>9.1216310157248088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63.554721220420056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4.4000000000000004</v>
      </c>
      <c r="N70" s="14">
        <f>IF('Données projet'!$A$36&gt;35,N69+M70-V69,IF(A70&lt;'Données projet'!$A$36,$K$205^A70,IF(A70='Données projet'!$A$36,'Données projet'!$B$36,N69+M70-V69)))</f>
        <v>301.79999999999973</v>
      </c>
      <c r="O70" s="14">
        <f>N70*VLOOKUP('Données projet'!$B$9,Paramètres!$A$1:$I$89,3,0)*VLOOKUP('Données projet'!$B$9,Paramètres!$A$1:$I$89,5,0)</f>
        <v>240.11207999999979</v>
      </c>
      <c r="P70" s="14">
        <f t="shared" si="87"/>
        <v>58.463644384894735</v>
      </c>
      <c r="Q70" s="22">
        <f t="shared" si="54"/>
        <v>520.0193866370247</v>
      </c>
      <c r="R70" s="62">
        <f t="shared" si="55"/>
        <v>813.35271997035807</v>
      </c>
      <c r="S70" s="62">
        <f ca="1">AVERAGE(OFFSET($R$3,0,0,'Données projet'!$E$9+1,1))-AVERAGE(OFFSET($H$3,0,0,'Données projet'!$E$9+1,1))</f>
        <v>352.5736659365665</v>
      </c>
      <c r="T70" s="62">
        <f t="shared" si="88"/>
        <v>343.77208530767069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6.478649033473709</v>
      </c>
      <c r="AA70" s="23">
        <f>EXP(-LN(2)/25)*AA69+(1-EXP(-LN(2)/25))/(LN(2)/25)*Calculateur!V70*Calculateur!X70*VLOOKUP('Données projet'!$B$9,Paramètres!$A$1:$I$89,3,0)*0.475*44/12</f>
        <v>8.5032381380197268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14.981887171493437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4.5999999999999996</v>
      </c>
      <c r="AI70" s="14">
        <f>IF('Données projet'!$A$62&gt;35,AI69+AH70-AQ69,IF(A70&lt;'Données projet'!$A$62,$AF$205^A70,IF(A70='Données projet'!$A$62,'Données projet'!$B$62,AI69+AH70-AQ69)))</f>
        <v>174.2000000000001</v>
      </c>
      <c r="AJ70" s="14">
        <f>AI70*VLOOKUP('Données projet'!$B$10,Paramètres!$A$1:$I$89,3,0)*VLOOKUP('Données projet'!$B$10,Paramètres!$A$1:$I$89,5,0)</f>
        <v>114.13584000000007</v>
      </c>
      <c r="AK70" s="14">
        <f t="shared" si="89"/>
        <v>30.303317693701107</v>
      </c>
      <c r="AL70" s="22">
        <f t="shared" si="58"/>
        <v>251.56486631652959</v>
      </c>
      <c r="AM70" s="62">
        <f t="shared" si="59"/>
        <v>544.89819964986293</v>
      </c>
      <c r="AN70" s="62">
        <f ca="1">AVERAGE(OFFSET($AM$3,0,0,'Données projet'!$E$10+1,1))-AVERAGE(OFFSET($H$3,0,0,'Données projet'!$E$10+1,1))</f>
        <v>210.08998695869161</v>
      </c>
      <c r="AO70" s="62">
        <f t="shared" si="90"/>
        <v>207.30911916430881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4.9825647448775231E-7</v>
      </c>
      <c r="AX70" s="23">
        <f t="shared" si="60"/>
        <v>4.9825647448775231E-7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186.07991999999999</v>
      </c>
      <c r="BF70" s="14">
        <f t="shared" si="91"/>
        <v>46.672230055835435</v>
      </c>
      <c r="BG70" s="22">
        <f t="shared" si="61"/>
        <v>405.37666134724668</v>
      </c>
      <c r="BH70" s="62">
        <f t="shared" si="62"/>
        <v>698.70999468057994</v>
      </c>
      <c r="BI70" s="62">
        <f ca="1">AVERAGE(OFFSET($BH$3,0,0,'Données projet'!$E$11+1,1))-AVERAGE(OFFSET($H$3,0,0,'Données projet'!$E$11+1,1))</f>
        <v>335.83558218229564</v>
      </c>
      <c r="BJ70" s="62">
        <f t="shared" si="92"/>
        <v>217.08423061559648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5.6572954266858065E-5</v>
      </c>
      <c r="BS70" s="24">
        <f t="shared" si="63"/>
        <v>5.6572954266858065E-5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8.6666666666666661</v>
      </c>
      <c r="BY70" s="13">
        <f>IF('Données projet'!$A$114&gt;35,BY69+BX70-CG69,IF(A70&lt;'Données projet'!$A$114,$BV$205^A70,IF(A70='Données projet'!$A$114,'Données projet'!$B$114,BY69+BX70-CG69)))</f>
        <v>310.66666666666669</v>
      </c>
      <c r="BZ70" s="14">
        <f>BY70*VLOOKUP('Données projet'!$B$12,Paramètres!$A$1:$I$89,3,0)*VLOOKUP('Données projet'!$B$12,Paramètres!$A$1:$I$89,5,0)</f>
        <v>242.32000000000002</v>
      </c>
      <c r="CA70" s="14">
        <f t="shared" si="93"/>
        <v>58.938409961900859</v>
      </c>
      <c r="CB70" s="22">
        <f t="shared" si="64"/>
        <v>524.69173068364398</v>
      </c>
      <c r="CC70" s="62">
        <f t="shared" si="65"/>
        <v>818.02506401697724</v>
      </c>
      <c r="CD70" s="62">
        <f ca="1">AVERAGE(OFFSET($CC$3,0,0,'Données projet'!$E$12+1,1))-AVERAGE(OFFSET($H$3,0,0,'Données projet'!$E$12+1,1))</f>
        <v>288.82868507674738</v>
      </c>
      <c r="CE70" s="62">
        <f t="shared" si="94"/>
        <v>283.48738729114024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1.7464572385445687</v>
      </c>
      <c r="CM70" s="23">
        <f>EXP(-LN(2)/2)*CM69+(1-EXP(-LN(2)/2))/(LN(2)/2)*CG70*CJ70*VLOOKUP('Données projet'!$B$12,Paramètres!$A$1:$I$89,3,0)*0.475*44/12</f>
        <v>6.9586664146553141E-6</v>
      </c>
      <c r="CN70" s="24">
        <f t="shared" si="66"/>
        <v>1.7464641972109833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4.4000000000000004</v>
      </c>
      <c r="CT70" s="13">
        <f>IF('Données projet'!$A$140&gt;35,CT69+CS70-DB69,IF(A70&lt;'Données projet'!$A$140,$CQ$205^A70,IF(A70='Données projet'!$A$140,'Données projet'!$B$140,CT69+CS70-DB69)))</f>
        <v>301.79999999999973</v>
      </c>
      <c r="CU70" s="18">
        <f>CT70*VLOOKUP('Données projet'!$B$13,Paramètres!$A$1:$I$89,3,0)*VLOOKUP('Données projet'!$B$13,Paramètres!$A$1:$I$89,5,0)</f>
        <v>263.6524799999998</v>
      </c>
      <c r="CV70" s="14">
        <f t="shared" si="95"/>
        <v>63.500305848674962</v>
      </c>
      <c r="CW70" s="22">
        <f t="shared" si="67"/>
        <v>569.79110201977517</v>
      </c>
      <c r="CX70" s="62">
        <f t="shared" si="68"/>
        <v>863.12443535310854</v>
      </c>
      <c r="CY70" s="62">
        <f ca="1">AVERAGE(OFFSET($CX$3,0,0,'Données projet'!$E$13+1,1))-AVERAGE(OFFSET($H$3,0,0,'Données projet'!$E$13+1,1))</f>
        <v>383.46266660377637</v>
      </c>
      <c r="CZ70" s="62">
        <f t="shared" si="96"/>
        <v>373.1287543230714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5.7558301340788782</v>
      </c>
      <c r="DH70" s="23">
        <f>EXP(-LN(2)/2)*DH69+(1-EXP(-LN(2)/2))/(LN(2)/2)*DB70*DE70*VLOOKUP('Données projet'!$B$13,Paramètres!$A$1:$I$89,3,0)*0.475*44/12</f>
        <v>5.7283132712702834E-5</v>
      </c>
      <c r="DI70" s="24">
        <f t="shared" si="69"/>
        <v>5.755887417211591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>
        <f>DO70*VLOOKUP('Données projet'!$B$14,Paramètres!$A$1:$I$89,3,0)*VLOOKUP('Données projet'!$B$14,Paramètres!$A$1:$I$89,5,0)</f>
        <v>0</v>
      </c>
      <c r="DQ70" s="14" t="e">
        <f t="shared" si="97"/>
        <v>#NUM!</v>
      </c>
      <c r="DR70" s="22" t="e">
        <f t="shared" si="70"/>
        <v>#NUM!</v>
      </c>
      <c r="DS70" s="62" t="e">
        <f t="shared" si="71"/>
        <v>#NUM!</v>
      </c>
      <c r="DT70" s="62">
        <f ca="1">AVERAGE(OFFSET($DS$3,0,0,'Données projet'!$E$14+1,1))-AVERAGE(OFFSET($H$3,0,0,'Données projet'!$E$14+1,1))</f>
        <v>96.56611521638132</v>
      </c>
      <c r="DU70" s="62">
        <f t="shared" si="98"/>
        <v>465.03257878814094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39.608215199350504</v>
      </c>
      <c r="EB70" s="23">
        <f>EXP(-LN(2)/25)*EB69+(1-EXP(-LN(2)/25))/(LN(2)/25)*Calculateur!DW70*Calculateur!DY70*VLOOKUP('Données projet'!$B$14,Paramètres!$A$1:$I$89,3,0)*0.475*44/12</f>
        <v>6.5849796971337442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46.19319489648425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4.4000000000000004</v>
      </c>
      <c r="EJ70" s="13">
        <f>IF('Données projet'!$A$192&gt;35,EJ69+EI70-ER69,IF(A70&lt;'Données projet'!$A$192,$EG$205^A70,IF(A70='Données projet'!$A$192,'Données projet'!$B$192,EJ69+EI70-ER69)))</f>
        <v>301.79999999999973</v>
      </c>
      <c r="EK70" s="18">
        <f>EJ70*VLOOKUP('Données projet'!$B$15,Paramètres!$A$1:$I$89,3,0)*VLOOKUP('Données projet'!$B$15,Paramètres!$A$1:$I$89,5,0)</f>
        <v>244.82015999999979</v>
      </c>
      <c r="EL70" s="14">
        <f t="shared" si="99"/>
        <v>59.475408119894851</v>
      </c>
      <c r="EM70" s="22">
        <f t="shared" si="73"/>
        <v>529.98144780881648</v>
      </c>
      <c r="EN70" s="62">
        <f t="shared" si="74"/>
        <v>823.31478114214974</v>
      </c>
      <c r="EO70" s="62">
        <f ca="1">AVERAGE(OFFSET($EN$3,0,0,'Données projet'!$E$15+1,1))-AVERAGE(OFFSET($H$3,0,0,'Données projet'!$E$15+1,1))</f>
        <v>358.75637627589799</v>
      </c>
      <c r="EP70" s="62">
        <f t="shared" si="100"/>
        <v>349.64821164483607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4.6459182388255371</v>
      </c>
      <c r="EW70" s="23">
        <f>EXP(-LN(2)/25)*EW69+(1-EXP(-LN(2)/25))/(LN(2)/25)*Calculateur!ER70*Calculateur!ET70*VLOOKUP('Données projet'!$B$15,Paramètres!$A$1:$I$89,3,0)*0.475*44/12</f>
        <v>5.4984834889276399</v>
      </c>
      <c r="EX70" s="23">
        <f>EXP(-LN(2)/2)*EX69+(1-EXP(-LN(2)/2))/(LN(2)/2)*ER70*EU70*VLOOKUP('Données projet'!$B$15,Paramètres!$A$1:$I$89,3,0)*0.475*44/12</f>
        <v>9.8357396878278004E-6</v>
      </c>
      <c r="EY70" s="24">
        <f t="shared" si="75"/>
        <v>10.144411563492865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>
        <f>FE70*VLOOKUP('Données projet'!$B$16,Paramètres!$A$1:$I$89,3,0)*VLOOKUP('Données projet'!$B$16,Paramètres!$A$1:$I$89,5,0)</f>
        <v>0</v>
      </c>
      <c r="FG70" s="14" t="e">
        <f t="shared" si="101"/>
        <v>#NUM!</v>
      </c>
      <c r="FH70" s="22" t="e">
        <f t="shared" si="76"/>
        <v>#NUM!</v>
      </c>
      <c r="FI70" s="62" t="e">
        <f t="shared" si="77"/>
        <v>#NUM!</v>
      </c>
      <c r="FJ70" s="62">
        <f ca="1">AVERAGE(OFFSET($FI$3,0,0,'Données projet'!$E$16+1,1))-AVERAGE(OFFSET($H$3,0,0,'Données projet'!$E$16+1,1))</f>
        <v>121.28977654040114</v>
      </c>
      <c r="FK70" s="62">
        <f t="shared" si="102"/>
        <v>615.69585264342595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53.365690506687883</v>
      </c>
      <c r="FR70" s="23">
        <f>EXP(-LN(2)/25)*FR69+(1-EXP(-LN(2)/25))/(LN(2)/25)*Calculateur!FM70*Calculateur!FO70*VLOOKUP('Données projet'!$B$16,Paramètres!$A$1:$I$89,3,0)*0.475*44/12</f>
        <v>8.8721995359140866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62.237890042601968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4.4000000000000004</v>
      </c>
      <c r="N71" s="14">
        <f>IF('Données projet'!$A$36&gt;35,N70+M71-V70,IF(A71&lt;'Données projet'!$A$36,$K$205^A71,IF(A71='Données projet'!$A$36,'Données projet'!$B$36,N70+M71-V70)))</f>
        <v>306.1999999999997</v>
      </c>
      <c r="O71" s="14">
        <f>N71*VLOOKUP('Données projet'!$B$9,Paramètres!$A$1:$I$89,3,0)*VLOOKUP('Données projet'!$B$9,Paramètres!$A$1:$I$89,5,0)</f>
        <v>243.6127199999998</v>
      </c>
      <c r="P71" s="14">
        <f t="shared" si="87"/>
        <v>59.216147598154699</v>
      </c>
      <c r="Q71" s="22">
        <f t="shared" si="54"/>
        <v>527.42694440011905</v>
      </c>
      <c r="R71" s="62">
        <f t="shared" si="55"/>
        <v>820.76027773345231</v>
      </c>
      <c r="S71" s="62">
        <f ca="1">AVERAGE(OFFSET($R$3,0,0,'Données projet'!$E$9+1,1))-AVERAGE(OFFSET($H$3,0,0,'Données projet'!$E$9+1,1))</f>
        <v>352.5736659365665</v>
      </c>
      <c r="T71" s="62">
        <f t="shared" si="88"/>
        <v>343.77208530767069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6.3516066775130131</v>
      </c>
      <c r="AA71" s="23">
        <f>EXP(-LN(2)/25)*AA70+(1-EXP(-LN(2)/25))/(LN(2)/25)*Calculateur!V71*Calculateur!X71*VLOOKUP('Données projet'!$B$9,Paramètres!$A$1:$I$89,3,0)*0.475*44/12</f>
        <v>8.2707166439697186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14.622323321482732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4.5999999999999996</v>
      </c>
      <c r="AI71" s="14">
        <f>IF('Données projet'!$A$62&gt;35,AI70+AH71-AQ70,IF(A71&lt;'Données projet'!$A$62,$AF$205^A71,IF(A71='Données projet'!$A$62,'Données projet'!$B$62,AI70+AH71-AQ70)))</f>
        <v>178.8000000000001</v>
      </c>
      <c r="AJ71" s="14">
        <f>AI71*VLOOKUP('Données projet'!$B$10,Paramètres!$A$1:$I$89,3,0)*VLOOKUP('Données projet'!$B$10,Paramètres!$A$1:$I$89,5,0)</f>
        <v>117.14976000000006</v>
      </c>
      <c r="AK71" s="14">
        <f t="shared" si="89"/>
        <v>31.009300436149584</v>
      </c>
      <c r="AL71" s="22">
        <f t="shared" si="58"/>
        <v>258.04369692629399</v>
      </c>
      <c r="AM71" s="62">
        <f t="shared" si="59"/>
        <v>551.3770302596273</v>
      </c>
      <c r="AN71" s="62">
        <f ca="1">AVERAGE(OFFSET($AM$3,0,0,'Données projet'!$E$10+1,1))-AVERAGE(OFFSET($H$3,0,0,'Données projet'!$E$10+1,1))</f>
        <v>210.08998695869161</v>
      </c>
      <c r="AO71" s="62">
        <f t="shared" si="90"/>
        <v>207.30911916430881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3.5232053188039169E-7</v>
      </c>
      <c r="AX71" s="23">
        <f t="shared" si="60"/>
        <v>3.5232053188039169E-7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191.58047999999997</v>
      </c>
      <c r="BF71" s="14">
        <f t="shared" si="91"/>
        <v>47.889205896476554</v>
      </c>
      <c r="BG71" s="22">
        <f t="shared" si="61"/>
        <v>417.07636960302989</v>
      </c>
      <c r="BH71" s="62">
        <f t="shared" si="62"/>
        <v>710.40970293636315</v>
      </c>
      <c r="BI71" s="62">
        <f ca="1">AVERAGE(OFFSET($BH$3,0,0,'Données projet'!$E$11+1,1))-AVERAGE(OFFSET($H$3,0,0,'Données projet'!$E$11+1,1))</f>
        <v>335.83558218229564</v>
      </c>
      <c r="BJ71" s="62">
        <f t="shared" si="92"/>
        <v>217.08423061559648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4.0003119593851765E-5</v>
      </c>
      <c r="BS71" s="24">
        <f t="shared" si="63"/>
        <v>4.0003119593851765E-5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8.6666666666666661</v>
      </c>
      <c r="BY71" s="13">
        <f>IF('Données projet'!$A$114&gt;35,BY70+BX71-CG70,IF(A71&lt;'Données projet'!$A$114,$BV$205^A71,IF(A71='Données projet'!$A$114,'Données projet'!$B$114,BY70+BX71-CG70)))</f>
        <v>319.33333333333337</v>
      </c>
      <c r="BZ71" s="14">
        <f>BY71*VLOOKUP('Données projet'!$B$12,Paramètres!$A$1:$I$89,3,0)*VLOOKUP('Données projet'!$B$12,Paramètres!$A$1:$I$89,5,0)</f>
        <v>249.08000000000004</v>
      </c>
      <c r="CA71" s="14">
        <f t="shared" si="93"/>
        <v>60.388894447487807</v>
      </c>
      <c r="CB71" s="22">
        <f t="shared" si="64"/>
        <v>538.99165782937473</v>
      </c>
      <c r="CC71" s="62">
        <f t="shared" si="65"/>
        <v>832.3249911627081</v>
      </c>
      <c r="CD71" s="62">
        <f ca="1">AVERAGE(OFFSET($CC$3,0,0,'Données projet'!$E$12+1,1))-AVERAGE(OFFSET($H$3,0,0,'Données projet'!$E$12+1,1))</f>
        <v>288.82868507674738</v>
      </c>
      <c r="CE71" s="62">
        <f t="shared" si="94"/>
        <v>283.48738729114024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1.6987002735143728</v>
      </c>
      <c r="CM71" s="23">
        <f>EXP(-LN(2)/2)*CM70+(1-EXP(-LN(2)/2))/(LN(2)/2)*CG71*CJ71*VLOOKUP('Données projet'!$B$12,Paramètres!$A$1:$I$89,3,0)*0.475*44/12</f>
        <v>4.9205202098178523E-6</v>
      </c>
      <c r="CN71" s="24">
        <f t="shared" si="66"/>
        <v>1.6987051940345825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4.4000000000000004</v>
      </c>
      <c r="CT71" s="13">
        <f>IF('Données projet'!$A$140&gt;35,CT70+CS71-DB70,IF(A71&lt;'Données projet'!$A$140,$CQ$205^A71,IF(A71='Données projet'!$A$140,'Données projet'!$B$140,CT70+CS71-DB70)))</f>
        <v>306.1999999999997</v>
      </c>
      <c r="CU71" s="18">
        <f>CT71*VLOOKUP('Données projet'!$B$13,Paramètres!$A$1:$I$89,3,0)*VLOOKUP('Données projet'!$B$13,Paramètres!$A$1:$I$89,5,0)</f>
        <v>267.49631999999974</v>
      </c>
      <c r="CV71" s="14">
        <f t="shared" si="95"/>
        <v>64.317637451876635</v>
      </c>
      <c r="CW71" s="22">
        <f t="shared" si="67"/>
        <v>577.90930922868472</v>
      </c>
      <c r="CX71" s="62">
        <f t="shared" si="68"/>
        <v>871.24264256201809</v>
      </c>
      <c r="CY71" s="62">
        <f ca="1">AVERAGE(OFFSET($CX$3,0,0,'Données projet'!$E$13+1,1))-AVERAGE(OFFSET($H$3,0,0,'Données projet'!$E$13+1,1))</f>
        <v>383.46266660377637</v>
      </c>
      <c r="CZ71" s="62">
        <f t="shared" si="96"/>
        <v>373.1287543230714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5.5984366563765393</v>
      </c>
      <c r="DH71" s="23">
        <f>EXP(-LN(2)/2)*DH70+(1-EXP(-LN(2)/2))/(LN(2)/2)*DB71*DE71*VLOOKUP('Données projet'!$B$13,Paramètres!$A$1:$I$89,3,0)*0.475*44/12</f>
        <v>4.0505291588761125E-5</v>
      </c>
      <c r="DI71" s="24">
        <f t="shared" si="69"/>
        <v>5.5984771616681277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>
        <f>DO71*VLOOKUP('Données projet'!$B$14,Paramètres!$A$1:$I$89,3,0)*VLOOKUP('Données projet'!$B$14,Paramètres!$A$1:$I$89,5,0)</f>
        <v>0</v>
      </c>
      <c r="DQ71" s="14" t="e">
        <f t="shared" si="97"/>
        <v>#NUM!</v>
      </c>
      <c r="DR71" s="22" t="e">
        <f t="shared" si="70"/>
        <v>#NUM!</v>
      </c>
      <c r="DS71" s="62" t="e">
        <f t="shared" si="71"/>
        <v>#NUM!</v>
      </c>
      <c r="DT71" s="62">
        <f ca="1">AVERAGE(OFFSET($DS$3,0,0,'Données projet'!$E$14+1,1))-AVERAGE(OFFSET($H$3,0,0,'Données projet'!$E$14+1,1))</f>
        <v>96.56611521638132</v>
      </c>
      <c r="DU71" s="62">
        <f t="shared" si="98"/>
        <v>465.03257878814094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38.831522257917044</v>
      </c>
      <c r="EB71" s="23">
        <f>EXP(-LN(2)/25)*EB70+(1-EXP(-LN(2)/25))/(LN(2)/25)*Calculateur!DW71*Calculateur!DY71*VLOOKUP('Données projet'!$B$14,Paramètres!$A$1:$I$89,3,0)*0.475*44/12</f>
        <v>6.4049130810265895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45.236435338943636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4.4000000000000004</v>
      </c>
      <c r="EJ71" s="13">
        <f>IF('Données projet'!$A$192&gt;35,EJ70+EI71-ER70,IF(A71&lt;'Données projet'!$A$192,$EG$205^A71,IF(A71='Données projet'!$A$192,'Données projet'!$B$192,EJ70+EI71-ER70)))</f>
        <v>306.1999999999997</v>
      </c>
      <c r="EK71" s="18">
        <f>EJ71*VLOOKUP('Données projet'!$B$15,Paramètres!$A$1:$I$89,3,0)*VLOOKUP('Données projet'!$B$15,Paramètres!$A$1:$I$89,5,0)</f>
        <v>248.38943999999978</v>
      </c>
      <c r="EL71" s="14">
        <f t="shared" si="99"/>
        <v>60.240934049573845</v>
      </c>
      <c r="EM71" s="22">
        <f t="shared" si="73"/>
        <v>537.53123480300735</v>
      </c>
      <c r="EN71" s="62">
        <f t="shared" si="74"/>
        <v>830.86456813634072</v>
      </c>
      <c r="EO71" s="62">
        <f ca="1">AVERAGE(OFFSET($EN$3,0,0,'Données projet'!$E$15+1,1))-AVERAGE(OFFSET($H$3,0,0,'Données projet'!$E$15+1,1))</f>
        <v>358.75637627589799</v>
      </c>
      <c r="EP71" s="62">
        <f t="shared" si="100"/>
        <v>349.64821164483607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4.5548146158924867</v>
      </c>
      <c r="EW71" s="23">
        <f>EXP(-LN(2)/25)*EW70+(1-EXP(-LN(2)/25))/(LN(2)/25)*Calculateur!ER71*Calculateur!ET71*VLOOKUP('Données projet'!$B$15,Paramètres!$A$1:$I$89,3,0)*0.475*44/12</f>
        <v>5.3481271687702341</v>
      </c>
      <c r="EX71" s="23">
        <f>EXP(-LN(2)/2)*EX70+(1-EXP(-LN(2)/2))/(LN(2)/2)*ER71*EU71*VLOOKUP('Données projet'!$B$15,Paramètres!$A$1:$I$89,3,0)*0.475*44/12</f>
        <v>6.9549182312486938E-6</v>
      </c>
      <c r="EY71" s="24">
        <f t="shared" si="75"/>
        <v>9.9029487395809515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>
        <f>FE71*VLOOKUP('Données projet'!$B$16,Paramètres!$A$1:$I$89,3,0)*VLOOKUP('Données projet'!$B$16,Paramètres!$A$1:$I$89,5,0)</f>
        <v>0</v>
      </c>
      <c r="FG71" s="14" t="e">
        <f t="shared" si="101"/>
        <v>#NUM!</v>
      </c>
      <c r="FH71" s="22" t="e">
        <f t="shared" si="76"/>
        <v>#NUM!</v>
      </c>
      <c r="FI71" s="62" t="e">
        <f t="shared" si="77"/>
        <v>#NUM!</v>
      </c>
      <c r="FJ71" s="62">
        <f ca="1">AVERAGE(OFFSET($FI$3,0,0,'Données projet'!$E$16+1,1))-AVERAGE(OFFSET($H$3,0,0,'Données projet'!$E$16+1,1))</f>
        <v>121.28977654040114</v>
      </c>
      <c r="FK71" s="62">
        <f t="shared" si="102"/>
        <v>615.69585264342595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52.319221865708911</v>
      </c>
      <c r="FR71" s="23">
        <f>EXP(-LN(2)/25)*FR70+(1-EXP(-LN(2)/25))/(LN(2)/25)*Calculateur!FM71*Calculateur!FO71*VLOOKUP('Données projet'!$B$16,Paramètres!$A$1:$I$89,3,0)*0.475*44/12</f>
        <v>8.6295887730358203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60.948810638744732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4.4000000000000004</v>
      </c>
      <c r="N72" s="14">
        <f>IF('Données projet'!$A$36&gt;35,N71+M72-V71,IF(A72&lt;'Données projet'!$A$36,$K$205^A72,IF(A72='Données projet'!$A$36,'Données projet'!$B$36,N71+M72-V71)))</f>
        <v>310.59999999999968</v>
      </c>
      <c r="O72" s="14">
        <f>N72*VLOOKUP('Données projet'!$B$9,Paramètres!$A$1:$I$89,3,0)*VLOOKUP('Données projet'!$B$9,Paramètres!$A$1:$I$89,5,0)</f>
        <v>247.11335999999974</v>
      </c>
      <c r="P72" s="14">
        <f t="shared" si="87"/>
        <v>59.967393156546734</v>
      </c>
      <c r="Q72" s="22">
        <f t="shared" si="54"/>
        <v>534.83231174765172</v>
      </c>
      <c r="R72" s="62">
        <f t="shared" si="55"/>
        <v>828.16564508098509</v>
      </c>
      <c r="S72" s="62">
        <f ca="1">AVERAGE(OFFSET($R$3,0,0,'Données projet'!$E$9+1,1))-AVERAGE(OFFSET($H$3,0,0,'Données projet'!$E$9+1,1))</f>
        <v>352.5736659365665</v>
      </c>
      <c r="T72" s="62">
        <f t="shared" si="88"/>
        <v>343.77208530767069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6.2270555446645206</v>
      </c>
      <c r="AA72" s="23">
        <f>EXP(-LN(2)/25)*AA71+(1-EXP(-LN(2)/25))/(LN(2)/25)*Calculateur!V72*Calculateur!X72*VLOOKUP('Données projet'!$B$9,Paramètres!$A$1:$I$89,3,0)*0.475*44/12</f>
        <v>8.0445534624022805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14.2716090070668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4.5999999999999996</v>
      </c>
      <c r="AI72" s="14">
        <f>IF('Données projet'!$A$62&gt;35,AI71+AH72-AQ71,IF(A72&lt;'Données projet'!$A$62,$AF$205^A72,IF(A72='Données projet'!$A$62,'Données projet'!$B$62,AI71+AH72-AQ71)))</f>
        <v>183.40000000000009</v>
      </c>
      <c r="AJ72" s="14">
        <f>AI72*VLOOKUP('Données projet'!$B$10,Paramètres!$A$1:$I$89,3,0)*VLOOKUP('Données projet'!$B$10,Paramètres!$A$1:$I$89,5,0)</f>
        <v>120.16368000000006</v>
      </c>
      <c r="AK72" s="14">
        <f t="shared" si="89"/>
        <v>31.713171937161391</v>
      </c>
      <c r="AL72" s="22">
        <f t="shared" si="58"/>
        <v>264.51885045722287</v>
      </c>
      <c r="AM72" s="62">
        <f t="shared" si="59"/>
        <v>557.85218379055618</v>
      </c>
      <c r="AN72" s="62">
        <f ca="1">AVERAGE(OFFSET($AM$3,0,0,'Données projet'!$E$10+1,1))-AVERAGE(OFFSET($H$3,0,0,'Données projet'!$E$10+1,1))</f>
        <v>210.08998695869161</v>
      </c>
      <c r="AO72" s="62">
        <f t="shared" si="90"/>
        <v>207.30911916430881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2.4912823724387616E-7</v>
      </c>
      <c r="AX72" s="23">
        <f t="shared" si="60"/>
        <v>2.4912823724387616E-7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197.08103999999997</v>
      </c>
      <c r="BF72" s="14">
        <f t="shared" si="91"/>
        <v>49.102120782543381</v>
      </c>
      <c r="BG72" s="22">
        <f t="shared" si="61"/>
        <v>428.76900502959637</v>
      </c>
      <c r="BH72" s="62">
        <f t="shared" si="62"/>
        <v>722.10233836292969</v>
      </c>
      <c r="BI72" s="62">
        <f ca="1">AVERAGE(OFFSET($BH$3,0,0,'Données projet'!$E$11+1,1))-AVERAGE(OFFSET($H$3,0,0,'Données projet'!$E$11+1,1))</f>
        <v>335.83558218229564</v>
      </c>
      <c r="BJ72" s="62">
        <f t="shared" si="92"/>
        <v>217.08423061559648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2.8286477133429032E-5</v>
      </c>
      <c r="BS72" s="24">
        <f t="shared" si="63"/>
        <v>2.8286477133429032E-5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>
        <f>VLOOKUP(A72,'Données projet'!$A$113:$I$133,2,0)</f>
        <v>328</v>
      </c>
      <c r="BW72" s="13">
        <f>VLOOKUP(A72,'Données projet'!$A$113:$I$133,9,0)</f>
        <v>8.6666666666666661</v>
      </c>
      <c r="BX72" s="13">
        <f t="array" ref="BX72">INDEX(BW:BW,MIN(IF(ISNUMBER(BW72:BW268),ROW(BW72:BW268),"")))</f>
        <v>8.6666666666666661</v>
      </c>
      <c r="BY72" s="13">
        <f>IF('Données projet'!$A$114&gt;35,BY71+BX72-CG71,IF(A72&lt;'Données projet'!$A$114,$BV$205^A72,IF(A72='Données projet'!$A$114,'Données projet'!$B$114,BY71+BX72-CG71)))</f>
        <v>328.00000000000006</v>
      </c>
      <c r="BZ72" s="14">
        <f>BY72*VLOOKUP('Données projet'!$B$12,Paramètres!$A$1:$I$89,3,0)*VLOOKUP('Données projet'!$B$12,Paramètres!$A$1:$I$89,5,0)</f>
        <v>255.84000000000006</v>
      </c>
      <c r="CA72" s="14">
        <f t="shared" si="93"/>
        <v>61.834803371075836</v>
      </c>
      <c r="CB72" s="22">
        <f t="shared" si="64"/>
        <v>553.28361587129041</v>
      </c>
      <c r="CC72" s="62">
        <f t="shared" si="65"/>
        <v>846.61694920462378</v>
      </c>
      <c r="CD72" s="62">
        <f ca="1">AVERAGE(OFFSET($CC$3,0,0,'Données projet'!$E$12+1,1))-AVERAGE(OFFSET($H$3,0,0,'Données projet'!$E$12+1,1))</f>
        <v>288.82868507674738</v>
      </c>
      <c r="CE72" s="62">
        <f t="shared" si="94"/>
        <v>283.48738729114024</v>
      </c>
      <c r="CF72" s="16">
        <f>IF(ISNA(VLOOKUP(A72,'Données projet'!$A$113:$I$133,3,0)),0,VLOOKUP(A72,'Données projet'!$A$113:$I$133,3,0))</f>
        <v>9</v>
      </c>
      <c r="CG72" s="16">
        <f>IF(ISNA(VLOOKUP(A72,'Données projet'!$A$113:$I$133,4,0)),0,VLOOKUP(A72,'Données projet'!$A$113:$I$133,4,0))</f>
        <v>328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1.6522492252043572</v>
      </c>
      <c r="CM72" s="23">
        <f>EXP(-LN(2)/2)*CM71+(1-EXP(-LN(2)/2))/(LN(2)/2)*CG72*CJ72*VLOOKUP('Données projet'!$B$12,Paramètres!$A$1:$I$89,3,0)*0.475*44/12</f>
        <v>3.4793332073276571E-6</v>
      </c>
      <c r="CN72" s="24">
        <f t="shared" si="66"/>
        <v>1.6522527045375646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4.4000000000000004</v>
      </c>
      <c r="CT72" s="13">
        <f>IF('Données projet'!$A$140&gt;35,CT71+CS72-DB71,IF(A72&lt;'Données projet'!$A$140,$CQ$205^A72,IF(A72='Données projet'!$A$140,'Données projet'!$B$140,CT71+CS72-DB71)))</f>
        <v>310.59999999999968</v>
      </c>
      <c r="CU72" s="18">
        <f>CT72*VLOOKUP('Données projet'!$B$13,Paramètres!$A$1:$I$89,3,0)*VLOOKUP('Données projet'!$B$13,Paramètres!$A$1:$I$89,5,0)</f>
        <v>271.34015999999974</v>
      </c>
      <c r="CV72" s="14">
        <f t="shared" si="95"/>
        <v>65.13360305284553</v>
      </c>
      <c r="CW72" s="22">
        <f t="shared" si="67"/>
        <v>586.0251373170388</v>
      </c>
      <c r="CX72" s="62">
        <f t="shared" si="68"/>
        <v>879.35847065037206</v>
      </c>
      <c r="CY72" s="62">
        <f ca="1">AVERAGE(OFFSET($CX$3,0,0,'Données projet'!$E$13+1,1))-AVERAGE(OFFSET($H$3,0,0,'Données projet'!$E$13+1,1))</f>
        <v>383.46266660377637</v>
      </c>
      <c r="CZ72" s="62">
        <f t="shared" si="96"/>
        <v>373.1287543230714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5.4453471115989345</v>
      </c>
      <c r="DH72" s="23">
        <f>EXP(-LN(2)/2)*DH71+(1-EXP(-LN(2)/2))/(LN(2)/2)*DB72*DE72*VLOOKUP('Données projet'!$B$13,Paramètres!$A$1:$I$89,3,0)*0.475*44/12</f>
        <v>2.8641566356351417E-5</v>
      </c>
      <c r="DI72" s="24">
        <f t="shared" si="69"/>
        <v>5.4453757531652904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>
        <f>DO72*VLOOKUP('Données projet'!$B$14,Paramètres!$A$1:$I$89,3,0)*VLOOKUP('Données projet'!$B$14,Paramètres!$A$1:$I$89,5,0)</f>
        <v>0</v>
      </c>
      <c r="DQ72" s="14" t="e">
        <f t="shared" si="97"/>
        <v>#NUM!</v>
      </c>
      <c r="DR72" s="22" t="e">
        <f t="shared" si="70"/>
        <v>#NUM!</v>
      </c>
      <c r="DS72" s="62" t="e">
        <f t="shared" si="71"/>
        <v>#NUM!</v>
      </c>
      <c r="DT72" s="62">
        <f ca="1">AVERAGE(OFFSET($DS$3,0,0,'Données projet'!$E$14+1,1))-AVERAGE(OFFSET($H$3,0,0,'Données projet'!$E$14+1,1))</f>
        <v>96.56611521638132</v>
      </c>
      <c r="DU72" s="62">
        <f t="shared" si="98"/>
        <v>465.03257878814094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38.070059791329179</v>
      </c>
      <c r="EB72" s="23">
        <f>EXP(-LN(2)/25)*EB71+(1-EXP(-LN(2)/25))/(LN(2)/25)*Calculateur!DW72*Calculateur!DY72*VLOOKUP('Données projet'!$B$14,Paramètres!$A$1:$I$89,3,0)*0.475*44/12</f>
        <v>6.2297703960061774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44.29983018733536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4.4000000000000004</v>
      </c>
      <c r="EJ72" s="13">
        <f>IF('Données projet'!$A$192&gt;35,EJ71+EI72-ER71,IF(A72&lt;'Données projet'!$A$192,$EG$205^A72,IF(A72='Données projet'!$A$192,'Données projet'!$B$192,EJ71+EI72-ER71)))</f>
        <v>310.59999999999968</v>
      </c>
      <c r="EK72" s="18">
        <f>EJ72*VLOOKUP('Données projet'!$B$15,Paramètres!$A$1:$I$89,3,0)*VLOOKUP('Données projet'!$B$15,Paramètres!$A$1:$I$89,5,0)</f>
        <v>251.95871999999974</v>
      </c>
      <c r="EL72" s="14">
        <f t="shared" si="99"/>
        <v>61.005180559583842</v>
      </c>
      <c r="EM72" s="22">
        <f t="shared" si="73"/>
        <v>545.07879347460812</v>
      </c>
      <c r="EN72" s="62">
        <f t="shared" si="74"/>
        <v>838.41212680794138</v>
      </c>
      <c r="EO72" s="62">
        <f ca="1">AVERAGE(OFFSET($EN$3,0,0,'Données projet'!$E$15+1,1))-AVERAGE(OFFSET($H$3,0,0,'Données projet'!$E$15+1,1))</f>
        <v>358.75637627589799</v>
      </c>
      <c r="EP72" s="62">
        <f t="shared" si="100"/>
        <v>349.64821164483607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4.4654974794374303</v>
      </c>
      <c r="EW72" s="23">
        <f>EXP(-LN(2)/25)*EW71+(1-EXP(-LN(2)/25))/(LN(2)/25)*Calculateur!ER72*Calculateur!ET72*VLOOKUP('Données projet'!$B$15,Paramètres!$A$1:$I$89,3,0)*0.475*44/12</f>
        <v>5.2018823500944276</v>
      </c>
      <c r="EX72" s="23">
        <f>EXP(-LN(2)/2)*EX71+(1-EXP(-LN(2)/2))/(LN(2)/2)*ER72*EU72*VLOOKUP('Données projet'!$B$15,Paramètres!$A$1:$I$89,3,0)*0.475*44/12</f>
        <v>4.9178698439139002E-6</v>
      </c>
      <c r="EY72" s="24">
        <f t="shared" si="75"/>
        <v>9.6673847474017016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>
        <f>FE72*VLOOKUP('Données projet'!$B$16,Paramètres!$A$1:$I$89,3,0)*VLOOKUP('Données projet'!$B$16,Paramètres!$A$1:$I$89,5,0)</f>
        <v>0</v>
      </c>
      <c r="FG72" s="14" t="e">
        <f t="shared" si="101"/>
        <v>#NUM!</v>
      </c>
      <c r="FH72" s="22" t="e">
        <f t="shared" si="76"/>
        <v>#NUM!</v>
      </c>
      <c r="FI72" s="62" t="e">
        <f t="shared" si="77"/>
        <v>#NUM!</v>
      </c>
      <c r="FJ72" s="62">
        <f ca="1">AVERAGE(OFFSET($FI$3,0,0,'Données projet'!$E$16+1,1))-AVERAGE(OFFSET($H$3,0,0,'Données projet'!$E$16+1,1))</f>
        <v>121.28977654040114</v>
      </c>
      <c r="FK72" s="62">
        <f t="shared" si="102"/>
        <v>615.69585264342595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51.293273836496688</v>
      </c>
      <c r="FR72" s="23">
        <f>EXP(-LN(2)/25)*FR71+(1-EXP(-LN(2)/25))/(LN(2)/25)*Calculateur!FM72*Calculateur!FO72*VLOOKUP('Données projet'!$B$16,Paramètres!$A$1:$I$89,3,0)*0.475*44/12</f>
        <v>8.3936122142268061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59.686886050723494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315</v>
      </c>
      <c r="L73" s="13">
        <f>VLOOKUP(A73,'Données projet'!$A$35:$I$55,9,0)</f>
        <v>4.4000000000000004</v>
      </c>
      <c r="M73" s="13">
        <f t="array" ref="M73">INDEX(L:L,MIN(IF(ISNUMBER(L73:L269),ROW(L73:L269),"")))</f>
        <v>4.4000000000000004</v>
      </c>
      <c r="N73" s="14">
        <f>IF('Données projet'!$A$36&gt;35,N72+M73-V72,IF(A73&lt;'Données projet'!$A$36,$K$205^A73,IF(A73='Données projet'!$A$36,'Données projet'!$B$36,N72+M73-V72)))</f>
        <v>314.99999999999966</v>
      </c>
      <c r="O73" s="14">
        <f>N73*VLOOKUP('Données projet'!$B$9,Paramètres!$A$1:$I$89,3,0)*VLOOKUP('Données projet'!$B$9,Paramètres!$A$1:$I$89,5,0)</f>
        <v>250.61399999999975</v>
      </c>
      <c r="P73" s="14">
        <f t="shared" si="87"/>
        <v>60.717400934915986</v>
      </c>
      <c r="Q73" s="22">
        <f t="shared" si="54"/>
        <v>542.23552329497818</v>
      </c>
      <c r="R73" s="62">
        <f t="shared" si="55"/>
        <v>835.56885662831155</v>
      </c>
      <c r="S73" s="62">
        <f ca="1">AVERAGE(OFFSET($R$3,0,0,'Données projet'!$E$9+1,1))-AVERAGE(OFFSET($H$3,0,0,'Données projet'!$E$9+1,1))</f>
        <v>352.5736659365665</v>
      </c>
      <c r="T73" s="62">
        <f t="shared" si="88"/>
        <v>343.77208530767069</v>
      </c>
      <c r="U73" s="16">
        <f>IF(ISNA(VLOOKUP(A73,'Données projet'!$A$35:$I$55,3,0)),0,VLOOKUP(A73,'Données projet'!$A$35:$I$55,3,0))</f>
        <v>13</v>
      </c>
      <c r="V73" s="16">
        <f>IF(ISNA(VLOOKUP(A73,'Données projet'!$A$35:$I$55,4,0)),0,VLOOKUP(A73,'Données projet'!$A$35:$I$55,4,0))</f>
        <v>13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6.1049467835624975</v>
      </c>
      <c r="AA73" s="23">
        <f>EXP(-LN(2)/25)*AA72+(1-EXP(-LN(2)/25))/(LN(2)/25)*Calculateur!V73*Calculateur!X73*VLOOKUP('Données projet'!$B$9,Paramètres!$A$1:$I$89,3,0)*0.475*44/12</f>
        <v>7.82457472492821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13.929521508490708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188</v>
      </c>
      <c r="AG73" s="13">
        <f>VLOOKUP(A73,'Données projet'!$A$61:$I$81,9,0)</f>
        <v>4.5999999999999996</v>
      </c>
      <c r="AH73" s="13">
        <f t="array" ref="AH73">INDEX(AG:AG,MIN(IF(ISNUMBER(AG73:AG269),ROW(AG73:AG269),"")))</f>
        <v>4.5999999999999996</v>
      </c>
      <c r="AI73" s="14">
        <f>IF('Données projet'!$A$62&gt;35,AI72+AH73-AQ72,IF(A73&lt;'Données projet'!$A$62,$AF$205^A73,IF(A73='Données projet'!$A$62,'Données projet'!$B$62,AI72+AH73-AQ72)))</f>
        <v>188.00000000000009</v>
      </c>
      <c r="AJ73" s="14">
        <f>AI73*VLOOKUP('Données projet'!$B$10,Paramètres!$A$1:$I$89,3,0)*VLOOKUP('Données projet'!$B$10,Paramètres!$A$1:$I$89,5,0)</f>
        <v>123.17760000000006</v>
      </c>
      <c r="AK73" s="14">
        <f t="shared" si="89"/>
        <v>32.414991240570451</v>
      </c>
      <c r="AL73" s="22">
        <f t="shared" si="58"/>
        <v>270.99042974399362</v>
      </c>
      <c r="AM73" s="62">
        <f t="shared" si="59"/>
        <v>564.32376307732693</v>
      </c>
      <c r="AN73" s="62">
        <f ca="1">AVERAGE(OFFSET($AM$3,0,0,'Données projet'!$E$10+1,1))-AVERAGE(OFFSET($H$3,0,0,'Données projet'!$E$10+1,1))</f>
        <v>210.08998695869161</v>
      </c>
      <c r="AO73" s="62">
        <f t="shared" si="90"/>
        <v>207.30911916430881</v>
      </c>
      <c r="AP73" s="16">
        <f>IF(ISNA(VLOOKUP(A73,'Données projet'!$A$61:$I$81,3,0)),0,VLOOKUP(A73,'Données projet'!$A$61:$I$81,3,0))</f>
        <v>13</v>
      </c>
      <c r="AQ73" s="16">
        <f>IF(ISNA(VLOOKUP(A73,'Données projet'!$A$61:$I$81,4,0)),0,VLOOKUP(A73,'Données projet'!$A$61:$I$81,4,0))</f>
        <v>17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1.7616026594019584E-7</v>
      </c>
      <c r="AX73" s="23">
        <f t="shared" si="60"/>
        <v>1.7616026594019584E-7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202.58159999999998</v>
      </c>
      <c r="BF73" s="14">
        <f t="shared" si="91"/>
        <v>50.311101076764672</v>
      </c>
      <c r="BG73" s="22">
        <f t="shared" si="61"/>
        <v>440.4547877086984</v>
      </c>
      <c r="BH73" s="62">
        <f t="shared" si="62"/>
        <v>733.78812104203166</v>
      </c>
      <c r="BI73" s="62">
        <f ca="1">AVERAGE(OFFSET($BH$3,0,0,'Données projet'!$E$11+1,1))-AVERAGE(OFFSET($H$3,0,0,'Données projet'!$E$11+1,1))</f>
        <v>335.83558218229564</v>
      </c>
      <c r="BJ73" s="62">
        <f t="shared" si="92"/>
        <v>217.08423061559648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2.0001559796925883E-5</v>
      </c>
      <c r="BS73" s="24">
        <f t="shared" si="63"/>
        <v>2.0001559796925883E-5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5.6843418860808015E-14</v>
      </c>
      <c r="BZ73" s="14">
        <f>BY73*VLOOKUP('Données projet'!$B$12,Paramètres!$A$1:$I$89,3,0)*VLOOKUP('Données projet'!$B$12,Paramètres!$A$1:$I$89,5,0)</f>
        <v>4.4337866711430253E-14</v>
      </c>
      <c r="CA73" s="14">
        <f t="shared" si="93"/>
        <v>7.3222115536967035E-13</v>
      </c>
      <c r="CB73" s="22">
        <f t="shared" si="64"/>
        <v>1.3525069634579169E-12</v>
      </c>
      <c r="CC73" s="62">
        <f t="shared" si="65"/>
        <v>293.33333333333468</v>
      </c>
      <c r="CD73" s="62">
        <f ca="1">AVERAGE(OFFSET($CC$3,0,0,'Données projet'!$E$12+1,1))-AVERAGE(OFFSET($H$3,0,0,'Données projet'!$E$12+1,1))</f>
        <v>288.82868507674738</v>
      </c>
      <c r="CE73" s="62">
        <f t="shared" si="94"/>
        <v>283.48738729114024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1.6070683832531336</v>
      </c>
      <c r="CM73" s="23">
        <f>EXP(-LN(2)/2)*CM72+(1-EXP(-LN(2)/2))/(LN(2)/2)*CG73*CJ73*VLOOKUP('Données projet'!$B$12,Paramètres!$A$1:$I$89,3,0)*0.475*44/12</f>
        <v>2.4602601049089262E-6</v>
      </c>
      <c r="CN73" s="24">
        <f t="shared" si="66"/>
        <v>1.6070708435132386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315</v>
      </c>
      <c r="CR73" s="13">
        <f>VLOOKUP(A73,'Données projet'!$A$139:$I$159,9,0)</f>
        <v>4.4000000000000004</v>
      </c>
      <c r="CS73" s="13">
        <f t="array" ref="CS73">INDEX(CR:CR,MIN(IF(ISNUMBER(CR73:CR269),ROW(CR73:CR269),"")))</f>
        <v>4.4000000000000004</v>
      </c>
      <c r="CT73" s="13">
        <f>IF('Données projet'!$A$140&gt;35,CT72+CS73-DB72,IF(A73&lt;'Données projet'!$A$140,$CQ$205^A73,IF(A73='Données projet'!$A$140,'Données projet'!$B$140,CT72+CS73-DB72)))</f>
        <v>314.99999999999966</v>
      </c>
      <c r="CU73" s="18">
        <f>CT73*VLOOKUP('Données projet'!$B$13,Paramètres!$A$1:$I$89,3,0)*VLOOKUP('Données projet'!$B$13,Paramètres!$A$1:$I$89,5,0)</f>
        <v>275.18399999999974</v>
      </c>
      <c r="CV73" s="14">
        <f t="shared" si="95"/>
        <v>65.948224238651022</v>
      </c>
      <c r="CW73" s="22">
        <f t="shared" si="67"/>
        <v>594.13862388231678</v>
      </c>
      <c r="CX73" s="62">
        <f t="shared" si="68"/>
        <v>887.47195721565004</v>
      </c>
      <c r="CY73" s="62">
        <f ca="1">AVERAGE(OFFSET($CX$3,0,0,'Données projet'!$E$13+1,1))-AVERAGE(OFFSET($H$3,0,0,'Données projet'!$E$13+1,1))</f>
        <v>383.46266660377637</v>
      </c>
      <c r="CZ73" s="62">
        <f t="shared" si="96"/>
        <v>373.1287543230714</v>
      </c>
      <c r="DA73" s="16">
        <f>IF(ISNA(VLOOKUP(A73,'Données projet'!$A$139:$I$159,3,0)),0,VLOOKUP(A73,'Données projet'!$A$139:$I$159,3,0))</f>
        <v>13</v>
      </c>
      <c r="DB73" s="16">
        <f>IF(ISNA(VLOOKUP(A73,'Données projet'!$A$139:$I$159,4,0)),0,VLOOKUP(A73,'Données projet'!$A$139:$I$159,4,0))</f>
        <v>13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5.2964438084739029</v>
      </c>
      <c r="DH73" s="23">
        <f>EXP(-LN(2)/2)*DH72+(1-EXP(-LN(2)/2))/(LN(2)/2)*DB73*DE73*VLOOKUP('Données projet'!$B$13,Paramètres!$A$1:$I$89,3,0)*0.475*44/12</f>
        <v>2.0252645794380562E-5</v>
      </c>
      <c r="DI73" s="24">
        <f t="shared" si="69"/>
        <v>5.2964640611196971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>
        <f>DO73*VLOOKUP('Données projet'!$B$14,Paramètres!$A$1:$I$89,3,0)*VLOOKUP('Données projet'!$B$14,Paramètres!$A$1:$I$89,5,0)</f>
        <v>0</v>
      </c>
      <c r="DQ73" s="14" t="e">
        <f t="shared" si="97"/>
        <v>#NUM!</v>
      </c>
      <c r="DR73" s="22" t="e">
        <f t="shared" si="70"/>
        <v>#NUM!</v>
      </c>
      <c r="DS73" s="62" t="e">
        <f t="shared" si="71"/>
        <v>#NUM!</v>
      </c>
      <c r="DT73" s="62">
        <f ca="1">AVERAGE(OFFSET($DS$3,0,0,'Données projet'!$E$14+1,1))-AVERAGE(OFFSET($H$3,0,0,'Données projet'!$E$14+1,1))</f>
        <v>96.56611521638132</v>
      </c>
      <c r="DU73" s="62">
        <f t="shared" si="98"/>
        <v>465.03257878814094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37.323529139264856</v>
      </c>
      <c r="EB73" s="23">
        <f>EXP(-LN(2)/25)*EB72+(1-EXP(-LN(2)/25))/(LN(2)/25)*Calculateur!DW73*Calculateur!DY73*VLOOKUP('Données projet'!$B$14,Paramètres!$A$1:$I$89,3,0)*0.475*44/12</f>
        <v>6.0594169969180021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43.382946136182859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315</v>
      </c>
      <c r="EH73" s="13">
        <f>VLOOKUP(A73,'Données projet'!$A$191:$I$211,9,0)</f>
        <v>4.4000000000000004</v>
      </c>
      <c r="EI73" s="13">
        <f t="array" ref="EI73">INDEX(EH:EH,MIN(IF(ISNUMBER(EH73:EH269),ROW(EH73:EH269),"")))</f>
        <v>4.4000000000000004</v>
      </c>
      <c r="EJ73" s="13">
        <f>IF('Données projet'!$A$192&gt;35,EJ72+EI73-ER72,IF(A73&lt;'Données projet'!$A$192,$EG$205^A73,IF(A73='Données projet'!$A$192,'Données projet'!$B$192,EJ72+EI73-ER72)))</f>
        <v>314.99999999999966</v>
      </c>
      <c r="EK73" s="18">
        <f>EJ73*VLOOKUP('Données projet'!$B$15,Paramètres!$A$1:$I$89,3,0)*VLOOKUP('Données projet'!$B$15,Paramètres!$A$1:$I$89,5,0)</f>
        <v>255.52799999999976</v>
      </c>
      <c r="EL73" s="14">
        <f t="shared" si="99"/>
        <v>61.76816786872142</v>
      </c>
      <c r="EM73" s="22">
        <f t="shared" si="73"/>
        <v>552.62415903802264</v>
      </c>
      <c r="EN73" s="62">
        <f t="shared" si="74"/>
        <v>845.95749237135601</v>
      </c>
      <c r="EO73" s="62">
        <f ca="1">AVERAGE(OFFSET($EN$3,0,0,'Données projet'!$E$15+1,1))-AVERAGE(OFFSET($H$3,0,0,'Données projet'!$E$15+1,1))</f>
        <v>358.75637627589799</v>
      </c>
      <c r="EP73" s="62">
        <f t="shared" si="100"/>
        <v>349.64821164483607</v>
      </c>
      <c r="EQ73" s="16">
        <f>IF(ISNA(VLOOKUP(A73,'Données projet'!$A$191:$I$211,3,0)),0,VLOOKUP(A73,'Données projet'!$A$191:$I$211,3,0))</f>
        <v>13</v>
      </c>
      <c r="ER73" s="16">
        <f>IF(ISNA(VLOOKUP(A73,'Données projet'!$A$191:$I$211,4,0)),0,VLOOKUP(A73,'Données projet'!$A$191:$I$211,4,0))</f>
        <v>13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4.3779317975501835</v>
      </c>
      <c r="EW73" s="23">
        <f>EXP(-LN(2)/25)*EW72+(1-EXP(-LN(2)/25))/(LN(2)/25)*Calculateur!ER73*Calculateur!ET73*VLOOKUP('Données projet'!$B$15,Paramètres!$A$1:$I$89,3,0)*0.475*44/12</f>
        <v>5.0596366036759921</v>
      </c>
      <c r="EX73" s="23">
        <f>EXP(-LN(2)/2)*EX72+(1-EXP(-LN(2)/2))/(LN(2)/2)*ER73*EU73*VLOOKUP('Données projet'!$B$15,Paramètres!$A$1:$I$89,3,0)*0.475*44/12</f>
        <v>3.4774591156243469E-6</v>
      </c>
      <c r="EY73" s="24">
        <f t="shared" si="75"/>
        <v>9.4375718786852918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>
        <f>FE73*VLOOKUP('Données projet'!$B$16,Paramètres!$A$1:$I$89,3,0)*VLOOKUP('Données projet'!$B$16,Paramètres!$A$1:$I$89,5,0)</f>
        <v>0</v>
      </c>
      <c r="FG73" s="14" t="e">
        <f t="shared" si="101"/>
        <v>#NUM!</v>
      </c>
      <c r="FH73" s="22" t="e">
        <f t="shared" si="76"/>
        <v>#NUM!</v>
      </c>
      <c r="FI73" s="62" t="e">
        <f t="shared" si="77"/>
        <v>#NUM!</v>
      </c>
      <c r="FJ73" s="62">
        <f ca="1">AVERAGE(OFFSET($FI$3,0,0,'Données projet'!$E$16+1,1))-AVERAGE(OFFSET($H$3,0,0,'Données projet'!$E$16+1,1))</f>
        <v>121.28977654040114</v>
      </c>
      <c r="FK73" s="62">
        <f t="shared" si="102"/>
        <v>615.69585264342595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50.287444022370813</v>
      </c>
      <c r="FR73" s="23">
        <f>EXP(-LN(2)/25)*FR72+(1-EXP(-LN(2)/25))/(LN(2)/25)*Calculateur!FM73*Calculateur!FO73*VLOOKUP('Données projet'!$B$16,Paramètres!$A$1:$I$89,3,0)*0.475*44/12</f>
        <v>8.1640884468278916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58.451532469198703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4.2</v>
      </c>
      <c r="N74" s="14">
        <f>IF('Données projet'!$A$36&gt;35,N73+M74-V73,IF(A74&lt;'Données projet'!$A$36,$K$205^A74,IF(A74='Données projet'!$A$36,'Données projet'!$B$36,N73+M74-V73)))</f>
        <v>306.19999999999965</v>
      </c>
      <c r="O74" s="14">
        <f>N74*VLOOKUP('Données projet'!$B$9,Paramètres!$A$1:$I$89,3,0)*VLOOKUP('Données projet'!$B$9,Paramètres!$A$1:$I$89,5,0)</f>
        <v>243.61271999999974</v>
      </c>
      <c r="P74" s="14">
        <f t="shared" si="87"/>
        <v>59.216147598154699</v>
      </c>
      <c r="Q74" s="22">
        <f t="shared" si="54"/>
        <v>527.42694440011894</v>
      </c>
      <c r="R74" s="62">
        <f t="shared" si="55"/>
        <v>820.76027773345231</v>
      </c>
      <c r="S74" s="62">
        <f ca="1">AVERAGE(OFFSET($R$3,0,0,'Données projet'!$E$9+1,1))-AVERAGE(OFFSET($H$3,0,0,'Données projet'!$E$9+1,1))</f>
        <v>352.5736659365665</v>
      </c>
      <c r="T74" s="62">
        <f t="shared" si="88"/>
        <v>343.77208530767069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5.9852325007866947</v>
      </c>
      <c r="AA74" s="23">
        <f>EXP(-LN(2)/25)*AA73+(1-EXP(-LN(2)/25))/(LN(2)/25)*Calculateur!V74*Calculateur!X74*VLOOKUP('Données projet'!$B$9,Paramètres!$A$1:$I$89,3,0)*0.475*44/12</f>
        <v>7.610611317598547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13.595843818385241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4.2</v>
      </c>
      <c r="AI74" s="14">
        <f>IF('Données projet'!$A$62&gt;35,AI73+AH74-AQ73,IF(A74&lt;'Données projet'!$A$62,$AF$205^A74,IF(A74='Données projet'!$A$62,'Données projet'!$B$62,AI73+AH74-AQ73)))</f>
        <v>175.20000000000007</v>
      </c>
      <c r="AJ74" s="14">
        <f>AI74*VLOOKUP('Données projet'!$B$10,Paramètres!$A$1:$I$89,3,0)*VLOOKUP('Données projet'!$B$10,Paramètres!$A$1:$I$89,5,0)</f>
        <v>114.79104000000005</v>
      </c>
      <c r="AK74" s="14">
        <f t="shared" si="89"/>
        <v>30.456974896543485</v>
      </c>
      <c r="AL74" s="22">
        <f t="shared" si="58"/>
        <v>252.97362594481334</v>
      </c>
      <c r="AM74" s="62">
        <f t="shared" si="59"/>
        <v>546.30695927814668</v>
      </c>
      <c r="AN74" s="62">
        <f ca="1">AVERAGE(OFFSET($AM$3,0,0,'Données projet'!$E$10+1,1))-AVERAGE(OFFSET($H$3,0,0,'Données projet'!$E$10+1,1))</f>
        <v>210.08998695869161</v>
      </c>
      <c r="AO74" s="62">
        <f t="shared" si="90"/>
        <v>207.30911916430881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1.2456411862193808E-7</v>
      </c>
      <c r="AX74" s="23">
        <f t="shared" si="60"/>
        <v>1.2456411862193808E-7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281.59999999999997</v>
      </c>
      <c r="BE74" s="14">
        <f>BD74*VLOOKUP('Données projet'!$B$11,Paramètres!$A$1:$I$89,3,0)*VLOOKUP('Données projet'!$B$11,Paramètres!$A$1:$I$89,5,0)</f>
        <v>188.89727999999997</v>
      </c>
      <c r="BF74" s="14">
        <f t="shared" si="91"/>
        <v>47.296074588020467</v>
      </c>
      <c r="BG74" s="22">
        <f t="shared" si="61"/>
        <v>411.37009257413553</v>
      </c>
      <c r="BH74" s="62">
        <f t="shared" si="62"/>
        <v>704.70342590746884</v>
      </c>
      <c r="BI74" s="62">
        <f ca="1">AVERAGE(OFFSET($BH$3,0,0,'Données projet'!$E$11+1,1))-AVERAGE(OFFSET($H$3,0,0,'Données projet'!$E$11+1,1))</f>
        <v>335.83558218229564</v>
      </c>
      <c r="BJ74" s="62">
        <f t="shared" si="92"/>
        <v>217.08423061559648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1.4143238566714516E-5</v>
      </c>
      <c r="BS74" s="24">
        <f t="shared" si="63"/>
        <v>1.4143238566714516E-5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5.6843418860808015E-14</v>
      </c>
      <c r="BZ74" s="14">
        <f>BY74*VLOOKUP('Données projet'!$B$12,Paramètres!$A$1:$I$89,3,0)*VLOOKUP('Données projet'!$B$12,Paramètres!$A$1:$I$89,5,0)</f>
        <v>4.4337866711430253E-14</v>
      </c>
      <c r="CA74" s="14">
        <f t="shared" si="93"/>
        <v>7.3222115536967035E-13</v>
      </c>
      <c r="CB74" s="22">
        <f t="shared" si="64"/>
        <v>1.3525069634579169E-12</v>
      </c>
      <c r="CC74" s="62">
        <f t="shared" si="65"/>
        <v>293.33333333333468</v>
      </c>
      <c r="CD74" s="62">
        <f ca="1">AVERAGE(OFFSET($CC$3,0,0,'Données projet'!$E$12+1,1))-AVERAGE(OFFSET($H$3,0,0,'Données projet'!$E$12+1,1))</f>
        <v>288.82868507674738</v>
      </c>
      <c r="CE74" s="62">
        <f t="shared" si="94"/>
        <v>283.48738729114024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1.5631230138010235</v>
      </c>
      <c r="CM74" s="23">
        <f>EXP(-LN(2)/2)*CM73+(1-EXP(-LN(2)/2))/(LN(2)/2)*CG74*CJ74*VLOOKUP('Données projet'!$B$12,Paramètres!$A$1:$I$89,3,0)*0.475*44/12</f>
        <v>1.7396666036638285E-6</v>
      </c>
      <c r="CN74" s="24">
        <f t="shared" si="66"/>
        <v>1.5631247534676271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4.2</v>
      </c>
      <c r="CT74" s="13">
        <f>IF('Données projet'!$A$140&gt;35,CT73+CS74-DB73,IF(A74&lt;'Données projet'!$A$140,$CQ$205^A74,IF(A74='Données projet'!$A$140,'Données projet'!$B$140,CT73+CS74-DB73)))</f>
        <v>306.19999999999965</v>
      </c>
      <c r="CU74" s="18">
        <f>CT74*VLOOKUP('Données projet'!$B$13,Paramètres!$A$1:$I$89,3,0)*VLOOKUP('Données projet'!$B$13,Paramètres!$A$1:$I$89,5,0)</f>
        <v>267.49631999999968</v>
      </c>
      <c r="CV74" s="14">
        <f t="shared" si="95"/>
        <v>64.317637451876635</v>
      </c>
      <c r="CW74" s="22">
        <f t="shared" si="67"/>
        <v>577.90930922868461</v>
      </c>
      <c r="CX74" s="62">
        <f t="shared" si="68"/>
        <v>871.24264256201786</v>
      </c>
      <c r="CY74" s="62">
        <f ca="1">AVERAGE(OFFSET($CX$3,0,0,'Données projet'!$E$13+1,1))-AVERAGE(OFFSET($H$3,0,0,'Données projet'!$E$13+1,1))</f>
        <v>383.46266660377637</v>
      </c>
      <c r="CZ74" s="62">
        <f t="shared" si="96"/>
        <v>373.1287543230714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5.151612274003309</v>
      </c>
      <c r="DH74" s="23">
        <f>EXP(-LN(2)/2)*DH73+(1-EXP(-LN(2)/2))/(LN(2)/2)*DB74*DE74*VLOOKUP('Données projet'!$B$13,Paramètres!$A$1:$I$89,3,0)*0.475*44/12</f>
        <v>1.4320783178175708E-5</v>
      </c>
      <c r="DI74" s="24">
        <f t="shared" si="69"/>
        <v>5.151626594786487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>
        <f>DO74*VLOOKUP('Données projet'!$B$14,Paramètres!$A$1:$I$89,3,0)*VLOOKUP('Données projet'!$B$14,Paramètres!$A$1:$I$89,5,0)</f>
        <v>0</v>
      </c>
      <c r="DQ74" s="14" t="e">
        <f t="shared" si="97"/>
        <v>#NUM!</v>
      </c>
      <c r="DR74" s="22" t="e">
        <f t="shared" si="70"/>
        <v>#NUM!</v>
      </c>
      <c r="DS74" s="62" t="e">
        <f t="shared" si="71"/>
        <v>#NUM!</v>
      </c>
      <c r="DT74" s="62">
        <f ca="1">AVERAGE(OFFSET($DS$3,0,0,'Données projet'!$E$14+1,1))-AVERAGE(OFFSET($H$3,0,0,'Données projet'!$E$14+1,1))</f>
        <v>96.56611521638132</v>
      </c>
      <c r="DU74" s="62">
        <f t="shared" si="98"/>
        <v>465.03257878814094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36.591637497948781</v>
      </c>
      <c r="EB74" s="23">
        <f>EXP(-LN(2)/25)*EB73+(1-EXP(-LN(2)/25))/(LN(2)/25)*Calculateur!DW74*Calculateur!DY74*VLOOKUP('Données projet'!$B$14,Paramètres!$A$1:$I$89,3,0)*0.475*44/12</f>
        <v>5.8937219204863887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42.485359418435166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4.2</v>
      </c>
      <c r="EJ74" s="13">
        <f>IF('Données projet'!$A$192&gt;35,EJ73+EI74-ER73,IF(A74&lt;'Données projet'!$A$192,$EG$205^A74,IF(A74='Données projet'!$A$192,'Données projet'!$B$192,EJ73+EI74-ER73)))</f>
        <v>306.19999999999965</v>
      </c>
      <c r="EK74" s="18">
        <f>EJ74*VLOOKUP('Données projet'!$B$15,Paramètres!$A$1:$I$89,3,0)*VLOOKUP('Données projet'!$B$15,Paramètres!$A$1:$I$89,5,0)</f>
        <v>248.38943999999972</v>
      </c>
      <c r="EL74" s="14">
        <f t="shared" si="99"/>
        <v>60.240934049573845</v>
      </c>
      <c r="EM74" s="22">
        <f t="shared" si="73"/>
        <v>537.53123480300735</v>
      </c>
      <c r="EN74" s="62">
        <f t="shared" si="74"/>
        <v>830.86456813634072</v>
      </c>
      <c r="EO74" s="62">
        <f ca="1">AVERAGE(OFFSET($EN$3,0,0,'Données projet'!$E$15+1,1))-AVERAGE(OFFSET($H$3,0,0,'Données projet'!$E$15+1,1))</f>
        <v>358.75637627589799</v>
      </c>
      <c r="EP74" s="62">
        <f t="shared" si="100"/>
        <v>349.64821164483607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4.2920832252749532</v>
      </c>
      <c r="EW74" s="23">
        <f>EXP(-LN(2)/25)*EW73+(1-EXP(-LN(2)/25))/(LN(2)/25)*Calculateur!ER74*Calculateur!ET74*VLOOKUP('Données projet'!$B$15,Paramètres!$A$1:$I$89,3,0)*0.475*44/12</f>
        <v>4.9212805746737471</v>
      </c>
      <c r="EX74" s="23">
        <f>EXP(-LN(2)/2)*EX73+(1-EXP(-LN(2)/2))/(LN(2)/2)*ER74*EU74*VLOOKUP('Données projet'!$B$15,Paramètres!$A$1:$I$89,3,0)*0.475*44/12</f>
        <v>2.4589349219569501E-6</v>
      </c>
      <c r="EY74" s="24">
        <f t="shared" si="75"/>
        <v>9.2133662588836227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>
        <f>FE74*VLOOKUP('Données projet'!$B$16,Paramètres!$A$1:$I$89,3,0)*VLOOKUP('Données projet'!$B$16,Paramètres!$A$1:$I$89,5,0)</f>
        <v>0</v>
      </c>
      <c r="FG74" s="14" t="e">
        <f t="shared" si="101"/>
        <v>#NUM!</v>
      </c>
      <c r="FH74" s="22" t="e">
        <f t="shared" si="76"/>
        <v>#NUM!</v>
      </c>
      <c r="FI74" s="62" t="e">
        <f t="shared" si="77"/>
        <v>#NUM!</v>
      </c>
      <c r="FJ74" s="62">
        <f ca="1">AVERAGE(OFFSET($FI$3,0,0,'Données projet'!$E$16+1,1))-AVERAGE(OFFSET($H$3,0,0,'Données projet'!$E$16+1,1))</f>
        <v>121.28977654040114</v>
      </c>
      <c r="FK74" s="62">
        <f t="shared" si="102"/>
        <v>615.69585264342595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49.301337917404339</v>
      </c>
      <c r="FR74" s="23">
        <f>EXP(-LN(2)/25)*FR73+(1-EXP(-LN(2)/25))/(LN(2)/25)*Calculateur!FM74*Calculateur!FO74*VLOOKUP('Données projet'!$B$16,Paramètres!$A$1:$I$89,3,0)*0.475*44/12</f>
        <v>7.9408410189186309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57.242178936322972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4.2</v>
      </c>
      <c r="N75" s="14">
        <f>IF('Données projet'!$A$36&gt;35,N74+M75-V74,IF(A75&lt;'Données projet'!$A$36,$K$205^A75,IF(A75='Données projet'!$A$36,'Données projet'!$B$36,N74+M75-V74)))</f>
        <v>310.39999999999964</v>
      </c>
      <c r="O75" s="14">
        <f>N75*VLOOKUP('Données projet'!$B$9,Paramètres!$A$1:$I$89,3,0)*VLOOKUP('Données projet'!$B$9,Paramètres!$A$1:$I$89,5,0)</f>
        <v>246.95423999999971</v>
      </c>
      <c r="P75" s="14">
        <f t="shared" si="87"/>
        <v>59.933272631878836</v>
      </c>
      <c r="Q75" s="22">
        <f t="shared" si="54"/>
        <v>534.49575116718847</v>
      </c>
      <c r="R75" s="62">
        <f t="shared" si="55"/>
        <v>827.82908450052173</v>
      </c>
      <c r="S75" s="62">
        <f ca="1">AVERAGE(OFFSET($R$3,0,0,'Données projet'!$E$9+1,1))-AVERAGE(OFFSET($H$3,0,0,'Données projet'!$E$9+1,1))</f>
        <v>352.5736659365665</v>
      </c>
      <c r="T75" s="62">
        <f t="shared" si="88"/>
        <v>343.77208530767069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5.8678657420776235</v>
      </c>
      <c r="AA75" s="23">
        <f>EXP(-LN(2)/25)*AA74+(1-EXP(-LN(2)/25))/(LN(2)/25)*Calculateur!V75*Calculateur!X75*VLOOKUP('Données projet'!$B$9,Paramètres!$A$1:$I$89,3,0)*0.475*44/12</f>
        <v>7.4024987508941598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13.270364492971783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4.2</v>
      </c>
      <c r="AI75" s="14">
        <f>IF('Données projet'!$A$62&gt;35,AI74+AH75-AQ74,IF(A75&lt;'Données projet'!$A$62,$AF$205^A75,IF(A75='Données projet'!$A$62,'Données projet'!$B$62,AI74+AH75-AQ74)))</f>
        <v>179.40000000000006</v>
      </c>
      <c r="AJ75" s="14">
        <f>AI75*VLOOKUP('Données projet'!$B$10,Paramètres!$A$1:$I$89,3,0)*VLOOKUP('Données projet'!$B$10,Paramètres!$A$1:$I$89,5,0)</f>
        <v>117.54288000000005</v>
      </c>
      <c r="AK75" s="14">
        <f t="shared" si="89"/>
        <v>31.101228198889224</v>
      </c>
      <c r="AL75" s="22">
        <f t="shared" si="58"/>
        <v>258.88848844639887</v>
      </c>
      <c r="AM75" s="62">
        <f t="shared" si="59"/>
        <v>552.22182177973218</v>
      </c>
      <c r="AN75" s="62">
        <f ca="1">AVERAGE(OFFSET($AM$3,0,0,'Données projet'!$E$10+1,1))-AVERAGE(OFFSET($H$3,0,0,'Données projet'!$E$10+1,1))</f>
        <v>210.08998695869161</v>
      </c>
      <c r="AO75" s="62">
        <f t="shared" si="90"/>
        <v>207.30911916430881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8.8080132970097922E-8</v>
      </c>
      <c r="AX75" s="23">
        <f t="shared" si="60"/>
        <v>8.8080132970097922E-8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289.2</v>
      </c>
      <c r="BE75" s="14">
        <f>BD75*VLOOKUP('Données projet'!$B$11,Paramètres!$A$1:$I$89,3,0)*VLOOKUP('Données projet'!$B$11,Paramètres!$A$1:$I$89,5,0)</f>
        <v>193.99536000000001</v>
      </c>
      <c r="BF75" s="14">
        <f t="shared" si="91"/>
        <v>48.422197546048515</v>
      </c>
      <c r="BG75" s="22">
        <f t="shared" si="61"/>
        <v>422.21057939270116</v>
      </c>
      <c r="BH75" s="62">
        <f t="shared" si="62"/>
        <v>715.54391272603448</v>
      </c>
      <c r="BI75" s="62">
        <f ca="1">AVERAGE(OFFSET($BH$3,0,0,'Données projet'!$E$11+1,1))-AVERAGE(OFFSET($H$3,0,0,'Données projet'!$E$11+1,1))</f>
        <v>335.83558218229564</v>
      </c>
      <c r="BJ75" s="62">
        <f t="shared" si="92"/>
        <v>217.08423061559648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1.0000779898462941E-5</v>
      </c>
      <c r="BS75" s="24">
        <f t="shared" si="63"/>
        <v>1.0000779898462941E-5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5.6843418860808015E-14</v>
      </c>
      <c r="BZ75" s="14">
        <f>BY75*VLOOKUP('Données projet'!$B$12,Paramètres!$A$1:$I$89,3,0)*VLOOKUP('Données projet'!$B$12,Paramètres!$A$1:$I$89,5,0)</f>
        <v>4.4337866711430253E-14</v>
      </c>
      <c r="CA75" s="14">
        <f t="shared" si="93"/>
        <v>7.3222115536967035E-13</v>
      </c>
      <c r="CB75" s="22">
        <f t="shared" si="64"/>
        <v>1.3525069634579169E-12</v>
      </c>
      <c r="CC75" s="62">
        <f t="shared" si="65"/>
        <v>293.33333333333468</v>
      </c>
      <c r="CD75" s="62">
        <f ca="1">AVERAGE(OFFSET($CC$3,0,0,'Données projet'!$E$12+1,1))-AVERAGE(OFFSET($H$3,0,0,'Données projet'!$E$12+1,1))</f>
        <v>288.82868507674738</v>
      </c>
      <c r="CE75" s="62">
        <f t="shared" si="94"/>
        <v>283.48738729114024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1.5203793327875676</v>
      </c>
      <c r="CM75" s="23">
        <f>EXP(-LN(2)/2)*CM74+(1-EXP(-LN(2)/2))/(LN(2)/2)*CG75*CJ75*VLOOKUP('Données projet'!$B$12,Paramètres!$A$1:$I$89,3,0)*0.475*44/12</f>
        <v>1.2301300524544631E-6</v>
      </c>
      <c r="CN75" s="24">
        <f t="shared" si="66"/>
        <v>1.5203805629176201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4.2</v>
      </c>
      <c r="CT75" s="13">
        <f>IF('Données projet'!$A$140&gt;35,CT74+CS75-DB74,IF(A75&lt;'Données projet'!$A$140,$CQ$205^A75,IF(A75='Données projet'!$A$140,'Données projet'!$B$140,CT74+CS75-DB74)))</f>
        <v>310.39999999999964</v>
      </c>
      <c r="CU75" s="18">
        <f>CT75*VLOOKUP('Données projet'!$B$13,Paramètres!$A$1:$I$89,3,0)*VLOOKUP('Données projet'!$B$13,Paramètres!$A$1:$I$89,5,0)</f>
        <v>271.16543999999971</v>
      </c>
      <c r="CV75" s="14">
        <f t="shared" si="95"/>
        <v>65.096543034180527</v>
      </c>
      <c r="CW75" s="22">
        <f t="shared" si="67"/>
        <v>585.65628711786383</v>
      </c>
      <c r="CX75" s="62">
        <f t="shared" si="68"/>
        <v>878.9896204511972</v>
      </c>
      <c r="CY75" s="62">
        <f ca="1">AVERAGE(OFFSET($CX$3,0,0,'Données projet'!$E$13+1,1))-AVERAGE(OFFSET($H$3,0,0,'Données projet'!$E$13+1,1))</f>
        <v>383.46266660377637</v>
      </c>
      <c r="CZ75" s="62">
        <f t="shared" si="96"/>
        <v>373.1287543230714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5.0107411654591729</v>
      </c>
      <c r="DH75" s="23">
        <f>EXP(-LN(2)/2)*DH74+(1-EXP(-LN(2)/2))/(LN(2)/2)*DB75*DE75*VLOOKUP('Données projet'!$B$13,Paramètres!$A$1:$I$89,3,0)*0.475*44/12</f>
        <v>1.0126322897190281E-5</v>
      </c>
      <c r="DI75" s="24">
        <f t="shared" si="69"/>
        <v>5.0107512917820705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>
        <f>DO75*VLOOKUP('Données projet'!$B$14,Paramètres!$A$1:$I$89,3,0)*VLOOKUP('Données projet'!$B$14,Paramètres!$A$1:$I$89,5,0)</f>
        <v>0</v>
      </c>
      <c r="DQ75" s="14" t="e">
        <f t="shared" si="97"/>
        <v>#NUM!</v>
      </c>
      <c r="DR75" s="22" t="e">
        <f t="shared" si="70"/>
        <v>#NUM!</v>
      </c>
      <c r="DS75" s="62" t="e">
        <f t="shared" si="71"/>
        <v>#NUM!</v>
      </c>
      <c r="DT75" s="62">
        <f ca="1">AVERAGE(OFFSET($DS$3,0,0,'Données projet'!$E$14+1,1))-AVERAGE(OFFSET($H$3,0,0,'Données projet'!$E$14+1,1))</f>
        <v>96.56611521638132</v>
      </c>
      <c r="DU75" s="62">
        <f t="shared" si="98"/>
        <v>465.03257878814094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35.874097805309091</v>
      </c>
      <c r="EB75" s="23">
        <f>EXP(-LN(2)/25)*EB74+(1-EXP(-LN(2)/25))/(LN(2)/25)*Calculateur!DW75*Calculateur!DY75*VLOOKUP('Données projet'!$B$14,Paramètres!$A$1:$I$89,3,0)*0.475*44/12</f>
        <v>5.7325577846333227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41.606655589942413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4.2</v>
      </c>
      <c r="EJ75" s="13">
        <f>IF('Données projet'!$A$192&gt;35,EJ74+EI75-ER74,IF(A75&lt;'Données projet'!$A$192,$EG$205^A75,IF(A75='Données projet'!$A$192,'Données projet'!$B$192,EJ74+EI75-ER74)))</f>
        <v>310.39999999999964</v>
      </c>
      <c r="EK75" s="18">
        <f>EJ75*VLOOKUP('Données projet'!$B$15,Paramètres!$A$1:$I$89,3,0)*VLOOKUP('Données projet'!$B$15,Paramètres!$A$1:$I$89,5,0)</f>
        <v>251.79647999999972</v>
      </c>
      <c r="EL75" s="14">
        <f t="shared" si="99"/>
        <v>60.970469549840345</v>
      </c>
      <c r="EM75" s="22">
        <f t="shared" si="73"/>
        <v>544.73577046597154</v>
      </c>
      <c r="EN75" s="62">
        <f t="shared" si="74"/>
        <v>838.06910379930491</v>
      </c>
      <c r="EO75" s="62">
        <f ca="1">AVERAGE(OFFSET($EN$3,0,0,'Données projet'!$E$15+1,1))-AVERAGE(OFFSET($H$3,0,0,'Données projet'!$E$15+1,1))</f>
        <v>358.75637627589799</v>
      </c>
      <c r="EP75" s="62">
        <f t="shared" si="100"/>
        <v>349.64821164483607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4.2079180911395815</v>
      </c>
      <c r="EW75" s="23">
        <f>EXP(-LN(2)/25)*EW74+(1-EXP(-LN(2)/25))/(LN(2)/25)*Calculateur!ER75*Calculateur!ET75*VLOOKUP('Données projet'!$B$15,Paramètres!$A$1:$I$89,3,0)*0.475*44/12</f>
        <v>4.7867078985603957</v>
      </c>
      <c r="EX75" s="23">
        <f>EXP(-LN(2)/2)*EX74+(1-EXP(-LN(2)/2))/(LN(2)/2)*ER75*EU75*VLOOKUP('Données projet'!$B$15,Paramètres!$A$1:$I$89,3,0)*0.475*44/12</f>
        <v>1.7387295578121735E-6</v>
      </c>
      <c r="EY75" s="24">
        <f t="shared" si="75"/>
        <v>8.9946277284295348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>
        <f>FE75*VLOOKUP('Données projet'!$B$16,Paramètres!$A$1:$I$89,3,0)*VLOOKUP('Données projet'!$B$16,Paramètres!$A$1:$I$89,5,0)</f>
        <v>0</v>
      </c>
      <c r="FG75" s="14" t="e">
        <f t="shared" si="101"/>
        <v>#NUM!</v>
      </c>
      <c r="FH75" s="22" t="e">
        <f t="shared" si="76"/>
        <v>#NUM!</v>
      </c>
      <c r="FI75" s="62" t="e">
        <f t="shared" si="77"/>
        <v>#NUM!</v>
      </c>
      <c r="FJ75" s="62">
        <f ca="1">AVERAGE(OFFSET($FI$3,0,0,'Données projet'!$E$16+1,1))-AVERAGE(OFFSET($H$3,0,0,'Données projet'!$E$16+1,1))</f>
        <v>121.28977654040114</v>
      </c>
      <c r="FK75" s="62">
        <f t="shared" si="102"/>
        <v>615.69585264342595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48.334568751690924</v>
      </c>
      <c r="FR75" s="23">
        <f>EXP(-LN(2)/25)*FR74+(1-EXP(-LN(2)/25))/(LN(2)/25)*Calculateur!FM75*Calculateur!FO75*VLOOKUP('Données projet'!$B$16,Paramètres!$A$1:$I$89,3,0)*0.475*44/12</f>
        <v>7.7236983036656204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56.058267055356545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4.2</v>
      </c>
      <c r="N76" s="14">
        <f>IF('Données projet'!$A$36&gt;35,N75+M76-V75,IF(A76&lt;'Données projet'!$A$36,$K$205^A76,IF(A76='Données projet'!$A$36,'Données projet'!$B$36,N75+M76-V75)))</f>
        <v>314.59999999999962</v>
      </c>
      <c r="O76" s="14">
        <f>N76*VLOOKUP('Données projet'!$B$9,Paramètres!$A$1:$I$89,3,0)*VLOOKUP('Données projet'!$B$9,Paramètres!$A$1:$I$89,5,0)</f>
        <v>250.29575999999969</v>
      </c>
      <c r="P76" s="14">
        <f t="shared" si="87"/>
        <v>60.649269046250886</v>
      </c>
      <c r="Q76" s="22">
        <f t="shared" si="54"/>
        <v>541.56259225555311</v>
      </c>
      <c r="R76" s="62">
        <f t="shared" si="55"/>
        <v>834.89592558888648</v>
      </c>
      <c r="S76" s="62">
        <f ca="1">AVERAGE(OFFSET($R$3,0,0,'Données projet'!$E$9+1,1))-AVERAGE(OFFSET($H$3,0,0,'Données projet'!$E$9+1,1))</f>
        <v>352.5736659365665</v>
      </c>
      <c r="T76" s="62">
        <f t="shared" si="88"/>
        <v>343.77208530767069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5.7528004739201828</v>
      </c>
      <c r="AA76" s="23">
        <f>EXP(-LN(2)/25)*AA75+(1-EXP(-LN(2)/25))/(LN(2)/25)*Calculateur!V76*Calculateur!X76*VLOOKUP('Données projet'!$B$9,Paramètres!$A$1:$I$89,3,0)*0.475*44/12</f>
        <v>7.2000770332704684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12.952877507190651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4.2</v>
      </c>
      <c r="AI76" s="14">
        <f>IF('Données projet'!$A$62&gt;35,AI75+AH76-AQ75,IF(A76&lt;'Données projet'!$A$62,$AF$205^A76,IF(A76='Données projet'!$A$62,'Données projet'!$B$62,AI75+AH76-AQ75)))</f>
        <v>183.60000000000005</v>
      </c>
      <c r="AJ76" s="14">
        <f>AI76*VLOOKUP('Données projet'!$B$10,Paramètres!$A$1:$I$89,3,0)*VLOOKUP('Données projet'!$B$10,Paramètres!$A$1:$I$89,5,0)</f>
        <v>120.29472000000004</v>
      </c>
      <c r="AK76" s="14">
        <f t="shared" si="89"/>
        <v>31.743728077799126</v>
      </c>
      <c r="AL76" s="22">
        <f t="shared" si="58"/>
        <v>264.80029706883352</v>
      </c>
      <c r="AM76" s="62">
        <f t="shared" si="59"/>
        <v>558.13363040216677</v>
      </c>
      <c r="AN76" s="62">
        <f ca="1">AVERAGE(OFFSET($AM$3,0,0,'Données projet'!$E$10+1,1))-AVERAGE(OFFSET($H$3,0,0,'Données projet'!$E$10+1,1))</f>
        <v>210.08998695869161</v>
      </c>
      <c r="AO76" s="62">
        <f t="shared" si="90"/>
        <v>207.30911916430881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6.2282059310969039E-8</v>
      </c>
      <c r="AX76" s="23">
        <f t="shared" si="60"/>
        <v>6.2282059310969039E-8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296.8</v>
      </c>
      <c r="BE76" s="14">
        <f>BD76*VLOOKUP('Données projet'!$B$11,Paramètres!$A$1:$I$89,3,0)*VLOOKUP('Données projet'!$B$11,Paramètres!$A$1:$I$89,5,0)</f>
        <v>199.09344000000002</v>
      </c>
      <c r="BF76" s="14">
        <f t="shared" si="91"/>
        <v>49.544880627520683</v>
      </c>
      <c r="BG76" s="22">
        <f t="shared" si="61"/>
        <v>433.04507509293188</v>
      </c>
      <c r="BH76" s="62">
        <f t="shared" si="62"/>
        <v>726.3784084262652</v>
      </c>
      <c r="BI76" s="62">
        <f ca="1">AVERAGE(OFFSET($BH$3,0,0,'Données projet'!$E$11+1,1))-AVERAGE(OFFSET($H$3,0,0,'Données projet'!$E$11+1,1))</f>
        <v>335.83558218229564</v>
      </c>
      <c r="BJ76" s="62">
        <f t="shared" si="92"/>
        <v>217.08423061559648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7.0716192833572581E-6</v>
      </c>
      <c r="BS76" s="24">
        <f t="shared" si="63"/>
        <v>7.0716192833572581E-6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5.6843418860808015E-14</v>
      </c>
      <c r="BZ76" s="14">
        <f>BY76*VLOOKUP('Données projet'!$B$12,Paramètres!$A$1:$I$89,3,0)*VLOOKUP('Données projet'!$B$12,Paramètres!$A$1:$I$89,5,0)</f>
        <v>4.4337866711430253E-14</v>
      </c>
      <c r="CA76" s="14">
        <f t="shared" si="93"/>
        <v>7.3222115536967035E-13</v>
      </c>
      <c r="CB76" s="22">
        <f t="shared" si="64"/>
        <v>1.3525069634579169E-12</v>
      </c>
      <c r="CC76" s="62">
        <f t="shared" si="65"/>
        <v>293.33333333333468</v>
      </c>
      <c r="CD76" s="62">
        <f ca="1">AVERAGE(OFFSET($CC$3,0,0,'Données projet'!$E$12+1,1))-AVERAGE(OFFSET($H$3,0,0,'Données projet'!$E$12+1,1))</f>
        <v>288.82868507674738</v>
      </c>
      <c r="CE76" s="62">
        <f t="shared" si="94"/>
        <v>283.48738729114024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1.4788044799792173</v>
      </c>
      <c r="CM76" s="23">
        <f>EXP(-LN(2)/2)*CM75+(1-EXP(-LN(2)/2))/(LN(2)/2)*CG76*CJ76*VLOOKUP('Données projet'!$B$12,Paramètres!$A$1:$I$89,3,0)*0.475*44/12</f>
        <v>8.6983330183191427E-7</v>
      </c>
      <c r="CN76" s="24">
        <f t="shared" si="66"/>
        <v>1.4788053498125191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4.2</v>
      </c>
      <c r="CT76" s="13">
        <f>IF('Données projet'!$A$140&gt;35,CT75+CS76-DB75,IF(A76&lt;'Données projet'!$A$140,$CQ$205^A76,IF(A76='Données projet'!$A$140,'Données projet'!$B$140,CT75+CS76-DB75)))</f>
        <v>314.59999999999962</v>
      </c>
      <c r="CU76" s="18">
        <f>CT76*VLOOKUP('Données projet'!$B$13,Paramètres!$A$1:$I$89,3,0)*VLOOKUP('Données projet'!$B$13,Paramètres!$A$1:$I$89,5,0)</f>
        <v>274.83455999999973</v>
      </c>
      <c r="CV76" s="14">
        <f t="shared" si="95"/>
        <v>65.874222766218068</v>
      </c>
      <c r="CW76" s="22">
        <f t="shared" si="67"/>
        <v>593.40112998449592</v>
      </c>
      <c r="CX76" s="62">
        <f t="shared" si="68"/>
        <v>886.7344633178293</v>
      </c>
      <c r="CY76" s="62">
        <f ca="1">AVERAGE(OFFSET($CX$3,0,0,'Données projet'!$E$13+1,1))-AVERAGE(OFFSET($H$3,0,0,'Données projet'!$E$13+1,1))</f>
        <v>383.46266660377637</v>
      </c>
      <c r="CZ76" s="62">
        <f t="shared" si="96"/>
        <v>373.1287543230714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4.8737221847862662</v>
      </c>
      <c r="DH76" s="23">
        <f>EXP(-LN(2)/2)*DH75+(1-EXP(-LN(2)/2))/(LN(2)/2)*DB76*DE76*VLOOKUP('Données projet'!$B$13,Paramètres!$A$1:$I$89,3,0)*0.475*44/12</f>
        <v>7.1603915890878542E-6</v>
      </c>
      <c r="DI76" s="24">
        <f t="shared" si="69"/>
        <v>4.8737293451778552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>
        <f>DO76*VLOOKUP('Données projet'!$B$14,Paramètres!$A$1:$I$89,3,0)*VLOOKUP('Données projet'!$B$14,Paramètres!$A$1:$I$89,5,0)</f>
        <v>0</v>
      </c>
      <c r="DQ76" s="14" t="e">
        <f t="shared" si="97"/>
        <v>#NUM!</v>
      </c>
      <c r="DR76" s="22" t="e">
        <f t="shared" si="70"/>
        <v>#NUM!</v>
      </c>
      <c r="DS76" s="62" t="e">
        <f t="shared" si="71"/>
        <v>#NUM!</v>
      </c>
      <c r="DT76" s="62">
        <f ca="1">AVERAGE(OFFSET($DS$3,0,0,'Données projet'!$E$14+1,1))-AVERAGE(OFFSET($H$3,0,0,'Données projet'!$E$14+1,1))</f>
        <v>96.56611521638132</v>
      </c>
      <c r="DU76" s="62">
        <f t="shared" si="98"/>
        <v>465.03257878814094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35.170628628386069</v>
      </c>
      <c r="EB76" s="23">
        <f>EXP(-LN(2)/25)*EB75+(1-EXP(-LN(2)/25))/(LN(2)/25)*Calculateur!DW76*Calculateur!DY76*VLOOKUP('Données projet'!$B$14,Paramètres!$A$1:$I$89,3,0)*0.475*44/12</f>
        <v>5.5758006905504125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40.746429318936478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4.2</v>
      </c>
      <c r="EJ76" s="13">
        <f>IF('Données projet'!$A$192&gt;35,EJ75+EI76-ER75,IF(A76&lt;'Données projet'!$A$192,$EG$205^A76,IF(A76='Données projet'!$A$192,'Données projet'!$B$192,EJ75+EI76-ER75)))</f>
        <v>314.59999999999962</v>
      </c>
      <c r="EK76" s="18">
        <f>EJ76*VLOOKUP('Données projet'!$B$15,Paramètres!$A$1:$I$89,3,0)*VLOOKUP('Données projet'!$B$15,Paramètres!$A$1:$I$89,5,0)</f>
        <v>255.20351999999971</v>
      </c>
      <c r="EL76" s="14">
        <f t="shared" si="99"/>
        <v>61.698856899024442</v>
      </c>
      <c r="EM76" s="22">
        <f t="shared" si="73"/>
        <v>551.93830643246702</v>
      </c>
      <c r="EN76" s="62">
        <f t="shared" si="74"/>
        <v>845.27163976580027</v>
      </c>
      <c r="EO76" s="62">
        <f ca="1">AVERAGE(OFFSET($EN$3,0,0,'Données projet'!$E$15+1,1))-AVERAGE(OFFSET($H$3,0,0,'Données projet'!$E$15+1,1))</f>
        <v>358.75637627589799</v>
      </c>
      <c r="EP76" s="62">
        <f t="shared" si="100"/>
        <v>349.64821164483607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4.1254033839489415</v>
      </c>
      <c r="EW76" s="23">
        <f>EXP(-LN(2)/25)*EW75+(1-EXP(-LN(2)/25))/(LN(2)/25)*Calculateur!ER76*Calculateur!ET76*VLOOKUP('Données projet'!$B$15,Paramètres!$A$1:$I$89,3,0)*0.475*44/12</f>
        <v>4.6558151193522335</v>
      </c>
      <c r="EX76" s="23">
        <f>EXP(-LN(2)/2)*EX75+(1-EXP(-LN(2)/2))/(LN(2)/2)*ER76*EU76*VLOOKUP('Données projet'!$B$15,Paramètres!$A$1:$I$89,3,0)*0.475*44/12</f>
        <v>1.2294674609784751E-6</v>
      </c>
      <c r="EY76" s="24">
        <f t="shared" si="75"/>
        <v>8.781219732768637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>
        <f>FE76*VLOOKUP('Données projet'!$B$16,Paramètres!$A$1:$I$89,3,0)*VLOOKUP('Données projet'!$B$16,Paramètres!$A$1:$I$89,5,0)</f>
        <v>0</v>
      </c>
      <c r="FG76" s="14" t="e">
        <f t="shared" si="101"/>
        <v>#NUM!</v>
      </c>
      <c r="FH76" s="22" t="e">
        <f t="shared" si="76"/>
        <v>#NUM!</v>
      </c>
      <c r="FI76" s="62" t="e">
        <f t="shared" si="77"/>
        <v>#NUM!</v>
      </c>
      <c r="FJ76" s="62">
        <f ca="1">AVERAGE(OFFSET($FI$3,0,0,'Données projet'!$E$16+1,1))-AVERAGE(OFFSET($H$3,0,0,'Données projet'!$E$16+1,1))</f>
        <v>121.28977654040114</v>
      </c>
      <c r="FK76" s="62">
        <f t="shared" si="102"/>
        <v>615.69585264342595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47.386757339646181</v>
      </c>
      <c r="FR76" s="23">
        <f>EXP(-LN(2)/25)*FR75+(1-EXP(-LN(2)/25))/(LN(2)/25)*Calculateur!FM76*Calculateur!FO76*VLOOKUP('Données projet'!$B$16,Paramètres!$A$1:$I$89,3,0)*0.475*44/12</f>
        <v>7.5124933673802428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54.899250707026425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4.2</v>
      </c>
      <c r="N77" s="14">
        <f>IF('Données projet'!$A$36&gt;35,N76+M77-V76,IF(A77&lt;'Données projet'!$A$36,$K$205^A77,IF(A77='Données projet'!$A$36,'Données projet'!$B$36,N76+M77-V76)))</f>
        <v>318.79999999999961</v>
      </c>
      <c r="O77" s="14">
        <f>N77*VLOOKUP('Données projet'!$B$9,Paramètres!$A$1:$I$89,3,0)*VLOOKUP('Données projet'!$B$9,Paramètres!$A$1:$I$89,5,0)</f>
        <v>253.63727999999969</v>
      </c>
      <c r="P77" s="14">
        <f t="shared" si="87"/>
        <v>61.364153650447946</v>
      </c>
      <c r="Q77" s="22">
        <f t="shared" si="54"/>
        <v>548.62749694119634</v>
      </c>
      <c r="R77" s="62">
        <f t="shared" si="55"/>
        <v>841.9608302745296</v>
      </c>
      <c r="S77" s="62">
        <f ca="1">AVERAGE(OFFSET($R$3,0,0,'Données projet'!$E$9+1,1))-AVERAGE(OFFSET($H$3,0,0,'Données projet'!$E$9+1,1))</f>
        <v>352.5736659365665</v>
      </c>
      <c r="T77" s="62">
        <f t="shared" si="88"/>
        <v>343.77208530767069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5.6399915654884261</v>
      </c>
      <c r="AA77" s="23">
        <f>EXP(-LN(2)/25)*AA76+(1-EXP(-LN(2)/25))/(LN(2)/25)*Calculateur!V77*Calculateur!X77*VLOOKUP('Données projet'!$B$9,Paramètres!$A$1:$I$89,3,0)*0.475*44/12</f>
        <v>7.0031905481600925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12.643182113648518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4.2</v>
      </c>
      <c r="AI77" s="14">
        <f>IF('Données projet'!$A$62&gt;35,AI76+AH77-AQ76,IF(A77&lt;'Données projet'!$A$62,$AF$205^A77,IF(A77='Données projet'!$A$62,'Données projet'!$B$62,AI76+AH77-AQ76)))</f>
        <v>187.80000000000004</v>
      </c>
      <c r="AJ77" s="14">
        <f>AI77*VLOOKUP('Données projet'!$B$10,Paramètres!$A$1:$I$89,3,0)*VLOOKUP('Données projet'!$B$10,Paramètres!$A$1:$I$89,5,0)</f>
        <v>123.04656000000003</v>
      </c>
      <c r="AK77" s="14">
        <f t="shared" si="89"/>
        <v>32.384519261504529</v>
      </c>
      <c r="AL77" s="22">
        <f t="shared" si="58"/>
        <v>270.70912971378709</v>
      </c>
      <c r="AM77" s="62">
        <f t="shared" si="59"/>
        <v>564.04246304712046</v>
      </c>
      <c r="AN77" s="62">
        <f ca="1">AVERAGE(OFFSET($AM$3,0,0,'Données projet'!$E$10+1,1))-AVERAGE(OFFSET($H$3,0,0,'Données projet'!$E$10+1,1))</f>
        <v>210.08998695869161</v>
      </c>
      <c r="AO77" s="62">
        <f t="shared" si="90"/>
        <v>207.30911916430881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4.4040066485048961E-8</v>
      </c>
      <c r="AX77" s="23">
        <f t="shared" si="60"/>
        <v>4.4040066485048961E-8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304.40000000000003</v>
      </c>
      <c r="BE77" s="14">
        <f>BD77*VLOOKUP('Données projet'!$B$11,Paramètres!$A$1:$I$89,3,0)*VLOOKUP('Données projet'!$B$11,Paramètres!$A$1:$I$89,5,0)</f>
        <v>204.19152000000005</v>
      </c>
      <c r="BF77" s="14">
        <f t="shared" si="91"/>
        <v>50.66422204371576</v>
      </c>
      <c r="BG77" s="22">
        <f t="shared" si="61"/>
        <v>443.87375072613833</v>
      </c>
      <c r="BH77" s="62">
        <f t="shared" si="62"/>
        <v>737.20708405947164</v>
      </c>
      <c r="BI77" s="62">
        <f ca="1">AVERAGE(OFFSET($BH$3,0,0,'Données projet'!$E$11+1,1))-AVERAGE(OFFSET($H$3,0,0,'Données projet'!$E$11+1,1))</f>
        <v>335.83558218229564</v>
      </c>
      <c r="BJ77" s="62">
        <f t="shared" si="92"/>
        <v>217.08423061559648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5.0003899492314707E-6</v>
      </c>
      <c r="BS77" s="24">
        <f t="shared" si="63"/>
        <v>5.0003899492314707E-6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5.6843418860808015E-14</v>
      </c>
      <c r="BZ77" s="14">
        <f>BY77*VLOOKUP('Données projet'!$B$12,Paramètres!$A$1:$I$89,3,0)*VLOOKUP('Données projet'!$B$12,Paramètres!$A$1:$I$89,5,0)</f>
        <v>4.4337866711430253E-14</v>
      </c>
      <c r="CA77" s="14">
        <f t="shared" si="93"/>
        <v>7.3222115536967035E-13</v>
      </c>
      <c r="CB77" s="22">
        <f t="shared" si="64"/>
        <v>1.3525069634579169E-12</v>
      </c>
      <c r="CC77" s="62">
        <f t="shared" si="65"/>
        <v>293.33333333333468</v>
      </c>
      <c r="CD77" s="62">
        <f ca="1">AVERAGE(OFFSET($CC$3,0,0,'Données projet'!$E$12+1,1))-AVERAGE(OFFSET($H$3,0,0,'Données projet'!$E$12+1,1))</f>
        <v>288.82868507674738</v>
      </c>
      <c r="CE77" s="62">
        <f t="shared" si="94"/>
        <v>283.48738729114024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1.4383664937072378</v>
      </c>
      <c r="CM77" s="23">
        <f>EXP(-LN(2)/2)*CM76+(1-EXP(-LN(2)/2))/(LN(2)/2)*CG77*CJ77*VLOOKUP('Données projet'!$B$12,Paramètres!$A$1:$I$89,3,0)*0.475*44/12</f>
        <v>6.1506502622723154E-7</v>
      </c>
      <c r="CN77" s="24">
        <f t="shared" si="66"/>
        <v>1.438367108772264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4.2</v>
      </c>
      <c r="CT77" s="13">
        <f>IF('Données projet'!$A$140&gt;35,CT76+CS77-DB76,IF(A77&lt;'Données projet'!$A$140,$CQ$205^A77,IF(A77='Données projet'!$A$140,'Données projet'!$B$140,CT76+CS77-DB76)))</f>
        <v>318.79999999999961</v>
      </c>
      <c r="CU77" s="18">
        <f>CT77*VLOOKUP('Données projet'!$B$13,Paramètres!$A$1:$I$89,3,0)*VLOOKUP('Données projet'!$B$13,Paramètres!$A$1:$I$89,5,0)</f>
        <v>278.50367999999969</v>
      </c>
      <c r="CV77" s="14">
        <f t="shared" si="95"/>
        <v>66.650694905282123</v>
      </c>
      <c r="CW77" s="22">
        <f t="shared" si="67"/>
        <v>601.14386962669914</v>
      </c>
      <c r="CX77" s="62">
        <f t="shared" si="68"/>
        <v>894.4772029600324</v>
      </c>
      <c r="CY77" s="62">
        <f ca="1">AVERAGE(OFFSET($CX$3,0,0,'Données projet'!$E$13+1,1))-AVERAGE(OFFSET($H$3,0,0,'Données projet'!$E$13+1,1))</f>
        <v>383.46266660377637</v>
      </c>
      <c r="CZ77" s="62">
        <f t="shared" si="96"/>
        <v>373.1287543230714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4.7404499953453749</v>
      </c>
      <c r="DH77" s="23">
        <f>EXP(-LN(2)/2)*DH76+(1-EXP(-LN(2)/2))/(LN(2)/2)*DB77*DE77*VLOOKUP('Données projet'!$B$13,Paramètres!$A$1:$I$89,3,0)*0.475*44/12</f>
        <v>5.0631614485951406E-6</v>
      </c>
      <c r="DI77" s="24">
        <f t="shared" si="69"/>
        <v>4.7404550585068232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>
        <f>DO77*VLOOKUP('Données projet'!$B$14,Paramètres!$A$1:$I$89,3,0)*VLOOKUP('Données projet'!$B$14,Paramètres!$A$1:$I$89,5,0)</f>
        <v>0</v>
      </c>
      <c r="DQ77" s="14" t="e">
        <f t="shared" si="97"/>
        <v>#NUM!</v>
      </c>
      <c r="DR77" s="22" t="e">
        <f t="shared" si="70"/>
        <v>#NUM!</v>
      </c>
      <c r="DS77" s="62" t="e">
        <f t="shared" si="71"/>
        <v>#NUM!</v>
      </c>
      <c r="DT77" s="62">
        <f ca="1">AVERAGE(OFFSET($DS$3,0,0,'Données projet'!$E$14+1,1))-AVERAGE(OFFSET($H$3,0,0,'Données projet'!$E$14+1,1))</f>
        <v>96.56611521638132</v>
      </c>
      <c r="DU77" s="62">
        <f t="shared" si="98"/>
        <v>465.03257878814094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34.480954052948675</v>
      </c>
      <c r="EB77" s="23">
        <f>EXP(-LN(2)/25)*EB76+(1-EXP(-LN(2)/25))/(LN(2)/25)*Calculateur!DW77*Calculateur!DY77*VLOOKUP('Données projet'!$B$14,Paramètres!$A$1:$I$89,3,0)*0.475*44/12</f>
        <v>5.4233301274486969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39.904284180397369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4.2</v>
      </c>
      <c r="EJ77" s="13">
        <f>IF('Données projet'!$A$192&gt;35,EJ76+EI77-ER76,IF(A77&lt;'Données projet'!$A$192,$EG$205^A77,IF(A77='Données projet'!$A$192,'Données projet'!$B$192,EJ76+EI77-ER76)))</f>
        <v>318.79999999999961</v>
      </c>
      <c r="EK77" s="18">
        <f>EJ77*VLOOKUP('Données projet'!$B$15,Paramètres!$A$1:$I$89,3,0)*VLOOKUP('Données projet'!$B$15,Paramètres!$A$1:$I$89,5,0)</f>
        <v>258.61055999999974</v>
      </c>
      <c r="EL77" s="14">
        <f t="shared" si="99"/>
        <v>62.426113197200671</v>
      </c>
      <c r="EM77" s="22">
        <f t="shared" si="73"/>
        <v>559.13887248512401</v>
      </c>
      <c r="EN77" s="62">
        <f t="shared" si="74"/>
        <v>852.47220581845727</v>
      </c>
      <c r="EO77" s="62">
        <f ca="1">AVERAGE(OFFSET($EN$3,0,0,'Données projet'!$E$15+1,1))-AVERAGE(OFFSET($H$3,0,0,'Données projet'!$E$15+1,1))</f>
        <v>358.75637627589799</v>
      </c>
      <c r="EP77" s="62">
        <f t="shared" si="100"/>
        <v>349.64821164483607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4.044506739837308</v>
      </c>
      <c r="EW77" s="23">
        <f>EXP(-LN(2)/25)*EW76+(1-EXP(-LN(2)/25))/(LN(2)/25)*Calculateur!ER77*Calculateur!ET77*VLOOKUP('Données projet'!$B$15,Paramètres!$A$1:$I$89,3,0)*0.475*44/12</f>
        <v>4.528501610074871</v>
      </c>
      <c r="EX77" s="23">
        <f>EXP(-LN(2)/2)*EX76+(1-EXP(-LN(2)/2))/(LN(2)/2)*ER77*EU77*VLOOKUP('Données projet'!$B$15,Paramètres!$A$1:$I$89,3,0)*0.475*44/12</f>
        <v>8.6936477890608673E-7</v>
      </c>
      <c r="EY77" s="24">
        <f t="shared" si="75"/>
        <v>8.5730092192769582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>
        <f>FE77*VLOOKUP('Données projet'!$B$16,Paramètres!$A$1:$I$89,3,0)*VLOOKUP('Données projet'!$B$16,Paramètres!$A$1:$I$89,5,0)</f>
        <v>0</v>
      </c>
      <c r="FG77" s="14" t="e">
        <f t="shared" si="101"/>
        <v>#NUM!</v>
      </c>
      <c r="FH77" s="22" t="e">
        <f t="shared" si="76"/>
        <v>#NUM!</v>
      </c>
      <c r="FI77" s="62" t="e">
        <f t="shared" si="77"/>
        <v>#NUM!</v>
      </c>
      <c r="FJ77" s="62">
        <f ca="1">AVERAGE(OFFSET($FI$3,0,0,'Données projet'!$E$16+1,1))-AVERAGE(OFFSET($H$3,0,0,'Données projet'!$E$16+1,1))</f>
        <v>121.28977654040114</v>
      </c>
      <c r="FK77" s="62">
        <f t="shared" si="102"/>
        <v>615.69585264342595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46.457531931283754</v>
      </c>
      <c r="FR77" s="23">
        <f>EXP(-LN(2)/25)*FR76+(1-EXP(-LN(2)/25))/(LN(2)/25)*Calculateur!FM77*Calculateur!FO77*VLOOKUP('Données projet'!$B$16,Paramètres!$A$1:$I$89,3,0)*0.475*44/12</f>
        <v>7.307063841184374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53.764595772468127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323</v>
      </c>
      <c r="L78" s="13">
        <f>VLOOKUP(A78,'Données projet'!$A$35:$I$55,9,0)</f>
        <v>4.2</v>
      </c>
      <c r="M78" s="13">
        <f t="array" ref="M78">INDEX(L:L,MIN(IF(ISNUMBER(L78:L274),ROW(L78:L274),"")))</f>
        <v>4.2</v>
      </c>
      <c r="N78" s="14">
        <f>IF('Données projet'!$A$36&gt;35,N77+M78-V77,IF(A78&lt;'Données projet'!$A$36,$K$205^A78,IF(A78='Données projet'!$A$36,'Données projet'!$B$36,N77+M78-V77)))</f>
        <v>322.9999999999996</v>
      </c>
      <c r="O78" s="14">
        <f>N78*VLOOKUP('Données projet'!$B$9,Paramètres!$A$1:$I$89,3,0)*VLOOKUP('Données projet'!$B$9,Paramètres!$A$1:$I$89,5,0)</f>
        <v>256.97879999999969</v>
      </c>
      <c r="P78" s="14">
        <f t="shared" si="87"/>
        <v>62.077942785287192</v>
      </c>
      <c r="Q78" s="22">
        <f t="shared" si="54"/>
        <v>555.69049368437459</v>
      </c>
      <c r="R78" s="62">
        <f t="shared" si="55"/>
        <v>849.02382701770784</v>
      </c>
      <c r="S78" s="62">
        <f ca="1">AVERAGE(OFFSET($R$3,0,0,'Données projet'!$E$9+1,1))-AVERAGE(OFFSET($H$3,0,0,'Données projet'!$E$9+1,1))</f>
        <v>352.5736659365665</v>
      </c>
      <c r="T78" s="62">
        <f t="shared" si="88"/>
        <v>343.77208530767069</v>
      </c>
      <c r="U78" s="16">
        <f>IF(ISNA(VLOOKUP(A78,'Données projet'!$A$35:$I$55,3,0)),0,VLOOKUP(A78,'Données projet'!$A$35:$I$55,3,0))</f>
        <v>14</v>
      </c>
      <c r="V78" s="16">
        <f>IF(ISNA(VLOOKUP(A78,'Données projet'!$A$35:$I$55,4,0)),0,VLOOKUP(A78,'Données projet'!$A$35:$I$55,4,0))</f>
        <v>12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5.5293947709443758</v>
      </c>
      <c r="AA78" s="23">
        <f>EXP(-LN(2)/25)*AA77+(1-EXP(-LN(2)/25))/(LN(2)/25)*Calculateur!V78*Calculateur!X78*VLOOKUP('Données projet'!$B$9,Paramètres!$A$1:$I$89,3,0)*0.475*44/12</f>
        <v>6.8116879343388694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12.341082705283245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192</v>
      </c>
      <c r="AG78" s="13">
        <f>VLOOKUP(A78,'Données projet'!$A$61:$I$81,9,0)</f>
        <v>4.2</v>
      </c>
      <c r="AH78" s="13">
        <f t="array" ref="AH78">INDEX(AG:AG,MIN(IF(ISNUMBER(AG78:AG274),ROW(AG78:AG274),"")))</f>
        <v>4.2</v>
      </c>
      <c r="AI78" s="14">
        <f>IF('Données projet'!$A$62&gt;35,AI77+AH78-AQ77,IF(A78&lt;'Données projet'!$A$62,$AF$205^A78,IF(A78='Données projet'!$A$62,'Données projet'!$B$62,AI77+AH78-AQ77)))</f>
        <v>192.00000000000003</v>
      </c>
      <c r="AJ78" s="14">
        <f>AI78*VLOOKUP('Données projet'!$B$10,Paramètres!$A$1:$I$89,3,0)*VLOOKUP('Données projet'!$B$10,Paramètres!$A$1:$I$89,5,0)</f>
        <v>125.79840000000003</v>
      </c>
      <c r="AK78" s="14">
        <f t="shared" si="89"/>
        <v>33.023644363399953</v>
      </c>
      <c r="AL78" s="22">
        <f t="shared" si="58"/>
        <v>276.61506059958828</v>
      </c>
      <c r="AM78" s="62">
        <f t="shared" si="59"/>
        <v>569.94839393292159</v>
      </c>
      <c r="AN78" s="62">
        <f ca="1">AVERAGE(OFFSET($AM$3,0,0,'Données projet'!$E$10+1,1))-AVERAGE(OFFSET($H$3,0,0,'Données projet'!$E$10+1,1))</f>
        <v>210.08998695869161</v>
      </c>
      <c r="AO78" s="62">
        <f t="shared" si="90"/>
        <v>207.30911916430881</v>
      </c>
      <c r="AP78" s="16">
        <f>IF(ISNA(VLOOKUP(A78,'Données projet'!$A$61:$I$81,3,0)),0,VLOOKUP(A78,'Données projet'!$A$61:$I$81,3,0))</f>
        <v>14</v>
      </c>
      <c r="AQ78" s="16">
        <f>IF(ISNA(VLOOKUP(A78,'Données projet'!$A$61:$I$81,4,0)),0,VLOOKUP(A78,'Données projet'!$A$61:$I$81,4,0))</f>
        <v>16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3.114102965548452E-8</v>
      </c>
      <c r="AX78" s="23">
        <f t="shared" si="60"/>
        <v>3.114102965548452E-8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312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312.00000000000006</v>
      </c>
      <c r="BE78" s="14">
        <f>BD78*VLOOKUP('Données projet'!$B$11,Paramètres!$A$1:$I$89,3,0)*VLOOKUP('Données projet'!$B$11,Paramètres!$A$1:$I$89,5,0)</f>
        <v>209.28960000000004</v>
      </c>
      <c r="BF78" s="14">
        <f t="shared" si="91"/>
        <v>51.780314822292212</v>
      </c>
      <c r="BG78" s="22">
        <f t="shared" si="61"/>
        <v>454.69676831549236</v>
      </c>
      <c r="BH78" s="62">
        <f t="shared" si="62"/>
        <v>748.03010164882562</v>
      </c>
      <c r="BI78" s="62">
        <f ca="1">AVERAGE(OFFSET($BH$3,0,0,'Données projet'!$E$11+1,1))-AVERAGE(OFFSET($H$3,0,0,'Données projet'!$E$11+1,1))</f>
        <v>335.83558218229564</v>
      </c>
      <c r="BJ78" s="62">
        <f t="shared" si="92"/>
        <v>217.08423061559648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3.5358096416786291E-6</v>
      </c>
      <c r="BS78" s="24">
        <f t="shared" si="63"/>
        <v>3.5358096416786291E-6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5.6843418860808015E-14</v>
      </c>
      <c r="BZ78" s="14">
        <f>BY78*VLOOKUP('Données projet'!$B$12,Paramètres!$A$1:$I$89,3,0)*VLOOKUP('Données projet'!$B$12,Paramètres!$A$1:$I$89,5,0)</f>
        <v>4.4337866711430253E-14</v>
      </c>
      <c r="CA78" s="14">
        <f t="shared" si="93"/>
        <v>7.3222115536967035E-13</v>
      </c>
      <c r="CB78" s="22">
        <f t="shared" si="64"/>
        <v>1.3525069634579169E-12</v>
      </c>
      <c r="CC78" s="62">
        <f t="shared" si="65"/>
        <v>293.33333333333468</v>
      </c>
      <c r="CD78" s="62">
        <f ca="1">AVERAGE(OFFSET($CC$3,0,0,'Données projet'!$E$12+1,1))-AVERAGE(OFFSET($H$3,0,0,'Données projet'!$E$12+1,1))</f>
        <v>288.82868507674738</v>
      </c>
      <c r="CE78" s="62">
        <f t="shared" si="94"/>
        <v>283.48738729114024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1.3990342862964069</v>
      </c>
      <c r="CM78" s="23">
        <f>EXP(-LN(2)/2)*CM77+(1-EXP(-LN(2)/2))/(LN(2)/2)*CG78*CJ78*VLOOKUP('Données projet'!$B$12,Paramètres!$A$1:$I$89,3,0)*0.475*44/12</f>
        <v>4.3491665091595713E-7</v>
      </c>
      <c r="CN78" s="24">
        <f t="shared" si="66"/>
        <v>1.3990347212130578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323</v>
      </c>
      <c r="CR78" s="13">
        <f>VLOOKUP(A78,'Données projet'!$A$139:$I$159,9,0)</f>
        <v>4.2</v>
      </c>
      <c r="CS78" s="13">
        <f t="array" ref="CS78">INDEX(CR:CR,MIN(IF(ISNUMBER(CR78:CR274),ROW(CR78:CR274),"")))</f>
        <v>4.2</v>
      </c>
      <c r="CT78" s="13">
        <f>IF('Données projet'!$A$140&gt;35,CT77+CS78-DB77,IF(A78&lt;'Données projet'!$A$140,$CQ$205^A78,IF(A78='Données projet'!$A$140,'Données projet'!$B$140,CT77+CS78-DB77)))</f>
        <v>322.9999999999996</v>
      </c>
      <c r="CU78" s="18">
        <f>CT78*VLOOKUP('Données projet'!$B$13,Paramètres!$A$1:$I$89,3,0)*VLOOKUP('Données projet'!$B$13,Paramètres!$A$1:$I$89,5,0)</f>
        <v>282.17279999999971</v>
      </c>
      <c r="CV78" s="14">
        <f t="shared" si="95"/>
        <v>67.425977199956591</v>
      </c>
      <c r="CW78" s="22">
        <f t="shared" si="67"/>
        <v>608.88453695659052</v>
      </c>
      <c r="CX78" s="62">
        <f t="shared" si="68"/>
        <v>902.21787028992389</v>
      </c>
      <c r="CY78" s="62">
        <f ca="1">AVERAGE(OFFSET($CX$3,0,0,'Données projet'!$E$13+1,1))-AVERAGE(OFFSET($H$3,0,0,'Données projet'!$E$13+1,1))</f>
        <v>383.46266660377637</v>
      </c>
      <c r="CZ78" s="62">
        <f t="shared" si="96"/>
        <v>373.1287543230714</v>
      </c>
      <c r="DA78" s="16">
        <f>IF(ISNA(VLOOKUP(A78,'Données projet'!$A$139:$I$159,3,0)),0,VLOOKUP(A78,'Données projet'!$A$139:$I$159,3,0))</f>
        <v>14</v>
      </c>
      <c r="DB78" s="16">
        <f>IF(ISNA(VLOOKUP(A78,'Données projet'!$A$139:$I$159,4,0)),0,VLOOKUP(A78,'Données projet'!$A$139:$I$159,4,0))</f>
        <v>12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4.6108221409332248</v>
      </c>
      <c r="DH78" s="23">
        <f>EXP(-LN(2)/2)*DH77+(1-EXP(-LN(2)/2))/(LN(2)/2)*DB78*DE78*VLOOKUP('Données projet'!$B$13,Paramètres!$A$1:$I$89,3,0)*0.475*44/12</f>
        <v>3.5801957945439271E-6</v>
      </c>
      <c r="DI78" s="24">
        <f t="shared" si="69"/>
        <v>4.6108257211290198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>
        <f>DO78*VLOOKUP('Données projet'!$B$14,Paramètres!$A$1:$I$89,3,0)*VLOOKUP('Données projet'!$B$14,Paramètres!$A$1:$I$89,5,0)</f>
        <v>0</v>
      </c>
      <c r="DQ78" s="14" t="e">
        <f t="shared" si="97"/>
        <v>#NUM!</v>
      </c>
      <c r="DR78" s="22" t="e">
        <f t="shared" si="70"/>
        <v>#NUM!</v>
      </c>
      <c r="DS78" s="62" t="e">
        <f t="shared" si="71"/>
        <v>#NUM!</v>
      </c>
      <c r="DT78" s="62">
        <f ca="1">AVERAGE(OFFSET($DS$3,0,0,'Données projet'!$E$14+1,1))-AVERAGE(OFFSET($H$3,0,0,'Données projet'!$E$14+1,1))</f>
        <v>96.56611521638132</v>
      </c>
      <c r="DU78" s="62">
        <f t="shared" si="98"/>
        <v>465.03257878814094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33.804803575275656</v>
      </c>
      <c r="EB78" s="23">
        <f>EXP(-LN(2)/25)*EB77+(1-EXP(-LN(2)/25))/(LN(2)/25)*Calculateur!DW78*Calculateur!DY78*VLOOKUP('Données projet'!$B$14,Paramètres!$A$1:$I$89,3,0)*0.475*44/12</f>
        <v>5.2750288799130765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39.079832455188736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323</v>
      </c>
      <c r="EH78" s="13">
        <f>VLOOKUP(A78,'Données projet'!$A$191:$I$211,9,0)</f>
        <v>4.2</v>
      </c>
      <c r="EI78" s="13">
        <f t="array" ref="EI78">INDEX(EH:EH,MIN(IF(ISNUMBER(EH78:EH274),ROW(EH78:EH274),"")))</f>
        <v>4.2</v>
      </c>
      <c r="EJ78" s="13">
        <f>IF('Données projet'!$A$192&gt;35,EJ77+EI78-ER77,IF(A78&lt;'Données projet'!$A$192,$EG$205^A78,IF(A78='Données projet'!$A$192,'Données projet'!$B$192,EJ77+EI78-ER77)))</f>
        <v>322.9999999999996</v>
      </c>
      <c r="EK78" s="18">
        <f>EJ78*VLOOKUP('Données projet'!$B$15,Paramètres!$A$1:$I$89,3,0)*VLOOKUP('Données projet'!$B$15,Paramètres!$A$1:$I$89,5,0)</f>
        <v>262.01759999999973</v>
      </c>
      <c r="EL78" s="14">
        <f t="shared" si="99"/>
        <v>63.152255067978103</v>
      </c>
      <c r="EM78" s="22">
        <f t="shared" si="73"/>
        <v>566.33749757672797</v>
      </c>
      <c r="EN78" s="62">
        <f t="shared" si="74"/>
        <v>859.67083091006134</v>
      </c>
      <c r="EO78" s="62">
        <f ca="1">AVERAGE(OFFSET($EN$3,0,0,'Données projet'!$E$15+1,1))-AVERAGE(OFFSET($H$3,0,0,'Données projet'!$E$15+1,1))</f>
        <v>358.75637627589799</v>
      </c>
      <c r="EP78" s="62">
        <f t="shared" si="100"/>
        <v>349.64821164483607</v>
      </c>
      <c r="EQ78" s="16">
        <f>IF(ISNA(VLOOKUP(A78,'Données projet'!$A$191:$I$211,3,0)),0,VLOOKUP(A78,'Données projet'!$A$191:$I$211,3,0))</f>
        <v>14</v>
      </c>
      <c r="ER78" s="16">
        <f>IF(ISNA(VLOOKUP(A78,'Données projet'!$A$191:$I$211,4,0)),0,VLOOKUP(A78,'Données projet'!$A$191:$I$211,4,0))</f>
        <v>12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3.9651964295746231</v>
      </c>
      <c r="EW78" s="23">
        <f>EXP(-LN(2)/25)*EW77+(1-EXP(-LN(2)/25))/(LN(2)/25)*Calculateur!ER78*Calculateur!ET78*VLOOKUP('Données projet'!$B$15,Paramètres!$A$1:$I$89,3,0)*0.475*44/12</f>
        <v>4.4046694954038239</v>
      </c>
      <c r="EX78" s="23">
        <f>EXP(-LN(2)/2)*EX77+(1-EXP(-LN(2)/2))/(LN(2)/2)*ER78*EU78*VLOOKUP('Données projet'!$B$15,Paramètres!$A$1:$I$89,3,0)*0.475*44/12</f>
        <v>6.1473373048923753E-7</v>
      </c>
      <c r="EY78" s="24">
        <f t="shared" si="75"/>
        <v>8.3698665397121772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>
        <f>FE78*VLOOKUP('Données projet'!$B$16,Paramètres!$A$1:$I$89,3,0)*VLOOKUP('Données projet'!$B$16,Paramètres!$A$1:$I$89,5,0)</f>
        <v>0</v>
      </c>
      <c r="FG78" s="14" t="e">
        <f t="shared" si="101"/>
        <v>#NUM!</v>
      </c>
      <c r="FH78" s="22" t="e">
        <f t="shared" si="76"/>
        <v>#NUM!</v>
      </c>
      <c r="FI78" s="62" t="e">
        <f t="shared" si="77"/>
        <v>#NUM!</v>
      </c>
      <c r="FJ78" s="62">
        <f ca="1">AVERAGE(OFFSET($FI$3,0,0,'Données projet'!$E$16+1,1))-AVERAGE(OFFSET($H$3,0,0,'Données projet'!$E$16+1,1))</f>
        <v>121.28977654040114</v>
      </c>
      <c r="FK78" s="62">
        <f t="shared" si="102"/>
        <v>615.69585264342595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45.546528066407781</v>
      </c>
      <c r="FR78" s="23">
        <f>EXP(-LN(2)/25)*FR77+(1-EXP(-LN(2)/25))/(LN(2)/25)*Calculateur!FM78*Calculateur!FO78*VLOOKUP('Données projet'!$B$16,Paramètres!$A$1:$I$89,3,0)*0.475*44/12</f>
        <v>7.1072517961854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52.653779862593183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3.6</v>
      </c>
      <c r="N79" s="14">
        <f>IF('Données projet'!$A$36&gt;35,N78+M79-V78,IF(A79&lt;'Données projet'!$A$36,$K$205^A79,IF(A79='Données projet'!$A$36,'Données projet'!$B$36,N78+M79-V78)))</f>
        <v>314.59999999999962</v>
      </c>
      <c r="O79" s="14">
        <f>N79*VLOOKUP('Données projet'!$B$9,Paramètres!$A$1:$I$89,3,0)*VLOOKUP('Données projet'!$B$9,Paramètres!$A$1:$I$89,5,0)</f>
        <v>250.29575999999969</v>
      </c>
      <c r="P79" s="14">
        <f t="shared" si="87"/>
        <v>60.649269046250886</v>
      </c>
      <c r="Q79" s="22">
        <f t="shared" si="54"/>
        <v>541.56259225555311</v>
      </c>
      <c r="R79" s="62">
        <f t="shared" si="55"/>
        <v>834.89592558888648</v>
      </c>
      <c r="S79" s="62">
        <f ca="1">AVERAGE(OFFSET($R$3,0,0,'Données projet'!$E$9+1,1))-AVERAGE(OFFSET($H$3,0,0,'Données projet'!$E$9+1,1))</f>
        <v>352.5736659365665</v>
      </c>
      <c r="T79" s="62">
        <f t="shared" si="88"/>
        <v>343.77208530767069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5.4209667120839509</v>
      </c>
      <c r="AA79" s="23">
        <f>EXP(-LN(2)/25)*AA78+(1-EXP(-LN(2)/25))/(LN(2)/25)*Calculateur!V79*Calculateur!X79*VLOOKUP('Données projet'!$B$9,Paramètres!$A$1:$I$89,3,0)*0.475*44/12</f>
        <v>6.6254219695632726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12.046388681647223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</v>
      </c>
      <c r="AI79" s="14">
        <f>IF('Données projet'!$A$62&gt;35,AI78+AH79-AQ78,IF(A79&lt;'Données projet'!$A$62,$AF$205^A79,IF(A79='Données projet'!$A$62,'Données projet'!$B$62,AI78+AH79-AQ78)))</f>
        <v>180.00000000000003</v>
      </c>
      <c r="AJ79" s="14">
        <f>AI79*VLOOKUP('Données projet'!$B$10,Paramètres!$A$1:$I$89,3,0)*VLOOKUP('Données projet'!$B$10,Paramètres!$A$1:$I$89,5,0)</f>
        <v>117.93600000000002</v>
      </c>
      <c r="AK79" s="14">
        <f t="shared" si="89"/>
        <v>31.1931201812605</v>
      </c>
      <c r="AL79" s="22">
        <f t="shared" si="58"/>
        <v>259.73321764902875</v>
      </c>
      <c r="AM79" s="62">
        <f t="shared" si="59"/>
        <v>553.06655098236206</v>
      </c>
      <c r="AN79" s="62">
        <f ca="1">AVERAGE(OFFSET($AM$3,0,0,'Données projet'!$E$10+1,1))-AVERAGE(OFFSET($H$3,0,0,'Données projet'!$E$10+1,1))</f>
        <v>210.08998695869161</v>
      </c>
      <c r="AO79" s="62">
        <f t="shared" si="90"/>
        <v>207.30911916430881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2.202003324252448E-8</v>
      </c>
      <c r="AX79" s="23">
        <f t="shared" si="60"/>
        <v>2.202003324252448E-8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195.33696000000003</v>
      </c>
      <c r="BF79" s="14">
        <f t="shared" si="91"/>
        <v>48.717969863105488</v>
      </c>
      <c r="BG79" s="22">
        <f t="shared" si="61"/>
        <v>425.06233617824211</v>
      </c>
      <c r="BH79" s="62">
        <f t="shared" si="62"/>
        <v>718.39566951157542</v>
      </c>
      <c r="BI79" s="62">
        <f ca="1">AVERAGE(OFFSET($BH$3,0,0,'Données projet'!$E$11+1,1))-AVERAGE(OFFSET($H$3,0,0,'Données projet'!$E$11+1,1))</f>
        <v>335.83558218229564</v>
      </c>
      <c r="BJ79" s="62">
        <f t="shared" si="92"/>
        <v>217.08423061559648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2.5001949746157353E-6</v>
      </c>
      <c r="BS79" s="24">
        <f t="shared" si="63"/>
        <v>2.5001949746157353E-6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5.6843418860808015E-14</v>
      </c>
      <c r="BZ79" s="14">
        <f>BY79*VLOOKUP('Données projet'!$B$12,Paramètres!$A$1:$I$89,3,0)*VLOOKUP('Données projet'!$B$12,Paramètres!$A$1:$I$89,5,0)</f>
        <v>4.4337866711430253E-14</v>
      </c>
      <c r="CA79" s="14">
        <f t="shared" si="93"/>
        <v>7.3222115536967035E-13</v>
      </c>
      <c r="CB79" s="22">
        <f t="shared" si="64"/>
        <v>1.3525069634579169E-12</v>
      </c>
      <c r="CC79" s="62">
        <f t="shared" si="65"/>
        <v>293.33333333333468</v>
      </c>
      <c r="CD79" s="62">
        <f ca="1">AVERAGE(OFFSET($CC$3,0,0,'Données projet'!$E$12+1,1))-AVERAGE(OFFSET($H$3,0,0,'Données projet'!$E$12+1,1))</f>
        <v>288.82868507674738</v>
      </c>
      <c r="CE79" s="62">
        <f t="shared" si="94"/>
        <v>283.48738729114024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1.3607776201656161</v>
      </c>
      <c r="CM79" s="23">
        <f>EXP(-LN(2)/2)*CM78+(1-EXP(-LN(2)/2))/(LN(2)/2)*CG79*CJ79*VLOOKUP('Données projet'!$B$12,Paramètres!$A$1:$I$89,3,0)*0.475*44/12</f>
        <v>3.0753251311361577E-7</v>
      </c>
      <c r="CN79" s="24">
        <f t="shared" si="66"/>
        <v>1.3607779276981291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3.6</v>
      </c>
      <c r="CT79" s="13">
        <f>IF('Données projet'!$A$140&gt;35,CT78+CS79-DB78,IF(A79&lt;'Données projet'!$A$140,$CQ$205^A79,IF(A79='Données projet'!$A$140,'Données projet'!$B$140,CT78+CS79-DB78)))</f>
        <v>314.59999999999962</v>
      </c>
      <c r="CU79" s="18">
        <f>CT79*VLOOKUP('Données projet'!$B$13,Paramètres!$A$1:$I$89,3,0)*VLOOKUP('Données projet'!$B$13,Paramètres!$A$1:$I$89,5,0)</f>
        <v>274.83455999999973</v>
      </c>
      <c r="CV79" s="14">
        <f t="shared" si="95"/>
        <v>65.874222766218068</v>
      </c>
      <c r="CW79" s="22">
        <f t="shared" si="67"/>
        <v>593.40112998449592</v>
      </c>
      <c r="CX79" s="62">
        <f t="shared" si="68"/>
        <v>886.7344633178293</v>
      </c>
      <c r="CY79" s="62">
        <f ca="1">AVERAGE(OFFSET($CX$3,0,0,'Données projet'!$E$13+1,1))-AVERAGE(OFFSET($H$3,0,0,'Données projet'!$E$13+1,1))</f>
        <v>383.46266660377637</v>
      </c>
      <c r="CZ79" s="62">
        <f t="shared" si="96"/>
        <v>373.1287543230714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4.4847389670168072</v>
      </c>
      <c r="DH79" s="23">
        <f>EXP(-LN(2)/2)*DH78+(1-EXP(-LN(2)/2))/(LN(2)/2)*DB79*DE79*VLOOKUP('Données projet'!$B$13,Paramètres!$A$1:$I$89,3,0)*0.475*44/12</f>
        <v>2.5315807242975703E-6</v>
      </c>
      <c r="DI79" s="24">
        <f t="shared" si="69"/>
        <v>4.4847414985975318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>
        <f>DO79*VLOOKUP('Données projet'!$B$14,Paramètres!$A$1:$I$89,3,0)*VLOOKUP('Données projet'!$B$14,Paramètres!$A$1:$I$89,5,0)</f>
        <v>0</v>
      </c>
      <c r="DQ79" s="14" t="e">
        <f t="shared" si="97"/>
        <v>#NUM!</v>
      </c>
      <c r="DR79" s="22" t="e">
        <f t="shared" si="70"/>
        <v>#NUM!</v>
      </c>
      <c r="DS79" s="62" t="e">
        <f t="shared" si="71"/>
        <v>#NUM!</v>
      </c>
      <c r="DT79" s="62">
        <f ca="1">AVERAGE(OFFSET($DS$3,0,0,'Données projet'!$E$14+1,1))-AVERAGE(OFFSET($H$3,0,0,'Données projet'!$E$14+1,1))</f>
        <v>96.56611521638132</v>
      </c>
      <c r="DU79" s="62">
        <f t="shared" si="98"/>
        <v>465.03257878814094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33.141911996058738</v>
      </c>
      <c r="EB79" s="23">
        <f>EXP(-LN(2)/25)*EB78+(1-EXP(-LN(2)/25))/(LN(2)/25)*Calculateur!DW79*Calculateur!DY79*VLOOKUP('Données projet'!$B$14,Paramètres!$A$1:$I$89,3,0)*0.475*44/12</f>
        <v>5.1307829377901406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38.272694933848882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3.6</v>
      </c>
      <c r="EJ79" s="13">
        <f>IF('Données projet'!$A$192&gt;35,EJ78+EI79-ER78,IF(A79&lt;'Données projet'!$A$192,$EG$205^A79,IF(A79='Données projet'!$A$192,'Données projet'!$B$192,EJ78+EI79-ER78)))</f>
        <v>314.59999999999962</v>
      </c>
      <c r="EK79" s="18">
        <f>EJ79*VLOOKUP('Données projet'!$B$15,Paramètres!$A$1:$I$89,3,0)*VLOOKUP('Données projet'!$B$15,Paramètres!$A$1:$I$89,5,0)</f>
        <v>255.20351999999971</v>
      </c>
      <c r="EL79" s="14">
        <f t="shared" si="99"/>
        <v>61.698856899024442</v>
      </c>
      <c r="EM79" s="22">
        <f t="shared" si="73"/>
        <v>551.93830643246702</v>
      </c>
      <c r="EN79" s="62">
        <f t="shared" si="74"/>
        <v>845.27163976580027</v>
      </c>
      <c r="EO79" s="62">
        <f ca="1">AVERAGE(OFFSET($EN$3,0,0,'Données projet'!$E$15+1,1))-AVERAGE(OFFSET($H$3,0,0,'Données projet'!$E$15+1,1))</f>
        <v>358.75637627589799</v>
      </c>
      <c r="EP79" s="62">
        <f t="shared" si="100"/>
        <v>349.64821164483607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3.8874413461216766</v>
      </c>
      <c r="EW79" s="23">
        <f>EXP(-LN(2)/25)*EW78+(1-EXP(-LN(2)/25))/(LN(2)/25)*Calculateur!ER79*Calculateur!ET79*VLOOKUP('Données projet'!$B$15,Paramètres!$A$1:$I$89,3,0)*0.475*44/12</f>
        <v>4.284223576420505</v>
      </c>
      <c r="EX79" s="23">
        <f>EXP(-LN(2)/2)*EX78+(1-EXP(-LN(2)/2))/(LN(2)/2)*ER79*EU79*VLOOKUP('Données projet'!$B$15,Paramètres!$A$1:$I$89,3,0)*0.475*44/12</f>
        <v>4.3468238945304336E-7</v>
      </c>
      <c r="EY79" s="24">
        <f t="shared" si="75"/>
        <v>8.1716653572245708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>
        <f>FE79*VLOOKUP('Données projet'!$B$16,Paramètres!$A$1:$I$89,3,0)*VLOOKUP('Données projet'!$B$16,Paramètres!$A$1:$I$89,5,0)</f>
        <v>0</v>
      </c>
      <c r="FG79" s="14" t="e">
        <f t="shared" si="101"/>
        <v>#NUM!</v>
      </c>
      <c r="FH79" s="22" t="e">
        <f t="shared" si="76"/>
        <v>#NUM!</v>
      </c>
      <c r="FI79" s="62" t="e">
        <f t="shared" si="77"/>
        <v>#NUM!</v>
      </c>
      <c r="FJ79" s="62">
        <f ca="1">AVERAGE(OFFSET($FI$3,0,0,'Données projet'!$E$16+1,1))-AVERAGE(OFFSET($H$3,0,0,'Données projet'!$E$16+1,1))</f>
        <v>121.28977654040114</v>
      </c>
      <c r="FK79" s="62">
        <f t="shared" si="102"/>
        <v>615.69585264342595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44.653388431664531</v>
      </c>
      <c r="FR79" s="23">
        <f>EXP(-LN(2)/25)*FR78+(1-EXP(-LN(2)/25))/(LN(2)/25)*Calculateur!FM79*Calculateur!FO79*VLOOKUP('Données projet'!$B$16,Paramètres!$A$1:$I$89,3,0)*0.475*44/12</f>
        <v>6.9129036220645821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51.566292053729114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3.6</v>
      </c>
      <c r="N80" s="14">
        <f>IF('Données projet'!$A$36&gt;35,N79+M80-V79,IF(A80&lt;'Données projet'!$A$36,$K$205^A80,IF(A80='Données projet'!$A$36,'Données projet'!$B$36,N79+M80-V79)))</f>
        <v>318.19999999999965</v>
      </c>
      <c r="O80" s="14">
        <f>N80*VLOOKUP('Données projet'!$B$9,Paramètres!$A$1:$I$89,3,0)*VLOOKUP('Données projet'!$B$9,Paramètres!$A$1:$I$89,5,0)</f>
        <v>253.15991999999972</v>
      </c>
      <c r="P80" s="14">
        <f t="shared" si="87"/>
        <v>61.262094724147147</v>
      </c>
      <c r="Q80" s="22">
        <f t="shared" si="54"/>
        <v>547.61834231122236</v>
      </c>
      <c r="R80" s="62">
        <f t="shared" si="55"/>
        <v>840.95167564455573</v>
      </c>
      <c r="S80" s="62">
        <f ca="1">AVERAGE(OFFSET($R$3,0,0,'Données projet'!$E$9+1,1))-AVERAGE(OFFSET($H$3,0,0,'Données projet'!$E$9+1,1))</f>
        <v>352.5736659365665</v>
      </c>
      <c r="T80" s="62">
        <f t="shared" si="88"/>
        <v>343.77208530767069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5.3146648613231928</v>
      </c>
      <c r="AA80" s="23">
        <f>EXP(-LN(2)/25)*AA79+(1-EXP(-LN(2)/25))/(LN(2)/25)*Calculateur!V80*Calculateur!X80*VLOOKUP('Données projet'!$B$9,Paramètres!$A$1:$I$89,3,0)*0.475*44/12</f>
        <v>6.4442494573897662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11.758914318712959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</v>
      </c>
      <c r="AI80" s="14">
        <f>IF('Données projet'!$A$62&gt;35,AI79+AH80-AQ79,IF(A80&lt;'Données projet'!$A$62,$AF$205^A80,IF(A80='Données projet'!$A$62,'Données projet'!$B$62,AI79+AH80-AQ79)))</f>
        <v>184.00000000000003</v>
      </c>
      <c r="AJ80" s="14">
        <f>AI80*VLOOKUP('Données projet'!$B$10,Paramètres!$A$1:$I$89,3,0)*VLOOKUP('Données projet'!$B$10,Paramètres!$A$1:$I$89,5,0)</f>
        <v>120.55680000000002</v>
      </c>
      <c r="AK80" s="14">
        <f t="shared" si="89"/>
        <v>31.804828741198779</v>
      </c>
      <c r="AL80" s="22">
        <f t="shared" si="58"/>
        <v>265.36317005758792</v>
      </c>
      <c r="AM80" s="62">
        <f t="shared" si="59"/>
        <v>558.69650339092118</v>
      </c>
      <c r="AN80" s="62">
        <f ca="1">AVERAGE(OFFSET($AM$3,0,0,'Données projet'!$E$10+1,1))-AVERAGE(OFFSET($H$3,0,0,'Données projet'!$E$10+1,1))</f>
        <v>210.08998695869161</v>
      </c>
      <c r="AO80" s="62">
        <f t="shared" si="90"/>
        <v>207.30911916430881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1.557051482774226E-8</v>
      </c>
      <c r="AX80" s="23">
        <f t="shared" si="60"/>
        <v>1.557051482774226E-8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200.16672000000003</v>
      </c>
      <c r="BF80" s="14">
        <f t="shared" si="91"/>
        <v>49.780805958212774</v>
      </c>
      <c r="BG80" s="22">
        <f t="shared" si="61"/>
        <v>435.32527437722064</v>
      </c>
      <c r="BH80" s="62">
        <f t="shared" si="62"/>
        <v>728.65860771055395</v>
      </c>
      <c r="BI80" s="62">
        <f ca="1">AVERAGE(OFFSET($BH$3,0,0,'Données projet'!$E$11+1,1))-AVERAGE(OFFSET($H$3,0,0,'Données projet'!$E$11+1,1))</f>
        <v>335.83558218229564</v>
      </c>
      <c r="BJ80" s="62">
        <f t="shared" si="92"/>
        <v>217.08423061559648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1.7679048208393145E-6</v>
      </c>
      <c r="BS80" s="24">
        <f t="shared" si="63"/>
        <v>1.7679048208393145E-6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5.6843418860808015E-14</v>
      </c>
      <c r="BZ80" s="14">
        <f>BY80*VLOOKUP('Données projet'!$B$12,Paramètres!$A$1:$I$89,3,0)*VLOOKUP('Données projet'!$B$12,Paramètres!$A$1:$I$89,5,0)</f>
        <v>4.4337866711430253E-14</v>
      </c>
      <c r="CA80" s="14">
        <f t="shared" si="93"/>
        <v>7.3222115536967035E-13</v>
      </c>
      <c r="CB80" s="22">
        <f t="shared" si="64"/>
        <v>1.3525069634579169E-12</v>
      </c>
      <c r="CC80" s="62">
        <f t="shared" si="65"/>
        <v>293.33333333333468</v>
      </c>
      <c r="CD80" s="62">
        <f ca="1">AVERAGE(OFFSET($CC$3,0,0,'Données projet'!$E$12+1,1))-AVERAGE(OFFSET($H$3,0,0,'Données projet'!$E$12+1,1))</f>
        <v>288.82868507674738</v>
      </c>
      <c r="CE80" s="62">
        <f t="shared" si="94"/>
        <v>283.48738729114024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1.3235670845820025</v>
      </c>
      <c r="CM80" s="23">
        <f>EXP(-LN(2)/2)*CM79+(1-EXP(-LN(2)/2))/(LN(2)/2)*CG80*CJ80*VLOOKUP('Données projet'!$B$12,Paramètres!$A$1:$I$89,3,0)*0.475*44/12</f>
        <v>2.1745832545797857E-7</v>
      </c>
      <c r="CN80" s="24">
        <f t="shared" si="66"/>
        <v>1.323567302040328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3.6</v>
      </c>
      <c r="CT80" s="13">
        <f>IF('Données projet'!$A$140&gt;35,CT79+CS80-DB79,IF(A80&lt;'Données projet'!$A$140,$CQ$205^A80,IF(A80='Données projet'!$A$140,'Données projet'!$B$140,CT79+CS80-DB79)))</f>
        <v>318.19999999999965</v>
      </c>
      <c r="CU80" s="18">
        <f>CT80*VLOOKUP('Données projet'!$B$13,Paramètres!$A$1:$I$89,3,0)*VLOOKUP('Données projet'!$B$13,Paramètres!$A$1:$I$89,5,0)</f>
        <v>277.9795199999997</v>
      </c>
      <c r="CV80" s="14">
        <f t="shared" si="95"/>
        <v>66.539843570185354</v>
      </c>
      <c r="CW80" s="22">
        <f t="shared" si="67"/>
        <v>600.03789155140566</v>
      </c>
      <c r="CX80" s="62">
        <f t="shared" si="68"/>
        <v>893.37122488473892</v>
      </c>
      <c r="CY80" s="62">
        <f ca="1">AVERAGE(OFFSET($CX$3,0,0,'Données projet'!$E$13+1,1))-AVERAGE(OFFSET($H$3,0,0,'Données projet'!$E$13+1,1))</f>
        <v>383.46266660377637</v>
      </c>
      <c r="CZ80" s="62">
        <f t="shared" si="96"/>
        <v>373.1287543230714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4.3621035441215605</v>
      </c>
      <c r="DH80" s="23">
        <f>EXP(-LN(2)/2)*DH79+(1-EXP(-LN(2)/2))/(LN(2)/2)*DB80*DE80*VLOOKUP('Données projet'!$B$13,Paramètres!$A$1:$I$89,3,0)*0.475*44/12</f>
        <v>1.7900978972719636E-6</v>
      </c>
      <c r="DI80" s="24">
        <f t="shared" si="69"/>
        <v>4.362105334219458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>
        <f>DO80*VLOOKUP('Données projet'!$B$14,Paramètres!$A$1:$I$89,3,0)*VLOOKUP('Données projet'!$B$14,Paramètres!$A$1:$I$89,5,0)</f>
        <v>0</v>
      </c>
      <c r="DQ80" s="14" t="e">
        <f t="shared" si="97"/>
        <v>#NUM!</v>
      </c>
      <c r="DR80" s="22" t="e">
        <f t="shared" si="70"/>
        <v>#NUM!</v>
      </c>
      <c r="DS80" s="62" t="e">
        <f t="shared" si="71"/>
        <v>#NUM!</v>
      </c>
      <c r="DT80" s="62">
        <f ca="1">AVERAGE(OFFSET($DS$3,0,0,'Données projet'!$E$14+1,1))-AVERAGE(OFFSET($H$3,0,0,'Données projet'!$E$14+1,1))</f>
        <v>96.56611521638132</v>
      </c>
      <c r="DU80" s="62">
        <f t="shared" si="98"/>
        <v>465.03257878814094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32.492019316386319</v>
      </c>
      <c r="EB80" s="23">
        <f>EXP(-LN(2)/25)*EB79+(1-EXP(-LN(2)/25))/(LN(2)/25)*Calculateur!DW80*Calculateur!DY80*VLOOKUP('Données projet'!$B$14,Paramètres!$A$1:$I$89,3,0)*0.475*44/12</f>
        <v>4.9904814085401208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37.482500724926439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3.6</v>
      </c>
      <c r="EJ80" s="13">
        <f>IF('Données projet'!$A$192&gt;35,EJ79+EI80-ER79,IF(A80&lt;'Données projet'!$A$192,$EG$205^A80,IF(A80='Données projet'!$A$192,'Données projet'!$B$192,EJ79+EI80-ER79)))</f>
        <v>318.19999999999965</v>
      </c>
      <c r="EK80" s="18">
        <f>EJ80*VLOOKUP('Données projet'!$B$15,Paramètres!$A$1:$I$89,3,0)*VLOOKUP('Données projet'!$B$15,Paramètres!$A$1:$I$89,5,0)</f>
        <v>258.12383999999975</v>
      </c>
      <c r="EL80" s="14">
        <f t="shared" si="99"/>
        <v>62.322288053252066</v>
      </c>
      <c r="EM80" s="22">
        <f t="shared" si="73"/>
        <v>558.11033969274683</v>
      </c>
      <c r="EN80" s="62">
        <f t="shared" si="74"/>
        <v>851.44367302608021</v>
      </c>
      <c r="EO80" s="62">
        <f ca="1">AVERAGE(OFFSET($EN$3,0,0,'Données projet'!$E$15+1,1))-AVERAGE(OFFSET($H$3,0,0,'Données projet'!$E$15+1,1))</f>
        <v>358.75637627589799</v>
      </c>
      <c r="EP80" s="62">
        <f t="shared" si="100"/>
        <v>349.64821164483607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3.8112109924293245</v>
      </c>
      <c r="EW80" s="23">
        <f>EXP(-LN(2)/25)*EW79+(1-EXP(-LN(2)/25))/(LN(2)/25)*Calculateur!ER80*Calculateur!ET80*VLOOKUP('Données projet'!$B$15,Paramètres!$A$1:$I$89,3,0)*0.475*44/12</f>
        <v>4.1670712574257598</v>
      </c>
      <c r="EX80" s="23">
        <f>EXP(-LN(2)/2)*EX79+(1-EXP(-LN(2)/2))/(LN(2)/2)*ER80*EU80*VLOOKUP('Données projet'!$B$15,Paramètres!$A$1:$I$89,3,0)*0.475*44/12</f>
        <v>3.0736686524461876E-7</v>
      </c>
      <c r="EY80" s="24">
        <f t="shared" si="75"/>
        <v>7.9782825572219496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>
        <f>FE80*VLOOKUP('Données projet'!$B$16,Paramètres!$A$1:$I$89,3,0)*VLOOKUP('Données projet'!$B$16,Paramètres!$A$1:$I$89,5,0)</f>
        <v>0</v>
      </c>
      <c r="FG80" s="14" t="e">
        <f t="shared" si="101"/>
        <v>#NUM!</v>
      </c>
      <c r="FH80" s="22" t="e">
        <f t="shared" si="76"/>
        <v>#NUM!</v>
      </c>
      <c r="FI80" s="62" t="e">
        <f t="shared" si="77"/>
        <v>#NUM!</v>
      </c>
      <c r="FJ80" s="62">
        <f ca="1">AVERAGE(OFFSET($FI$3,0,0,'Données projet'!$E$16+1,1))-AVERAGE(OFFSET($H$3,0,0,'Données projet'!$E$16+1,1))</f>
        <v>121.28977654040114</v>
      </c>
      <c r="FK80" s="62">
        <f t="shared" si="102"/>
        <v>615.69585264342595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43.777762720397213</v>
      </c>
      <c r="FR80" s="23">
        <f>EXP(-LN(2)/25)*FR79+(1-EXP(-LN(2)/25))/(LN(2)/25)*Calculateur!FM80*Calculateur!FO80*VLOOKUP('Données projet'!$B$16,Paramètres!$A$1:$I$89,3,0)*0.475*44/12</f>
        <v>6.7238699089854244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50.501632629382641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3.6</v>
      </c>
      <c r="N81" s="14">
        <f>IF('Données projet'!$A$36&gt;35,N80+M81-V80,IF(A81&lt;'Données projet'!$A$36,$K$205^A81,IF(A81='Données projet'!$A$36,'Données projet'!$B$36,N80+M81-V80)))</f>
        <v>321.79999999999967</v>
      </c>
      <c r="O81" s="14">
        <f>N81*VLOOKUP('Données projet'!$B$9,Paramètres!$A$1:$I$89,3,0)*VLOOKUP('Données projet'!$B$9,Paramètres!$A$1:$I$89,5,0)</f>
        <v>256.02407999999974</v>
      </c>
      <c r="P81" s="14">
        <f t="shared" si="87"/>
        <v>61.874113880213791</v>
      </c>
      <c r="Q81" s="22">
        <f t="shared" si="54"/>
        <v>553.67268767470523</v>
      </c>
      <c r="R81" s="62">
        <f t="shared" si="55"/>
        <v>847.00602100803849</v>
      </c>
      <c r="S81" s="62">
        <f ca="1">AVERAGE(OFFSET($R$3,0,0,'Données projet'!$E$9+1,1))-AVERAGE(OFFSET($H$3,0,0,'Données projet'!$E$9+1,1))</f>
        <v>352.5736659365665</v>
      </c>
      <c r="T81" s="62">
        <f t="shared" si="88"/>
        <v>343.77208530767069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5.2104475250181261</v>
      </c>
      <c r="AA81" s="23">
        <f>EXP(-LN(2)/25)*AA80+(1-EXP(-LN(2)/25))/(LN(2)/25)*Calculateur!V81*Calculateur!X81*VLOOKUP('Données projet'!$B$9,Paramètres!$A$1:$I$89,3,0)*0.475*44/12</f>
        <v>6.2680311170890928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11.47847864210722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</v>
      </c>
      <c r="AI81" s="14">
        <f>IF('Données projet'!$A$62&gt;35,AI80+AH81-AQ80,IF(A81&lt;'Données projet'!$A$62,$AF$205^A81,IF(A81='Données projet'!$A$62,'Données projet'!$B$62,AI80+AH81-AQ80)))</f>
        <v>188.00000000000003</v>
      </c>
      <c r="AJ81" s="14">
        <f>AI81*VLOOKUP('Données projet'!$B$10,Paramètres!$A$1:$I$89,3,0)*VLOOKUP('Données projet'!$B$10,Paramètres!$A$1:$I$89,5,0)</f>
        <v>123.17760000000001</v>
      </c>
      <c r="AK81" s="14">
        <f t="shared" si="89"/>
        <v>32.414991240570416</v>
      </c>
      <c r="AL81" s="22">
        <f t="shared" si="58"/>
        <v>270.99042974399345</v>
      </c>
      <c r="AM81" s="62">
        <f t="shared" si="59"/>
        <v>564.3237630773267</v>
      </c>
      <c r="AN81" s="62">
        <f ca="1">AVERAGE(OFFSET($AM$3,0,0,'Données projet'!$E$10+1,1))-AVERAGE(OFFSET($H$3,0,0,'Données projet'!$E$10+1,1))</f>
        <v>210.08998695869161</v>
      </c>
      <c r="AO81" s="62">
        <f t="shared" si="90"/>
        <v>207.30911916430881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1.101001662126224E-8</v>
      </c>
      <c r="AX81" s="23">
        <f t="shared" si="60"/>
        <v>1.101001662126224E-8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204.99648000000002</v>
      </c>
      <c r="BF81" s="14">
        <f t="shared" si="91"/>
        <v>50.840660876335356</v>
      </c>
      <c r="BG81" s="22">
        <f t="shared" si="61"/>
        <v>445.58302035961742</v>
      </c>
      <c r="BH81" s="62">
        <f t="shared" si="62"/>
        <v>738.91635369295068</v>
      </c>
      <c r="BI81" s="62">
        <f ca="1">AVERAGE(OFFSET($BH$3,0,0,'Données projet'!$E$11+1,1))-AVERAGE(OFFSET($H$3,0,0,'Données projet'!$E$11+1,1))</f>
        <v>335.83558218229564</v>
      </c>
      <c r="BJ81" s="62">
        <f t="shared" si="92"/>
        <v>217.08423061559648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1.2500974873078677E-6</v>
      </c>
      <c r="BS81" s="24">
        <f t="shared" si="63"/>
        <v>1.2500974873078677E-6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5.6843418860808015E-14</v>
      </c>
      <c r="BZ81" s="14">
        <f>BY81*VLOOKUP('Données projet'!$B$12,Paramètres!$A$1:$I$89,3,0)*VLOOKUP('Données projet'!$B$12,Paramètres!$A$1:$I$89,5,0)</f>
        <v>4.4337866711430253E-14</v>
      </c>
      <c r="CA81" s="14">
        <f t="shared" si="93"/>
        <v>7.3222115536967035E-13</v>
      </c>
      <c r="CB81" s="22">
        <f t="shared" si="64"/>
        <v>1.3525069634579169E-12</v>
      </c>
      <c r="CC81" s="62">
        <f t="shared" si="65"/>
        <v>293.33333333333468</v>
      </c>
      <c r="CD81" s="62">
        <f ca="1">AVERAGE(OFFSET($CC$3,0,0,'Données projet'!$E$12+1,1))-AVERAGE(OFFSET($H$3,0,0,'Données projet'!$E$12+1,1))</f>
        <v>288.82868507674738</v>
      </c>
      <c r="CE81" s="62">
        <f t="shared" si="94"/>
        <v>283.48738729114024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1.2873740730507397</v>
      </c>
      <c r="CM81" s="23">
        <f>EXP(-LN(2)/2)*CM80+(1-EXP(-LN(2)/2))/(LN(2)/2)*CG81*CJ81*VLOOKUP('Données projet'!$B$12,Paramètres!$A$1:$I$89,3,0)*0.475*44/12</f>
        <v>1.5376625655680789E-7</v>
      </c>
      <c r="CN81" s="24">
        <f t="shared" si="66"/>
        <v>1.2873742268169963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3.6</v>
      </c>
      <c r="CT81" s="13">
        <f>IF('Données projet'!$A$140&gt;35,CT80+CS81-DB80,IF(A81&lt;'Données projet'!$A$140,$CQ$205^A81,IF(A81='Données projet'!$A$140,'Données projet'!$B$140,CT80+CS81-DB80)))</f>
        <v>321.79999999999967</v>
      </c>
      <c r="CU81" s="18">
        <f>CT81*VLOOKUP('Données projet'!$B$13,Paramètres!$A$1:$I$89,3,0)*VLOOKUP('Données projet'!$B$13,Paramètres!$A$1:$I$89,5,0)</f>
        <v>281.12447999999972</v>
      </c>
      <c r="CV81" s="14">
        <f t="shared" si="95"/>
        <v>67.204588370212235</v>
      </c>
      <c r="CW81" s="22">
        <f t="shared" si="67"/>
        <v>606.67312741145247</v>
      </c>
      <c r="CX81" s="62">
        <f t="shared" si="68"/>
        <v>900.00646074478573</v>
      </c>
      <c r="CY81" s="62">
        <f ca="1">AVERAGE(OFFSET($CX$3,0,0,'Données projet'!$E$13+1,1))-AVERAGE(OFFSET($H$3,0,0,'Données projet'!$E$13+1,1))</f>
        <v>383.46266660377637</v>
      </c>
      <c r="CZ81" s="62">
        <f t="shared" si="96"/>
        <v>373.1287543230714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4.2428215933145008</v>
      </c>
      <c r="DH81" s="23">
        <f>EXP(-LN(2)/2)*DH80+(1-EXP(-LN(2)/2))/(LN(2)/2)*DB81*DE81*VLOOKUP('Données projet'!$B$13,Paramètres!$A$1:$I$89,3,0)*0.475*44/12</f>
        <v>1.2657903621487851E-6</v>
      </c>
      <c r="DI81" s="24">
        <f t="shared" si="69"/>
        <v>4.2428228591048631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>
        <f>DO81*VLOOKUP('Données projet'!$B$14,Paramètres!$A$1:$I$89,3,0)*VLOOKUP('Données projet'!$B$14,Paramètres!$A$1:$I$89,5,0)</f>
        <v>0</v>
      </c>
      <c r="DQ81" s="14" t="e">
        <f t="shared" si="97"/>
        <v>#NUM!</v>
      </c>
      <c r="DR81" s="22" t="e">
        <f t="shared" si="70"/>
        <v>#NUM!</v>
      </c>
      <c r="DS81" s="62" t="e">
        <f t="shared" si="71"/>
        <v>#NUM!</v>
      </c>
      <c r="DT81" s="62">
        <f ca="1">AVERAGE(OFFSET($DS$3,0,0,'Données projet'!$E$14+1,1))-AVERAGE(OFFSET($H$3,0,0,'Données projet'!$E$14+1,1))</f>
        <v>96.56611521638132</v>
      </c>
      <c r="DU81" s="62">
        <f t="shared" si="98"/>
        <v>465.03257878814094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31.854870635766883</v>
      </c>
      <c r="EB81" s="23">
        <f>EXP(-LN(2)/25)*EB80+(1-EXP(-LN(2)/25))/(LN(2)/25)*Calculateur!DW81*Calculateur!DY81*VLOOKUP('Données projet'!$B$14,Paramètres!$A$1:$I$89,3,0)*0.475*44/12</f>
        <v>4.8540164319855794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36.708887067752464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3.6</v>
      </c>
      <c r="EJ81" s="13">
        <f>IF('Données projet'!$A$192&gt;35,EJ80+EI81-ER80,IF(A81&lt;'Données projet'!$A$192,$EG$205^A81,IF(A81='Données projet'!$A$192,'Données projet'!$B$192,EJ80+EI81-ER80)))</f>
        <v>321.79999999999967</v>
      </c>
      <c r="EK81" s="18">
        <f>EJ81*VLOOKUP('Données projet'!$B$15,Paramètres!$A$1:$I$89,3,0)*VLOOKUP('Données projet'!$B$15,Paramètres!$A$1:$I$89,5,0)</f>
        <v>261.04415999999975</v>
      </c>
      <c r="EL81" s="14">
        <f t="shared" si="99"/>
        <v>62.944898728095069</v>
      </c>
      <c r="EM81" s="22">
        <f t="shared" si="73"/>
        <v>564.28094395143182</v>
      </c>
      <c r="EN81" s="62">
        <f t="shared" si="74"/>
        <v>857.61427728476519</v>
      </c>
      <c r="EO81" s="62">
        <f ca="1">AVERAGE(OFFSET($EN$3,0,0,'Données projet'!$E$15+1,1))-AVERAGE(OFFSET($H$3,0,0,'Données projet'!$E$15+1,1))</f>
        <v>358.75637627589799</v>
      </c>
      <c r="EP81" s="62">
        <f t="shared" si="100"/>
        <v>349.64821164483607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3.7364754694769546</v>
      </c>
      <c r="EW81" s="23">
        <f>EXP(-LN(2)/25)*EW80+(1-EXP(-LN(2)/25))/(LN(2)/25)*Calculateur!ER81*Calculateur!ET81*VLOOKUP('Données projet'!$B$15,Paramètres!$A$1:$I$89,3,0)*0.475*44/12</f>
        <v>4.0531224747546988</v>
      </c>
      <c r="EX81" s="23">
        <f>EXP(-LN(2)/2)*EX80+(1-EXP(-LN(2)/2))/(LN(2)/2)*ER81*EU81*VLOOKUP('Données projet'!$B$15,Paramètres!$A$1:$I$89,3,0)*0.475*44/12</f>
        <v>2.1734119472652168E-7</v>
      </c>
      <c r="EY81" s="24">
        <f t="shared" si="75"/>
        <v>7.7895981615728482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>
        <f>FE81*VLOOKUP('Données projet'!$B$16,Paramètres!$A$1:$I$89,3,0)*VLOOKUP('Données projet'!$B$16,Paramètres!$A$1:$I$89,5,0)</f>
        <v>0</v>
      </c>
      <c r="FG81" s="14" t="e">
        <f t="shared" si="101"/>
        <v>#NUM!</v>
      </c>
      <c r="FH81" s="22" t="e">
        <f t="shared" si="76"/>
        <v>#NUM!</v>
      </c>
      <c r="FI81" s="62" t="e">
        <f t="shared" si="77"/>
        <v>#NUM!</v>
      </c>
      <c r="FJ81" s="62">
        <f ca="1">AVERAGE(OFFSET($FI$3,0,0,'Données projet'!$E$16+1,1))-AVERAGE(OFFSET($H$3,0,0,'Données projet'!$E$16+1,1))</f>
        <v>121.28977654040114</v>
      </c>
      <c r="FK81" s="62">
        <f t="shared" si="102"/>
        <v>615.69585264342595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42.919307495248901</v>
      </c>
      <c r="FR81" s="23">
        <f>EXP(-LN(2)/25)*FR80+(1-EXP(-LN(2)/25))/(LN(2)/25)*Calculateur!FM81*Calculateur!FO81*VLOOKUP('Données projet'!$B$16,Paramètres!$A$1:$I$89,3,0)*0.475*44/12</f>
        <v>6.5400053327312673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49.45931282798017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3.6</v>
      </c>
      <c r="N82" s="14">
        <f>IF('Données projet'!$A$36&gt;35,N81+M82-V81,IF(A82&lt;'Données projet'!$A$36,$K$205^A82,IF(A82='Données projet'!$A$36,'Données projet'!$B$36,N81+M82-V81)))</f>
        <v>325.39999999999969</v>
      </c>
      <c r="O82" s="14">
        <f>N82*VLOOKUP('Données projet'!$B$9,Paramètres!$A$1:$I$89,3,0)*VLOOKUP('Données projet'!$B$9,Paramètres!$A$1:$I$89,5,0)</f>
        <v>258.88823999999977</v>
      </c>
      <c r="P82" s="14">
        <f t="shared" si="87"/>
        <v>62.485336581168717</v>
      </c>
      <c r="Q82" s="22">
        <f t="shared" si="54"/>
        <v>559.72564587886836</v>
      </c>
      <c r="R82" s="62">
        <f t="shared" si="55"/>
        <v>853.05897921220162</v>
      </c>
      <c r="S82" s="62">
        <f ca="1">AVERAGE(OFFSET($R$3,0,0,'Données projet'!$E$9+1,1))-AVERAGE(OFFSET($H$3,0,0,'Données projet'!$E$9+1,1))</f>
        <v>352.5736659365665</v>
      </c>
      <c r="T82" s="62">
        <f t="shared" si="88"/>
        <v>343.77208530767069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5.1082738271117041</v>
      </c>
      <c r="AA82" s="23">
        <f>EXP(-LN(2)/25)*AA81+(1-EXP(-LN(2)/25))/(LN(2)/25)*Calculateur!V82*Calculateur!X82*VLOOKUP('Données projet'!$B$9,Paramètres!$A$1:$I$89,3,0)*0.475*44/12</f>
        <v>6.0966314765708605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11.204905303682565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</v>
      </c>
      <c r="AI82" s="14">
        <f>IF('Données projet'!$A$62&gt;35,AI81+AH82-AQ81,IF(A82&lt;'Données projet'!$A$62,$AF$205^A82,IF(A82='Données projet'!$A$62,'Données projet'!$B$62,AI81+AH82-AQ81)))</f>
        <v>192.00000000000003</v>
      </c>
      <c r="AJ82" s="14">
        <f>AI82*VLOOKUP('Données projet'!$B$10,Paramètres!$A$1:$I$89,3,0)*VLOOKUP('Données projet'!$B$10,Paramètres!$A$1:$I$89,5,0)</f>
        <v>125.79840000000003</v>
      </c>
      <c r="AK82" s="14">
        <f t="shared" si="89"/>
        <v>33.023644363399953</v>
      </c>
      <c r="AL82" s="22">
        <f t="shared" si="58"/>
        <v>276.61506059958828</v>
      </c>
      <c r="AM82" s="62">
        <f t="shared" si="59"/>
        <v>569.94839393292159</v>
      </c>
      <c r="AN82" s="62">
        <f ca="1">AVERAGE(OFFSET($AM$3,0,0,'Données projet'!$E$10+1,1))-AVERAGE(OFFSET($H$3,0,0,'Données projet'!$E$10+1,1))</f>
        <v>210.08998695869161</v>
      </c>
      <c r="AO82" s="62">
        <f t="shared" si="90"/>
        <v>207.30911916430881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7.7852574138711299E-9</v>
      </c>
      <c r="AX82" s="23">
        <f t="shared" si="60"/>
        <v>7.7852574138711299E-9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209.82623999999998</v>
      </c>
      <c r="BF82" s="14">
        <f t="shared" si="91"/>
        <v>51.897612937458547</v>
      </c>
      <c r="BG82" s="22">
        <f t="shared" si="61"/>
        <v>455.83571053274028</v>
      </c>
      <c r="BH82" s="62">
        <f t="shared" si="62"/>
        <v>749.16904386607359</v>
      </c>
      <c r="BI82" s="62">
        <f ca="1">AVERAGE(OFFSET($BH$3,0,0,'Données projet'!$E$11+1,1))-AVERAGE(OFFSET($H$3,0,0,'Données projet'!$E$11+1,1))</f>
        <v>335.83558218229564</v>
      </c>
      <c r="BJ82" s="62">
        <f t="shared" si="92"/>
        <v>217.08423061559648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8.8395241041965726E-7</v>
      </c>
      <c r="BS82" s="24">
        <f t="shared" si="63"/>
        <v>8.8395241041965726E-7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5.6843418860808015E-14</v>
      </c>
      <c r="BZ82" s="14">
        <f>BY82*VLOOKUP('Données projet'!$B$12,Paramètres!$A$1:$I$89,3,0)*VLOOKUP('Données projet'!$B$12,Paramètres!$A$1:$I$89,5,0)</f>
        <v>4.4337866711430253E-14</v>
      </c>
      <c r="CA82" s="14">
        <f t="shared" si="93"/>
        <v>7.3222115536967035E-13</v>
      </c>
      <c r="CB82" s="22">
        <f t="shared" si="64"/>
        <v>1.3525069634579169E-12</v>
      </c>
      <c r="CC82" s="62">
        <f t="shared" si="65"/>
        <v>293.33333333333468</v>
      </c>
      <c r="CD82" s="62">
        <f ca="1">AVERAGE(OFFSET($CC$3,0,0,'Données projet'!$E$12+1,1))-AVERAGE(OFFSET($H$3,0,0,'Données projet'!$E$12+1,1))</f>
        <v>288.82868507674738</v>
      </c>
      <c r="CE82" s="62">
        <f t="shared" si="94"/>
        <v>283.48738729114024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1.252170761323107</v>
      </c>
      <c r="CM82" s="23">
        <f>EXP(-LN(2)/2)*CM81+(1-EXP(-LN(2)/2))/(LN(2)/2)*CG82*CJ82*VLOOKUP('Données projet'!$B$12,Paramètres!$A$1:$I$89,3,0)*0.475*44/12</f>
        <v>1.0872916272898928E-7</v>
      </c>
      <c r="CN82" s="24">
        <f t="shared" si="66"/>
        <v>1.2521708700522698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3.6</v>
      </c>
      <c r="CT82" s="13">
        <f>IF('Données projet'!$A$140&gt;35,CT81+CS82-DB81,IF(A82&lt;'Données projet'!$A$140,$CQ$205^A82,IF(A82='Données projet'!$A$140,'Données projet'!$B$140,CT81+CS82-DB81)))</f>
        <v>325.39999999999969</v>
      </c>
      <c r="CU82" s="18">
        <f>CT82*VLOOKUP('Données projet'!$B$13,Paramètres!$A$1:$I$89,3,0)*VLOOKUP('Données projet'!$B$13,Paramètres!$A$1:$I$89,5,0)</f>
        <v>284.26943999999975</v>
      </c>
      <c r="CV82" s="14">
        <f t="shared" si="95"/>
        <v>67.868468100267506</v>
      </c>
      <c r="CW82" s="22">
        <f t="shared" si="67"/>
        <v>613.30685660796541</v>
      </c>
      <c r="CX82" s="62">
        <f t="shared" si="68"/>
        <v>906.64018994129879</v>
      </c>
      <c r="CY82" s="62">
        <f ca="1">AVERAGE(OFFSET($CX$3,0,0,'Données projet'!$E$13+1,1))-AVERAGE(OFFSET($H$3,0,0,'Données projet'!$E$13+1,1))</f>
        <v>383.46266660377637</v>
      </c>
      <c r="CZ82" s="62">
        <f t="shared" si="96"/>
        <v>373.1287543230714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4.1268014137250253</v>
      </c>
      <c r="DH82" s="23">
        <f>EXP(-LN(2)/2)*DH81+(1-EXP(-LN(2)/2))/(LN(2)/2)*DB82*DE82*VLOOKUP('Données projet'!$B$13,Paramètres!$A$1:$I$89,3,0)*0.475*44/12</f>
        <v>8.9504894863598178E-7</v>
      </c>
      <c r="DI82" s="24">
        <f t="shared" si="69"/>
        <v>4.126802308773974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>
        <f>DO82*VLOOKUP('Données projet'!$B$14,Paramètres!$A$1:$I$89,3,0)*VLOOKUP('Données projet'!$B$14,Paramètres!$A$1:$I$89,5,0)</f>
        <v>0</v>
      </c>
      <c r="DQ82" s="14" t="e">
        <f t="shared" si="97"/>
        <v>#NUM!</v>
      </c>
      <c r="DR82" s="22" t="e">
        <f t="shared" si="70"/>
        <v>#NUM!</v>
      </c>
      <c r="DS82" s="62" t="e">
        <f t="shared" si="71"/>
        <v>#NUM!</v>
      </c>
      <c r="DT82" s="62">
        <f ca="1">AVERAGE(OFFSET($DS$3,0,0,'Données projet'!$E$14+1,1))-AVERAGE(OFFSET($H$3,0,0,'Données projet'!$E$14+1,1))</f>
        <v>96.56611521638132</v>
      </c>
      <c r="DU82" s="62">
        <f t="shared" si="98"/>
        <v>465.03257878814094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31.230216052152073</v>
      </c>
      <c r="EB82" s="23">
        <f>EXP(-LN(2)/25)*EB81+(1-EXP(-LN(2)/25))/(LN(2)/25)*Calculateur!DW82*Calculateur!DY82*VLOOKUP('Données projet'!$B$14,Paramètres!$A$1:$I$89,3,0)*0.475*44/12</f>
        <v>4.7212830973913036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35.95149914954338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3.6</v>
      </c>
      <c r="EJ82" s="13">
        <f>IF('Données projet'!$A$192&gt;35,EJ81+EI82-ER81,IF(A82&lt;'Données projet'!$A$192,$EG$205^A82,IF(A82='Données projet'!$A$192,'Données projet'!$B$192,EJ81+EI82-ER81)))</f>
        <v>325.39999999999969</v>
      </c>
      <c r="EK82" s="18">
        <f>EJ82*VLOOKUP('Données projet'!$B$15,Paramètres!$A$1:$I$89,3,0)*VLOOKUP('Données projet'!$B$15,Paramètres!$A$1:$I$89,5,0)</f>
        <v>263.96447999999981</v>
      </c>
      <c r="EL82" s="14">
        <f t="shared" si="99"/>
        <v>63.566699164484348</v>
      </c>
      <c r="EM82" s="22">
        <f t="shared" si="73"/>
        <v>570.45013704480994</v>
      </c>
      <c r="EN82" s="62">
        <f t="shared" si="74"/>
        <v>863.78347037814319</v>
      </c>
      <c r="EO82" s="62">
        <f ca="1">AVERAGE(OFFSET($EN$3,0,0,'Données projet'!$E$15+1,1))-AVERAGE(OFFSET($H$3,0,0,'Données projet'!$E$15+1,1))</f>
        <v>358.75637627589799</v>
      </c>
      <c r="EP82" s="62">
        <f t="shared" si="100"/>
        <v>349.64821164483607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3.6632054645455128</v>
      </c>
      <c r="EW82" s="23">
        <f>EXP(-LN(2)/25)*EW81+(1-EXP(-LN(2)/25))/(LN(2)/25)*Calculateur!ER82*Calculateur!ET82*VLOOKUP('Données projet'!$B$15,Paramètres!$A$1:$I$89,3,0)*0.475*44/12</f>
        <v>3.9422896275380843</v>
      </c>
      <c r="EX82" s="23">
        <f>EXP(-LN(2)/2)*EX81+(1-EXP(-LN(2)/2))/(LN(2)/2)*ER82*EU82*VLOOKUP('Données projet'!$B$15,Paramètres!$A$1:$I$89,3,0)*0.475*44/12</f>
        <v>1.5368343262230938E-7</v>
      </c>
      <c r="EY82" s="24">
        <f t="shared" si="75"/>
        <v>7.6054952457670293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>
        <f>FE82*VLOOKUP('Données projet'!$B$16,Paramètres!$A$1:$I$89,3,0)*VLOOKUP('Données projet'!$B$16,Paramètres!$A$1:$I$89,5,0)</f>
        <v>0</v>
      </c>
      <c r="FG82" s="14" t="e">
        <f t="shared" si="101"/>
        <v>#NUM!</v>
      </c>
      <c r="FH82" s="22" t="e">
        <f t="shared" si="76"/>
        <v>#NUM!</v>
      </c>
      <c r="FI82" s="62" t="e">
        <f t="shared" si="77"/>
        <v>#NUM!</v>
      </c>
      <c r="FJ82" s="62">
        <f ca="1">AVERAGE(OFFSET($FI$3,0,0,'Données projet'!$E$16+1,1))-AVERAGE(OFFSET($H$3,0,0,'Données projet'!$E$16+1,1))</f>
        <v>121.28977654040114</v>
      </c>
      <c r="FK82" s="62">
        <f t="shared" si="102"/>
        <v>615.69585264342595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42.077686053459757</v>
      </c>
      <c r="FR82" s="23">
        <f>EXP(-LN(2)/25)*FR81+(1-EXP(-LN(2)/25))/(LN(2)/25)*Calculateur!FM82*Calculateur!FO82*VLOOKUP('Données projet'!$B$16,Paramètres!$A$1:$I$89,3,0)*0.475*44/12</f>
        <v>6.3611685429837976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48.438854596443555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329</v>
      </c>
      <c r="L83" s="13">
        <f>VLOOKUP(A83,'Données projet'!$A$35:$I$55,9,0)</f>
        <v>3.6</v>
      </c>
      <c r="M83" s="13">
        <f t="array" ref="M83">INDEX(L:L,MIN(IF(ISNUMBER(L83:L279),ROW(L83:L279),"")))</f>
        <v>3.6</v>
      </c>
      <c r="N83" s="14">
        <f>IF('Données projet'!$A$36&gt;35,N82+M83-V82,IF(A83&lt;'Données projet'!$A$36,$K$205^A83,IF(A83='Données projet'!$A$36,'Données projet'!$B$36,N82+M83-V82)))</f>
        <v>328.99999999999972</v>
      </c>
      <c r="O83" s="14">
        <f>N83*VLOOKUP('Données projet'!$B$9,Paramètres!$A$1:$I$89,3,0)*VLOOKUP('Données projet'!$B$9,Paramètres!$A$1:$I$89,5,0)</f>
        <v>261.7523999999998</v>
      </c>
      <c r="P83" s="14">
        <f t="shared" si="87"/>
        <v>63.095772658160975</v>
      </c>
      <c r="Q83" s="22">
        <f t="shared" si="54"/>
        <v>565.7772340462966</v>
      </c>
      <c r="R83" s="62">
        <f t="shared" si="55"/>
        <v>859.11056737962986</v>
      </c>
      <c r="S83" s="62">
        <f ca="1">AVERAGE(OFFSET($R$3,0,0,'Données projet'!$E$9+1,1))-AVERAGE(OFFSET($H$3,0,0,'Données projet'!$E$9+1,1))</f>
        <v>352.5736659365665</v>
      </c>
      <c r="T83" s="62">
        <f t="shared" si="88"/>
        <v>343.77208530767069</v>
      </c>
      <c r="U83" s="16">
        <f>IF(ISNA(VLOOKUP(A83,'Données projet'!$A$35:$I$55,3,0)),0,VLOOKUP(A83,'Données projet'!$A$35:$I$55,3,0))</f>
        <v>15</v>
      </c>
      <c r="V83" s="16">
        <f>IF(ISNA(VLOOKUP(A83,'Données projet'!$A$35:$I$55,4,0)),0,VLOOKUP(A83,'Données projet'!$A$35:$I$55,4,0))</f>
        <v>11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5.0081036931014244</v>
      </c>
      <c r="AA83" s="23">
        <f>EXP(-LN(2)/25)*AA82+(1-EXP(-LN(2)/25))/(LN(2)/25)*Calculateur!V83*Calculateur!X83*VLOOKUP('Données projet'!$B$9,Paramètres!$A$1:$I$89,3,0)*0.475*44/12</f>
        <v>5.9299187682361154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10.938022461337539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196</v>
      </c>
      <c r="AG83" s="13">
        <f>VLOOKUP(A83,'Données projet'!$A$61:$I$81,9,0)</f>
        <v>4</v>
      </c>
      <c r="AH83" s="13">
        <f t="array" ref="AH83">INDEX(AG:AG,MIN(IF(ISNUMBER(AG83:AG279),ROW(AG83:AG279),"")))</f>
        <v>4</v>
      </c>
      <c r="AI83" s="14">
        <f>IF('Données projet'!$A$62&gt;35,AI82+AH83-AQ82,IF(A83&lt;'Données projet'!$A$62,$AF$205^A83,IF(A83='Données projet'!$A$62,'Données projet'!$B$62,AI82+AH83-AQ82)))</f>
        <v>196.00000000000003</v>
      </c>
      <c r="AJ83" s="14">
        <f>AI83*VLOOKUP('Données projet'!$B$10,Paramètres!$A$1:$I$89,3,0)*VLOOKUP('Données projet'!$B$10,Paramètres!$A$1:$I$89,5,0)</f>
        <v>128.41920000000002</v>
      </c>
      <c r="AK83" s="14">
        <f t="shared" si="89"/>
        <v>33.630823177860762</v>
      </c>
      <c r="AL83" s="22">
        <f t="shared" si="58"/>
        <v>282.23712370144091</v>
      </c>
      <c r="AM83" s="62">
        <f t="shared" si="59"/>
        <v>575.57045703477422</v>
      </c>
      <c r="AN83" s="62">
        <f ca="1">AVERAGE(OFFSET($AM$3,0,0,'Données projet'!$E$10+1,1))-AVERAGE(OFFSET($H$3,0,0,'Données projet'!$E$10+1,1))</f>
        <v>210.08998695869161</v>
      </c>
      <c r="AO83" s="62">
        <f t="shared" si="90"/>
        <v>207.30911916430881</v>
      </c>
      <c r="AP83" s="16">
        <f>IF(ISNA(VLOOKUP(A83,'Données projet'!$A$61:$I$81,3,0)),0,VLOOKUP(A83,'Données projet'!$A$61:$I$81,3,0))</f>
        <v>15</v>
      </c>
      <c r="AQ83" s="16">
        <f>IF(ISNA(VLOOKUP(A83,'Données projet'!$A$61:$I$81,4,0)),0,VLOOKUP(A83,'Données projet'!$A$61:$I$81,4,0))</f>
        <v>15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5.5050083106311201E-9</v>
      </c>
      <c r="AX83" s="23">
        <f t="shared" si="60"/>
        <v>5.5050083106311201E-9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214.65600000000001</v>
      </c>
      <c r="BF83" s="14">
        <f t="shared" si="91"/>
        <v>52.951736650296596</v>
      </c>
      <c r="BG83" s="22">
        <f t="shared" si="61"/>
        <v>466.08347466593324</v>
      </c>
      <c r="BH83" s="62">
        <f t="shared" si="62"/>
        <v>759.41680799926655</v>
      </c>
      <c r="BI83" s="62">
        <f ca="1">AVERAGE(OFFSET($BH$3,0,0,'Données projet'!$E$11+1,1))-AVERAGE(OFFSET($H$3,0,0,'Données projet'!$E$11+1,1))</f>
        <v>335.83558218229564</v>
      </c>
      <c r="BJ83" s="62">
        <f t="shared" si="92"/>
        <v>217.08423061559648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28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6.2504874365393384E-7</v>
      </c>
      <c r="BS83" s="24">
        <f t="shared" si="63"/>
        <v>6.2504874365393384E-7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5.6843418860808015E-14</v>
      </c>
      <c r="BZ83" s="14">
        <f>BY83*VLOOKUP('Données projet'!$B$12,Paramètres!$A$1:$I$89,3,0)*VLOOKUP('Données projet'!$B$12,Paramètres!$A$1:$I$89,5,0)</f>
        <v>4.4337866711430253E-14</v>
      </c>
      <c r="CA83" s="14">
        <f t="shared" si="93"/>
        <v>7.3222115536967035E-13</v>
      </c>
      <c r="CB83" s="22">
        <f t="shared" si="64"/>
        <v>1.3525069634579169E-12</v>
      </c>
      <c r="CC83" s="62">
        <f t="shared" si="65"/>
        <v>293.33333333333468</v>
      </c>
      <c r="CD83" s="62">
        <f ca="1">AVERAGE(OFFSET($CC$3,0,0,'Données projet'!$E$12+1,1))-AVERAGE(OFFSET($H$3,0,0,'Données projet'!$E$12+1,1))</f>
        <v>288.82868507674738</v>
      </c>
      <c r="CE83" s="62">
        <f t="shared" si="94"/>
        <v>283.48738729114024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1.2179300860059281</v>
      </c>
      <c r="CM83" s="23">
        <f>EXP(-LN(2)/2)*CM82+(1-EXP(-LN(2)/2))/(LN(2)/2)*CG83*CJ83*VLOOKUP('Données projet'!$B$12,Paramètres!$A$1:$I$89,3,0)*0.475*44/12</f>
        <v>7.6883128278403943E-8</v>
      </c>
      <c r="CN83" s="24">
        <f t="shared" si="66"/>
        <v>1.2179301628890564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329</v>
      </c>
      <c r="CR83" s="13">
        <f>VLOOKUP(A83,'Données projet'!$A$139:$I$159,9,0)</f>
        <v>3.6</v>
      </c>
      <c r="CS83" s="13">
        <f t="array" ref="CS83">INDEX(CR:CR,MIN(IF(ISNUMBER(CR83:CR279),ROW(CR83:CR279),"")))</f>
        <v>3.6</v>
      </c>
      <c r="CT83" s="13">
        <f>IF('Données projet'!$A$140&gt;35,CT82+CS83-DB82,IF(A83&lt;'Données projet'!$A$140,$CQ$205^A83,IF(A83='Données projet'!$A$140,'Données projet'!$B$140,CT82+CS83-DB82)))</f>
        <v>328.99999999999972</v>
      </c>
      <c r="CU83" s="18">
        <f>CT83*VLOOKUP('Données projet'!$B$13,Paramètres!$A$1:$I$89,3,0)*VLOOKUP('Données projet'!$B$13,Paramètres!$A$1:$I$89,5,0)</f>
        <v>287.41439999999983</v>
      </c>
      <c r="CV83" s="14">
        <f t="shared" si="95"/>
        <v>68.531493438456806</v>
      </c>
      <c r="CW83" s="22">
        <f t="shared" si="67"/>
        <v>619.93909773864539</v>
      </c>
      <c r="CX83" s="62">
        <f t="shared" si="68"/>
        <v>913.27243107197864</v>
      </c>
      <c r="CY83" s="62">
        <f ca="1">AVERAGE(OFFSET($CX$3,0,0,'Données projet'!$E$13+1,1))-AVERAGE(OFFSET($H$3,0,0,'Données projet'!$E$13+1,1))</f>
        <v>383.46266660377637</v>
      </c>
      <c r="CZ83" s="62">
        <f t="shared" si="96"/>
        <v>373.1287543230714</v>
      </c>
      <c r="DA83" s="16">
        <f>IF(ISNA(VLOOKUP(A83,'Données projet'!$A$139:$I$159,3,0)),0,VLOOKUP(A83,'Données projet'!$A$139:$I$159,3,0))</f>
        <v>15</v>
      </c>
      <c r="DB83" s="16">
        <f>IF(ISNA(VLOOKUP(A83,'Données projet'!$A$139:$I$159,4,0)),0,VLOOKUP(A83,'Données projet'!$A$139:$I$159,4,0))</f>
        <v>11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4.0139538120476601</v>
      </c>
      <c r="DH83" s="23">
        <f>EXP(-LN(2)/2)*DH82+(1-EXP(-LN(2)/2))/(LN(2)/2)*DB83*DE83*VLOOKUP('Données projet'!$B$13,Paramètres!$A$1:$I$89,3,0)*0.475*44/12</f>
        <v>6.3289518107439257E-7</v>
      </c>
      <c r="DI83" s="24">
        <f t="shared" si="69"/>
        <v>4.0139544449428408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>
        <f>DO83*VLOOKUP('Données projet'!$B$14,Paramètres!$A$1:$I$89,3,0)*VLOOKUP('Données projet'!$B$14,Paramètres!$A$1:$I$89,5,0)</f>
        <v>0</v>
      </c>
      <c r="DQ83" s="14" t="e">
        <f t="shared" si="97"/>
        <v>#NUM!</v>
      </c>
      <c r="DR83" s="22" t="e">
        <f t="shared" si="70"/>
        <v>#NUM!</v>
      </c>
      <c r="DS83" s="62" t="e">
        <f t="shared" si="71"/>
        <v>#NUM!</v>
      </c>
      <c r="DT83" s="62">
        <f ca="1">AVERAGE(OFFSET($DS$3,0,0,'Données projet'!$E$14+1,1))-AVERAGE(OFFSET($H$3,0,0,'Données projet'!$E$14+1,1))</f>
        <v>96.56611521638132</v>
      </c>
      <c r="DU83" s="62">
        <f t="shared" si="98"/>
        <v>465.03257878814094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30.617810563920276</v>
      </c>
      <c r="EB83" s="23">
        <f>EXP(-LN(2)/25)*EB82+(1-EXP(-LN(2)/25))/(LN(2)/25)*Calculateur!DW83*Calculateur!DY83*VLOOKUP('Données projet'!$B$14,Paramètres!$A$1:$I$89,3,0)*0.475*44/12</f>
        <v>4.5921793628116507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35.209989926731929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329</v>
      </c>
      <c r="EH83" s="13">
        <f>VLOOKUP(A83,'Données projet'!$A$191:$I$211,9,0)</f>
        <v>3.6</v>
      </c>
      <c r="EI83" s="13">
        <f t="array" ref="EI83">INDEX(EH:EH,MIN(IF(ISNUMBER(EH83:EH279),ROW(EH83:EH279),"")))</f>
        <v>3.6</v>
      </c>
      <c r="EJ83" s="13">
        <f>IF('Données projet'!$A$192&gt;35,EJ82+EI83-ER82,IF(A83&lt;'Données projet'!$A$192,$EG$205^A83,IF(A83='Données projet'!$A$192,'Données projet'!$B$192,EJ82+EI83-ER82)))</f>
        <v>328.99999999999972</v>
      </c>
      <c r="EK83" s="18">
        <f>EJ83*VLOOKUP('Données projet'!$B$15,Paramètres!$A$1:$I$89,3,0)*VLOOKUP('Données projet'!$B$15,Paramètres!$A$1:$I$89,5,0)</f>
        <v>266.88479999999981</v>
      </c>
      <c r="EL83" s="14">
        <f t="shared" si="99"/>
        <v>64.187699363705633</v>
      </c>
      <c r="EM83" s="22">
        <f t="shared" si="73"/>
        <v>576.617936391787</v>
      </c>
      <c r="EN83" s="62">
        <f t="shared" si="74"/>
        <v>869.95126972512026</v>
      </c>
      <c r="EO83" s="62">
        <f ca="1">AVERAGE(OFFSET($EN$3,0,0,'Données projet'!$E$15+1,1))-AVERAGE(OFFSET($H$3,0,0,'Données projet'!$E$15+1,1))</f>
        <v>358.75637627589799</v>
      </c>
      <c r="EP83" s="62">
        <f t="shared" si="100"/>
        <v>349.64821164483607</v>
      </c>
      <c r="EQ83" s="16">
        <f>IF(ISNA(VLOOKUP(A83,'Données projet'!$A$191:$I$211,3,0)),0,VLOOKUP(A83,'Données projet'!$A$191:$I$211,3,0))</f>
        <v>15</v>
      </c>
      <c r="ER83" s="16">
        <f>IF(ISNA(VLOOKUP(A83,'Données projet'!$A$191:$I$211,4,0)),0,VLOOKUP(A83,'Données projet'!$A$191:$I$211,4,0))</f>
        <v>11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3.5913722397204864</v>
      </c>
      <c r="EW83" s="23">
        <f>EXP(-LN(2)/25)*EW82+(1-EXP(-LN(2)/25))/(LN(2)/25)*Calculateur!ER83*Calculateur!ET83*VLOOKUP('Données projet'!$B$15,Paramètres!$A$1:$I$89,3,0)*0.475*44/12</f>
        <v>3.8344875103570542</v>
      </c>
      <c r="EX83" s="23">
        <f>EXP(-LN(2)/2)*EX82+(1-EXP(-LN(2)/2))/(LN(2)/2)*ER83*EU83*VLOOKUP('Données projet'!$B$15,Paramètres!$A$1:$I$89,3,0)*0.475*44/12</f>
        <v>1.0867059736326084E-7</v>
      </c>
      <c r="EY83" s="24">
        <f t="shared" si="75"/>
        <v>7.4258598587481375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>
        <f>FE83*VLOOKUP('Données projet'!$B$16,Paramètres!$A$1:$I$89,3,0)*VLOOKUP('Données projet'!$B$16,Paramètres!$A$1:$I$89,5,0)</f>
        <v>0</v>
      </c>
      <c r="FG83" s="14" t="e">
        <f t="shared" si="101"/>
        <v>#NUM!</v>
      </c>
      <c r="FH83" s="22" t="e">
        <f t="shared" si="76"/>
        <v>#NUM!</v>
      </c>
      <c r="FI83" s="62" t="e">
        <f t="shared" si="77"/>
        <v>#NUM!</v>
      </c>
      <c r="FJ83" s="62">
        <f ca="1">AVERAGE(OFFSET($FI$3,0,0,'Données projet'!$E$16+1,1))-AVERAGE(OFFSET($H$3,0,0,'Données projet'!$E$16+1,1))</f>
        <v>121.28977654040114</v>
      </c>
      <c r="FK83" s="62">
        <f t="shared" si="102"/>
        <v>615.69585264342595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41.252568294805712</v>
      </c>
      <c r="FR83" s="23">
        <f>EXP(-LN(2)/25)*FR82+(1-EXP(-LN(2)/25))/(LN(2)/25)*Calculateur!FM83*Calculateur!FO83*VLOOKUP('Données projet'!$B$16,Paramètres!$A$1:$I$89,3,0)*0.475*44/12</f>
        <v>6.1872220546565906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47.439790349462299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317.99999999999972</v>
      </c>
      <c r="O84" s="14">
        <f>N84*VLOOKUP('Données projet'!$B$9,Paramètres!$A$1:$I$89,3,0)*VLOOKUP('Données projet'!$B$9,Paramètres!$A$1:$I$89,5,0)</f>
        <v>253.0007999999998</v>
      </c>
      <c r="P84" s="14">
        <f t="shared" si="87"/>
        <v>61.228070105968683</v>
      </c>
      <c r="Q84" s="22">
        <f t="shared" si="54"/>
        <v>547.28194876789507</v>
      </c>
      <c r="R84" s="62">
        <f t="shared" si="55"/>
        <v>840.61528210122833</v>
      </c>
      <c r="S84" s="62">
        <f ca="1">AVERAGE(OFFSET($R$3,0,0,'Données projet'!$E$9+1,1))-AVERAGE(OFFSET($H$3,0,0,'Données projet'!$E$9+1,1))</f>
        <v>352.5736659365665</v>
      </c>
      <c r="T84" s="62">
        <f t="shared" si="88"/>
        <v>343.77208530767069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4.9098978343213373</v>
      </c>
      <c r="AA84" s="23">
        <f>EXP(-LN(2)/25)*AA83+(1-EXP(-LN(2)/25))/(LN(2)/25)*Calculateur!V84*Calculateur!X84*VLOOKUP('Données projet'!$B$9,Paramètres!$A$1:$I$89,3,0)*0.475*44/12</f>
        <v>5.7677648276778237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10.677662661999161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3.8</v>
      </c>
      <c r="AI84" s="14">
        <f>IF('Données projet'!$A$62&gt;35,AI83+AH84-AQ83,IF(A84&lt;'Données projet'!$A$62,$AF$205^A84,IF(A84='Données projet'!$A$62,'Données projet'!$B$62,AI83+AH84-AQ83)))</f>
        <v>184.80000000000004</v>
      </c>
      <c r="AJ84" s="14">
        <f>AI84*VLOOKUP('Données projet'!$B$10,Paramètres!$A$1:$I$89,3,0)*VLOOKUP('Données projet'!$B$10,Paramètres!$A$1:$I$89,5,0)</f>
        <v>121.08096000000002</v>
      </c>
      <c r="AK84" s="14">
        <f t="shared" si="89"/>
        <v>31.92698372788707</v>
      </c>
      <c r="AL84" s="22">
        <f t="shared" si="58"/>
        <v>266.48883532606999</v>
      </c>
      <c r="AM84" s="62">
        <f t="shared" si="59"/>
        <v>559.82216865940336</v>
      </c>
      <c r="AN84" s="62">
        <f ca="1">AVERAGE(OFFSET($AM$3,0,0,'Données projet'!$E$10+1,1))-AVERAGE(OFFSET($H$3,0,0,'Données projet'!$E$10+1,1))</f>
        <v>210.08998695869161</v>
      </c>
      <c r="AO84" s="62">
        <f t="shared" si="90"/>
        <v>207.30911916430881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3.8926287069355649E-9</v>
      </c>
      <c r="AX84" s="23">
        <f t="shared" si="60"/>
        <v>3.8926287069355649E-9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6.8</v>
      </c>
      <c r="BD84" s="13">
        <f>IF('Données projet'!$A$88&gt;35,BD83+BC84-BL83,IF(A84&lt;'Données projet'!$A$88,$BA$205^A84,IF(A84='Données projet'!$A$88,'Données projet'!$B$88,BD83+BC84-BL83)))</f>
        <v>298.8</v>
      </c>
      <c r="BE84" s="14">
        <f>BD84*VLOOKUP('Données projet'!$B$11,Paramètres!$A$1:$I$89,3,0)*VLOOKUP('Données projet'!$B$11,Paramètres!$A$1:$I$89,5,0)</f>
        <v>200.43504000000001</v>
      </c>
      <c r="BF84" s="14">
        <f t="shared" si="91"/>
        <v>49.83976425608784</v>
      </c>
      <c r="BG84" s="22">
        <f t="shared" si="61"/>
        <v>435.89528407935296</v>
      </c>
      <c r="BH84" s="62">
        <f t="shared" si="62"/>
        <v>729.22861741268628</v>
      </c>
      <c r="BI84" s="62">
        <f ca="1">AVERAGE(OFFSET($BH$3,0,0,'Données projet'!$E$11+1,1))-AVERAGE(OFFSET($H$3,0,0,'Données projet'!$E$11+1,1))</f>
        <v>335.83558218229564</v>
      </c>
      <c r="BJ84" s="62">
        <f t="shared" si="92"/>
        <v>217.08423061559648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4.4197620520982863E-7</v>
      </c>
      <c r="BS84" s="24">
        <f t="shared" si="63"/>
        <v>4.4197620520982863E-7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5.6843418860808015E-14</v>
      </c>
      <c r="BZ84" s="14">
        <f>BY84*VLOOKUP('Données projet'!$B$12,Paramètres!$A$1:$I$89,3,0)*VLOOKUP('Données projet'!$B$12,Paramètres!$A$1:$I$89,5,0)</f>
        <v>4.4337866711430253E-14</v>
      </c>
      <c r="CA84" s="14">
        <f t="shared" si="93"/>
        <v>7.3222115536967035E-13</v>
      </c>
      <c r="CB84" s="22">
        <f t="shared" si="64"/>
        <v>1.3525069634579169E-12</v>
      </c>
      <c r="CC84" s="62">
        <f t="shared" si="65"/>
        <v>293.33333333333468</v>
      </c>
      <c r="CD84" s="62">
        <f ca="1">AVERAGE(OFFSET($CC$3,0,0,'Données projet'!$E$12+1,1))-AVERAGE(OFFSET($H$3,0,0,'Données projet'!$E$12+1,1))</f>
        <v>288.82868507674738</v>
      </c>
      <c r="CE84" s="62">
        <f t="shared" si="94"/>
        <v>283.48738729114024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1.1846257237559363</v>
      </c>
      <c r="CM84" s="23">
        <f>EXP(-LN(2)/2)*CM83+(1-EXP(-LN(2)/2))/(LN(2)/2)*CG84*CJ84*VLOOKUP('Données projet'!$B$12,Paramètres!$A$1:$I$89,3,0)*0.475*44/12</f>
        <v>5.4364581364494642E-8</v>
      </c>
      <c r="CN84" s="24">
        <f t="shared" si="66"/>
        <v>1.1846257781205176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317.99999999999972</v>
      </c>
      <c r="CU84" s="18">
        <f>CT84*VLOOKUP('Données projet'!$B$13,Paramètres!$A$1:$I$89,3,0)*VLOOKUP('Données projet'!$B$13,Paramètres!$A$1:$I$89,5,0)</f>
        <v>277.80479999999983</v>
      </c>
      <c r="CV84" s="14">
        <f t="shared" si="95"/>
        <v>66.50288772038418</v>
      </c>
      <c r="CW84" s="22">
        <f t="shared" si="67"/>
        <v>599.66922277966887</v>
      </c>
      <c r="CX84" s="62">
        <f t="shared" si="68"/>
        <v>893.00255611300213</v>
      </c>
      <c r="CY84" s="62">
        <f ca="1">AVERAGE(OFFSET($CX$3,0,0,'Données projet'!$E$13+1,1))-AVERAGE(OFFSET($H$3,0,0,'Données projet'!$E$13+1,1))</f>
        <v>383.46266660377637</v>
      </c>
      <c r="CZ84" s="62">
        <f t="shared" si="96"/>
        <v>373.1287543230714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3.90419203397256</v>
      </c>
      <c r="DH84" s="23">
        <f>EXP(-LN(2)/2)*DH83+(1-EXP(-LN(2)/2))/(LN(2)/2)*DB84*DE84*VLOOKUP('Données projet'!$B$13,Paramètres!$A$1:$I$89,3,0)*0.475*44/12</f>
        <v>4.4752447431799089E-7</v>
      </c>
      <c r="DI84" s="24">
        <f t="shared" si="69"/>
        <v>3.9041924814970344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>
        <f>DO84*VLOOKUP('Données projet'!$B$14,Paramètres!$A$1:$I$89,3,0)*VLOOKUP('Données projet'!$B$14,Paramètres!$A$1:$I$89,5,0)</f>
        <v>0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96.56611521638132</v>
      </c>
      <c r="DU84" s="62">
        <f t="shared" si="98"/>
        <v>465.03257878814094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30.01741397378224</v>
      </c>
      <c r="EB84" s="23">
        <f>EXP(-LN(2)/25)*EB83+(1-EXP(-LN(2)/25))/(LN(2)/25)*Calculateur!DW84*Calculateur!DY84*VLOOKUP('Données projet'!$B$14,Paramètres!$A$1:$I$89,3,0)*0.475*44/12</f>
        <v>4.4666059766433488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34.484019950425591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317.99999999999972</v>
      </c>
      <c r="EK84" s="18">
        <f>EJ84*VLOOKUP('Données projet'!$B$15,Paramètres!$A$1:$I$89,3,0)*VLOOKUP('Données projet'!$B$15,Paramètres!$A$1:$I$89,5,0)</f>
        <v>257.96159999999981</v>
      </c>
      <c r="EL84" s="14">
        <f t="shared" si="99"/>
        <v>62.287674609742425</v>
      </c>
      <c r="EM84" s="22">
        <f t="shared" si="73"/>
        <v>557.76748661196768</v>
      </c>
      <c r="EN84" s="62">
        <f t="shared" si="74"/>
        <v>851.10081994530105</v>
      </c>
      <c r="EO84" s="62">
        <f ca="1">AVERAGE(OFFSET($EN$3,0,0,'Données projet'!$E$15+1,1))-AVERAGE(OFFSET($H$3,0,0,'Données projet'!$E$15+1,1))</f>
        <v>358.75637627589799</v>
      </c>
      <c r="EP84" s="62">
        <f t="shared" si="100"/>
        <v>349.64821164483607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3.5209476206203378</v>
      </c>
      <c r="EW84" s="23">
        <f>EXP(-LN(2)/25)*EW83+(1-EXP(-LN(2)/25))/(LN(2)/25)*Calculateur!ER84*Calculateur!ET84*VLOOKUP('Données projet'!$B$15,Paramètres!$A$1:$I$89,3,0)*0.475*44/12</f>
        <v>3.7296332477394061</v>
      </c>
      <c r="EX84" s="23">
        <f>EXP(-LN(2)/2)*EX83+(1-EXP(-LN(2)/2))/(LN(2)/2)*ER84*EU84*VLOOKUP('Données projet'!$B$15,Paramètres!$A$1:$I$89,3,0)*0.475*44/12</f>
        <v>7.6841716311154691E-8</v>
      </c>
      <c r="EY84" s="24">
        <f t="shared" si="75"/>
        <v>7.2505809452014605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>
        <f>FE84*VLOOKUP('Données projet'!$B$16,Paramètres!$A$1:$I$89,3,0)*VLOOKUP('Données projet'!$B$16,Paramètres!$A$1:$I$89,5,0)</f>
        <v>0</v>
      </c>
      <c r="FG84" s="14" t="e">
        <f t="shared" si="101"/>
        <v>#NUM!</v>
      </c>
      <c r="FH84" s="22" t="e">
        <f t="shared" si="76"/>
        <v>#NUM!</v>
      </c>
      <c r="FI84" s="62" t="e">
        <f t="shared" si="77"/>
        <v>#NUM!</v>
      </c>
      <c r="FJ84" s="62">
        <f ca="1">AVERAGE(OFFSET($FI$3,0,0,'Données projet'!$E$16+1,1))-AVERAGE(OFFSET($H$3,0,0,'Données projet'!$E$16+1,1))</f>
        <v>121.28977654040114</v>
      </c>
      <c r="FK84" s="62">
        <f t="shared" si="102"/>
        <v>615.69585264342595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40.443630592126731</v>
      </c>
      <c r="FR84" s="23">
        <f>EXP(-LN(2)/25)*FR83+(1-EXP(-LN(2)/25))/(LN(2)/25)*Calculateur!FM84*Calculateur!FO84*VLOOKUP('Données projet'!$B$16,Paramètres!$A$1:$I$89,3,0)*0.475*44/12</f>
        <v>6.0180321422001395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46.461662734326872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317.99999999999972</v>
      </c>
      <c r="O85" s="14">
        <f>N85*VLOOKUP('Données projet'!$B$9,Paramètres!$A$1:$I$89,3,0)*VLOOKUP('Données projet'!$B$9,Paramètres!$A$1:$I$89,5,0)</f>
        <v>253.0007999999998</v>
      </c>
      <c r="P85" s="14">
        <f t="shared" si="87"/>
        <v>61.228070105968683</v>
      </c>
      <c r="Q85" s="22">
        <f t="shared" si="54"/>
        <v>547.28194876789507</v>
      </c>
      <c r="R85" s="62">
        <f t="shared" si="55"/>
        <v>840.61528210122833</v>
      </c>
      <c r="S85" s="62">
        <f ca="1">AVERAGE(OFFSET($R$3,0,0,'Données projet'!$E$9+1,1))-AVERAGE(OFFSET($H$3,0,0,'Données projet'!$E$9+1,1))</f>
        <v>352.5736659365665</v>
      </c>
      <c r="T85" s="62">
        <f t="shared" si="88"/>
        <v>343.77208530767069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4.8136177325322684</v>
      </c>
      <c r="AA85" s="23">
        <f>EXP(-LN(2)/25)*AA84+(1-EXP(-LN(2)/25))/(LN(2)/25)*Calculateur!V85*Calculateur!X85*VLOOKUP('Données projet'!$B$9,Paramètres!$A$1:$I$89,3,0)*0.475*44/12</f>
        <v>5.6100449951514033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10.423662727683672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3.8</v>
      </c>
      <c r="AI85" s="14">
        <f>IF('Données projet'!$A$62&gt;35,AI84+AH85-AQ84,IF(A85&lt;'Données projet'!$A$62,$AF$205^A85,IF(A85='Données projet'!$A$62,'Données projet'!$B$62,AI84+AH85-AQ84)))</f>
        <v>188.60000000000005</v>
      </c>
      <c r="AJ85" s="14">
        <f>AI85*VLOOKUP('Données projet'!$B$10,Paramètres!$A$1:$I$89,3,0)*VLOOKUP('Données projet'!$B$10,Paramètres!$A$1:$I$89,5,0)</f>
        <v>123.57072000000004</v>
      </c>
      <c r="AK85" s="14">
        <f t="shared" si="89"/>
        <v>32.506384557027701</v>
      </c>
      <c r="AL85" s="22">
        <f t="shared" si="58"/>
        <v>271.83429043682327</v>
      </c>
      <c r="AM85" s="62">
        <f t="shared" si="59"/>
        <v>565.16762377015652</v>
      </c>
      <c r="AN85" s="62">
        <f ca="1">AVERAGE(OFFSET($AM$3,0,0,'Données projet'!$E$10+1,1))-AVERAGE(OFFSET($H$3,0,0,'Données projet'!$E$10+1,1))</f>
        <v>210.08998695869161</v>
      </c>
      <c r="AO85" s="62">
        <f t="shared" si="90"/>
        <v>207.30911916430881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2.7525041553155601E-9</v>
      </c>
      <c r="AX85" s="23">
        <f t="shared" si="60"/>
        <v>2.7525041553155601E-9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6.8</v>
      </c>
      <c r="BD85" s="13">
        <f>IF('Données projet'!$A$88&gt;35,BD84+BC85-BL84,IF(A85&lt;'Données projet'!$A$88,$BA$205^A85,IF(A85='Données projet'!$A$88,'Données projet'!$B$88,BD84+BC85-BL84)))</f>
        <v>305.60000000000002</v>
      </c>
      <c r="BE85" s="14">
        <f>BD85*VLOOKUP('Données projet'!$B$11,Paramètres!$A$1:$I$89,3,0)*VLOOKUP('Données projet'!$B$11,Paramètres!$A$1:$I$89,5,0)</f>
        <v>204.99648000000002</v>
      </c>
      <c r="BF85" s="14">
        <f t="shared" si="91"/>
        <v>50.840660876335356</v>
      </c>
      <c r="BG85" s="22">
        <f t="shared" si="61"/>
        <v>445.58302035961742</v>
      </c>
      <c r="BH85" s="62">
        <f t="shared" si="62"/>
        <v>738.91635369295068</v>
      </c>
      <c r="BI85" s="62">
        <f ca="1">AVERAGE(OFFSET($BH$3,0,0,'Données projet'!$E$11+1,1))-AVERAGE(OFFSET($H$3,0,0,'Données projet'!$E$11+1,1))</f>
        <v>335.83558218229564</v>
      </c>
      <c r="BJ85" s="62">
        <f t="shared" si="92"/>
        <v>217.08423061559648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3.1252437182696692E-7</v>
      </c>
      <c r="BS85" s="24">
        <f t="shared" si="63"/>
        <v>3.1252437182696692E-7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5.6843418860808015E-14</v>
      </c>
      <c r="BZ85" s="14">
        <f>BY85*VLOOKUP('Données projet'!$B$12,Paramètres!$A$1:$I$89,3,0)*VLOOKUP('Données projet'!$B$12,Paramètres!$A$1:$I$89,5,0)</f>
        <v>4.4337866711430253E-14</v>
      </c>
      <c r="CA85" s="14">
        <f t="shared" si="93"/>
        <v>7.3222115536967035E-13</v>
      </c>
      <c r="CB85" s="22">
        <f t="shared" si="64"/>
        <v>1.3525069634579169E-12</v>
      </c>
      <c r="CC85" s="62">
        <f t="shared" si="65"/>
        <v>293.33333333333468</v>
      </c>
      <c r="CD85" s="62">
        <f ca="1">AVERAGE(OFFSET($CC$3,0,0,'Données projet'!$E$12+1,1))-AVERAGE(OFFSET($H$3,0,0,'Données projet'!$E$12+1,1))</f>
        <v>288.82868507674738</v>
      </c>
      <c r="CE85" s="62">
        <f t="shared" si="94"/>
        <v>283.48738729114024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1.1522320710430709</v>
      </c>
      <c r="CM85" s="23">
        <f>EXP(-LN(2)/2)*CM84+(1-EXP(-LN(2)/2))/(LN(2)/2)*CG85*CJ85*VLOOKUP('Données projet'!$B$12,Paramètres!$A$1:$I$89,3,0)*0.475*44/12</f>
        <v>3.8441564139201971E-8</v>
      </c>
      <c r="CN85" s="24">
        <f t="shared" si="66"/>
        <v>1.1522321094846351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317.99999999999972</v>
      </c>
      <c r="CU85" s="18">
        <f>CT85*VLOOKUP('Données projet'!$B$13,Paramètres!$A$1:$I$89,3,0)*VLOOKUP('Données projet'!$B$13,Paramètres!$A$1:$I$89,5,0)</f>
        <v>277.80479999999983</v>
      </c>
      <c r="CV85" s="14">
        <f t="shared" si="95"/>
        <v>66.50288772038418</v>
      </c>
      <c r="CW85" s="22">
        <f t="shared" si="67"/>
        <v>599.66922277966887</v>
      </c>
      <c r="CX85" s="62">
        <f t="shared" si="68"/>
        <v>893.00255611300213</v>
      </c>
      <c r="CY85" s="62">
        <f ca="1">AVERAGE(OFFSET($CX$3,0,0,'Données projet'!$E$13+1,1))-AVERAGE(OFFSET($H$3,0,0,'Données projet'!$E$13+1,1))</f>
        <v>383.46266660377637</v>
      </c>
      <c r="CZ85" s="62">
        <f t="shared" si="96"/>
        <v>373.1287543230714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3.7974316974910445</v>
      </c>
      <c r="DH85" s="23">
        <f>EXP(-LN(2)/2)*DH84+(1-EXP(-LN(2)/2))/(LN(2)/2)*DB85*DE85*VLOOKUP('Données projet'!$B$13,Paramètres!$A$1:$I$89,3,0)*0.475*44/12</f>
        <v>3.1644759053719629E-7</v>
      </c>
      <c r="DI85" s="24">
        <f t="shared" si="69"/>
        <v>3.7974320139386348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>
        <f>DO85*VLOOKUP('Données projet'!$B$14,Paramètres!$A$1:$I$89,3,0)*VLOOKUP('Données projet'!$B$14,Paramètres!$A$1:$I$89,5,0)</f>
        <v>0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96.56611521638132</v>
      </c>
      <c r="DU85" s="62">
        <f t="shared" si="98"/>
        <v>465.03257878814094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29.42879079457105</v>
      </c>
      <c r="EB85" s="23">
        <f>EXP(-LN(2)/25)*EB84+(1-EXP(-LN(2)/25))/(LN(2)/25)*Calculateur!DW85*Calculateur!DY85*VLOOKUP('Données projet'!$B$14,Paramètres!$A$1:$I$89,3,0)*0.475*44/12</f>
        <v>4.3444664013234364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33.773257195894487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317.99999999999972</v>
      </c>
      <c r="EK85" s="18">
        <f>EJ85*VLOOKUP('Données projet'!$B$15,Paramètres!$A$1:$I$89,3,0)*VLOOKUP('Données projet'!$B$15,Paramètres!$A$1:$I$89,5,0)</f>
        <v>257.96159999999981</v>
      </c>
      <c r="EL85" s="14">
        <f t="shared" si="99"/>
        <v>62.287674609742425</v>
      </c>
      <c r="EM85" s="22">
        <f t="shared" si="73"/>
        <v>557.76748661196768</v>
      </c>
      <c r="EN85" s="62">
        <f t="shared" si="74"/>
        <v>851.10081994530105</v>
      </c>
      <c r="EO85" s="62">
        <f ca="1">AVERAGE(OFFSET($EN$3,0,0,'Données projet'!$E$15+1,1))-AVERAGE(OFFSET($H$3,0,0,'Données projet'!$E$15+1,1))</f>
        <v>358.75637627589799</v>
      </c>
      <c r="EP85" s="62">
        <f t="shared" si="100"/>
        <v>349.64821164483607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3.4519039853459672</v>
      </c>
      <c r="EW85" s="23">
        <f>EXP(-LN(2)/25)*EW84+(1-EXP(-LN(2)/25))/(LN(2)/25)*Calculateur!ER85*Calculateur!ET85*VLOOKUP('Données projet'!$B$15,Paramètres!$A$1:$I$89,3,0)*0.475*44/12</f>
        <v>3.6276462304470836</v>
      </c>
      <c r="EX85" s="23">
        <f>EXP(-LN(2)/2)*EX84+(1-EXP(-LN(2)/2))/(LN(2)/2)*ER85*EU85*VLOOKUP('Données projet'!$B$15,Paramètres!$A$1:$I$89,3,0)*0.475*44/12</f>
        <v>5.433529868163042E-8</v>
      </c>
      <c r="EY85" s="24">
        <f t="shared" si="75"/>
        <v>7.0795502701283493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>
        <f>FE85*VLOOKUP('Données projet'!$B$16,Paramètres!$A$1:$I$89,3,0)*VLOOKUP('Données projet'!$B$16,Paramètres!$A$1:$I$89,5,0)</f>
        <v>0</v>
      </c>
      <c r="FG85" s="14" t="e">
        <f t="shared" si="101"/>
        <v>#NUM!</v>
      </c>
      <c r="FH85" s="22" t="e">
        <f t="shared" si="76"/>
        <v>#NUM!</v>
      </c>
      <c r="FI85" s="62" t="e">
        <f t="shared" si="77"/>
        <v>#NUM!</v>
      </c>
      <c r="FJ85" s="62">
        <f ca="1">AVERAGE(OFFSET($FI$3,0,0,'Données projet'!$E$16+1,1))-AVERAGE(OFFSET($H$3,0,0,'Données projet'!$E$16+1,1))</f>
        <v>121.28977654040114</v>
      </c>
      <c r="FK85" s="62">
        <f t="shared" si="102"/>
        <v>615.69585264342595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39.650555664394005</v>
      </c>
      <c r="FR85" s="23">
        <f>EXP(-LN(2)/25)*FR84+(1-EXP(-LN(2)/25))/(LN(2)/25)*Calculateur!FM85*Calculateur!FO85*VLOOKUP('Données projet'!$B$16,Paramètres!$A$1:$I$89,3,0)*0.475*44/12</f>
        <v>5.8534687367971205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45.504024401191124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317.99999999999972</v>
      </c>
      <c r="O86" s="14">
        <f>N86*VLOOKUP('Données projet'!$B$9,Paramètres!$A$1:$I$89,3,0)*VLOOKUP('Données projet'!$B$9,Paramètres!$A$1:$I$89,5,0)</f>
        <v>253.0007999999998</v>
      </c>
      <c r="P86" s="14">
        <f t="shared" si="87"/>
        <v>61.228070105968683</v>
      </c>
      <c r="Q86" s="22">
        <f t="shared" si="54"/>
        <v>547.28194876789507</v>
      </c>
      <c r="R86" s="62">
        <f t="shared" si="55"/>
        <v>840.61528210122833</v>
      </c>
      <c r="S86" s="62">
        <f ca="1">AVERAGE(OFFSET($R$3,0,0,'Données projet'!$E$9+1,1))-AVERAGE(OFFSET($H$3,0,0,'Données projet'!$E$9+1,1))</f>
        <v>352.5736659365665</v>
      </c>
      <c r="T86" s="62">
        <f t="shared" si="88"/>
        <v>343.77208530767069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4.7192256248142197</v>
      </c>
      <c r="AA86" s="23">
        <f>EXP(-LN(2)/25)*AA85+(1-EXP(-LN(2)/25))/(LN(2)/25)*Calculateur!V86*Calculateur!X86*VLOOKUP('Données projet'!$B$9,Paramètres!$A$1:$I$89,3,0)*0.475*44/12</f>
        <v>5.4566380197395441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10.175863644553765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3.8</v>
      </c>
      <c r="AI86" s="14">
        <f>IF('Données projet'!$A$62&gt;35,AI85+AH86-AQ85,IF(A86&lt;'Données projet'!$A$62,$AF$205^A86,IF(A86='Données projet'!$A$62,'Données projet'!$B$62,AI85+AH86-AQ85)))</f>
        <v>192.40000000000006</v>
      </c>
      <c r="AJ86" s="14">
        <f>AI86*VLOOKUP('Données projet'!$B$10,Paramètres!$A$1:$I$89,3,0)*VLOOKUP('Données projet'!$B$10,Paramètres!$A$1:$I$89,5,0)</f>
        <v>126.06048000000004</v>
      </c>
      <c r="AK86" s="14">
        <f t="shared" si="89"/>
        <v>33.084428023528638</v>
      </c>
      <c r="AL86" s="22">
        <f t="shared" si="58"/>
        <v>277.17738147431243</v>
      </c>
      <c r="AM86" s="62">
        <f t="shared" si="59"/>
        <v>570.51071480764574</v>
      </c>
      <c r="AN86" s="62">
        <f ca="1">AVERAGE(OFFSET($AM$3,0,0,'Données projet'!$E$10+1,1))-AVERAGE(OFFSET($H$3,0,0,'Données projet'!$E$10+1,1))</f>
        <v>210.08998695869161</v>
      </c>
      <c r="AO86" s="62">
        <f t="shared" si="90"/>
        <v>207.30911916430881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1.9463143534677825E-9</v>
      </c>
      <c r="AX86" s="23">
        <f t="shared" si="60"/>
        <v>1.9463143534677825E-9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6.8</v>
      </c>
      <c r="BD86" s="13">
        <f>IF('Données projet'!$A$88&gt;35,BD85+BC86-BL85,IF(A86&lt;'Données projet'!$A$88,$BA$205^A86,IF(A86='Données projet'!$A$88,'Données projet'!$B$88,BD85+BC86-BL85)))</f>
        <v>312.40000000000003</v>
      </c>
      <c r="BE86" s="14">
        <f>BD86*VLOOKUP('Données projet'!$B$11,Paramètres!$A$1:$I$89,3,0)*VLOOKUP('Données projet'!$B$11,Paramètres!$A$1:$I$89,5,0)</f>
        <v>209.55792000000005</v>
      </c>
      <c r="BF86" s="14">
        <f t="shared" si="91"/>
        <v>51.838968250395396</v>
      </c>
      <c r="BG86" s="22">
        <f t="shared" si="61"/>
        <v>455.26624703610543</v>
      </c>
      <c r="BH86" s="62">
        <f t="shared" si="62"/>
        <v>748.59958036943874</v>
      </c>
      <c r="BI86" s="62">
        <f ca="1">AVERAGE(OFFSET($BH$3,0,0,'Données projet'!$E$11+1,1))-AVERAGE(OFFSET($H$3,0,0,'Données projet'!$E$11+1,1))</f>
        <v>335.83558218229564</v>
      </c>
      <c r="BJ86" s="62">
        <f t="shared" si="92"/>
        <v>217.08423061559648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2.2098810260491432E-7</v>
      </c>
      <c r="BS86" s="24">
        <f t="shared" si="63"/>
        <v>2.2098810260491432E-7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5.6843418860808015E-14</v>
      </c>
      <c r="BZ86" s="14">
        <f>BY86*VLOOKUP('Données projet'!$B$12,Paramètres!$A$1:$I$89,3,0)*VLOOKUP('Données projet'!$B$12,Paramètres!$A$1:$I$89,5,0)</f>
        <v>4.4337866711430253E-14</v>
      </c>
      <c r="CA86" s="14">
        <f t="shared" si="93"/>
        <v>7.3222115536967035E-13</v>
      </c>
      <c r="CB86" s="22">
        <f t="shared" si="64"/>
        <v>1.3525069634579169E-12</v>
      </c>
      <c r="CC86" s="62">
        <f t="shared" si="65"/>
        <v>293.33333333333468</v>
      </c>
      <c r="CD86" s="62">
        <f ca="1">AVERAGE(OFFSET($CC$3,0,0,'Données projet'!$E$12+1,1))-AVERAGE(OFFSET($H$3,0,0,'Données projet'!$E$12+1,1))</f>
        <v>288.82868507674738</v>
      </c>
      <c r="CE86" s="62">
        <f t="shared" si="94"/>
        <v>283.48738729114024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1.1207242244671469</v>
      </c>
      <c r="CM86" s="23">
        <f>EXP(-LN(2)/2)*CM85+(1-EXP(-LN(2)/2))/(LN(2)/2)*CG86*CJ86*VLOOKUP('Données projet'!$B$12,Paramètres!$A$1:$I$89,3,0)*0.475*44/12</f>
        <v>2.7182290682247321E-8</v>
      </c>
      <c r="CN86" s="24">
        <f t="shared" si="66"/>
        <v>1.1207242516494376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317.99999999999972</v>
      </c>
      <c r="CU86" s="18">
        <f>CT86*VLOOKUP('Données projet'!$B$13,Paramètres!$A$1:$I$89,3,0)*VLOOKUP('Données projet'!$B$13,Paramètres!$A$1:$I$89,5,0)</f>
        <v>277.80479999999983</v>
      </c>
      <c r="CV86" s="14">
        <f t="shared" si="95"/>
        <v>66.50288772038418</v>
      </c>
      <c r="CW86" s="22">
        <f t="shared" si="67"/>
        <v>599.66922277966887</v>
      </c>
      <c r="CX86" s="62">
        <f t="shared" si="68"/>
        <v>893.00255611300213</v>
      </c>
      <c r="CY86" s="62">
        <f ca="1">AVERAGE(OFFSET($CX$3,0,0,'Données projet'!$E$13+1,1))-AVERAGE(OFFSET($H$3,0,0,'Données projet'!$E$13+1,1))</f>
        <v>383.46266660377637</v>
      </c>
      <c r="CZ86" s="62">
        <f t="shared" si="96"/>
        <v>373.1287543230714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3.6935907280248981</v>
      </c>
      <c r="DH86" s="23">
        <f>EXP(-LN(2)/2)*DH85+(1-EXP(-LN(2)/2))/(LN(2)/2)*DB86*DE86*VLOOKUP('Données projet'!$B$13,Paramètres!$A$1:$I$89,3,0)*0.475*44/12</f>
        <v>2.2376223715899544E-7</v>
      </c>
      <c r="DI86" s="24">
        <f t="shared" si="69"/>
        <v>3.6935909517871353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>
        <f>DO86*VLOOKUP('Données projet'!$B$14,Paramètres!$A$1:$I$89,3,0)*VLOOKUP('Données projet'!$B$14,Paramètres!$A$1:$I$89,5,0)</f>
        <v>0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96.56611521638132</v>
      </c>
      <c r="DU86" s="62">
        <f t="shared" si="98"/>
        <v>465.03257878814094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28.851710156879502</v>
      </c>
      <c r="EB86" s="23">
        <f>EXP(-LN(2)/25)*EB85+(1-EXP(-LN(2)/25))/(LN(2)/25)*Calculateur!DW86*Calculateur!DY86*VLOOKUP('Données projet'!$B$14,Paramètres!$A$1:$I$89,3,0)*0.475*44/12</f>
        <v>4.2256667391136888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33.07737689599319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317.99999999999972</v>
      </c>
      <c r="EK86" s="18">
        <f>EJ86*VLOOKUP('Données projet'!$B$15,Paramètres!$A$1:$I$89,3,0)*VLOOKUP('Données projet'!$B$15,Paramètres!$A$1:$I$89,5,0)</f>
        <v>257.96159999999981</v>
      </c>
      <c r="EL86" s="14">
        <f t="shared" si="99"/>
        <v>62.287674609742425</v>
      </c>
      <c r="EM86" s="22">
        <f t="shared" si="73"/>
        <v>557.76748661196768</v>
      </c>
      <c r="EN86" s="62">
        <f t="shared" si="74"/>
        <v>851.10081994530105</v>
      </c>
      <c r="EO86" s="62">
        <f ca="1">AVERAGE(OFFSET($EN$3,0,0,'Données projet'!$E$15+1,1))-AVERAGE(OFFSET($H$3,0,0,'Données projet'!$E$15+1,1))</f>
        <v>358.75637627589799</v>
      </c>
      <c r="EP86" s="62">
        <f t="shared" si="100"/>
        <v>349.64821164483607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3.3842142536468676</v>
      </c>
      <c r="EW86" s="23">
        <f>EXP(-LN(2)/25)*EW85+(1-EXP(-LN(2)/25))/(LN(2)/25)*Calculateur!ER86*Calculateur!ET86*VLOOKUP('Données projet'!$B$15,Paramètres!$A$1:$I$89,3,0)*0.475*44/12</f>
        <v>3.5284480535058838</v>
      </c>
      <c r="EX86" s="23">
        <f>EXP(-LN(2)/2)*EX85+(1-EXP(-LN(2)/2))/(LN(2)/2)*ER86*EU86*VLOOKUP('Données projet'!$B$15,Paramètres!$A$1:$I$89,3,0)*0.475*44/12</f>
        <v>3.8420858155577345E-8</v>
      </c>
      <c r="EY86" s="24">
        <f t="shared" si="75"/>
        <v>6.9126623455736098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>
        <f>FE86*VLOOKUP('Données projet'!$B$16,Paramètres!$A$1:$I$89,3,0)*VLOOKUP('Données projet'!$B$16,Paramètres!$A$1:$I$89,5,0)</f>
        <v>0</v>
      </c>
      <c r="FG86" s="14" t="e">
        <f t="shared" si="101"/>
        <v>#NUM!</v>
      </c>
      <c r="FH86" s="22" t="e">
        <f t="shared" si="76"/>
        <v>#NUM!</v>
      </c>
      <c r="FI86" s="62" t="e">
        <f t="shared" si="77"/>
        <v>#NUM!</v>
      </c>
      <c r="FJ86" s="62">
        <f ca="1">AVERAGE(OFFSET($FI$3,0,0,'Données projet'!$E$16+1,1))-AVERAGE(OFFSET($H$3,0,0,'Données projet'!$E$16+1,1))</f>
        <v>121.28977654040114</v>
      </c>
      <c r="FK86" s="62">
        <f t="shared" si="102"/>
        <v>615.69585264342595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38.87303245226618</v>
      </c>
      <c r="FR86" s="23">
        <f>EXP(-LN(2)/25)*FR85+(1-EXP(-LN(2)/25))/(LN(2)/25)*Calculateur!FM86*Calculateur!FO86*VLOOKUP('Données projet'!$B$16,Paramètres!$A$1:$I$89,3,0)*0.475*44/12</f>
        <v>5.6934053263688611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44.566437778635041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317.99999999999972</v>
      </c>
      <c r="O87" s="14">
        <f>N87*VLOOKUP('Données projet'!$B$9,Paramètres!$A$1:$I$89,3,0)*VLOOKUP('Données projet'!$B$9,Paramètres!$A$1:$I$89,5,0)</f>
        <v>253.0007999999998</v>
      </c>
      <c r="P87" s="14">
        <f t="shared" si="87"/>
        <v>61.228070105968683</v>
      </c>
      <c r="Q87" s="22">
        <f t="shared" si="54"/>
        <v>547.28194876789507</v>
      </c>
      <c r="R87" s="62">
        <f t="shared" si="55"/>
        <v>840.61528210122833</v>
      </c>
      <c r="S87" s="62">
        <f ca="1">AVERAGE(OFFSET($R$3,0,0,'Données projet'!$E$9+1,1))-AVERAGE(OFFSET($H$3,0,0,'Données projet'!$E$9+1,1))</f>
        <v>352.5736659365665</v>
      </c>
      <c r="T87" s="62">
        <f t="shared" si="88"/>
        <v>343.77208530767069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4.6266844887550214</v>
      </c>
      <c r="AA87" s="23">
        <f>EXP(-LN(2)/25)*AA86+(1-EXP(-LN(2)/25))/(LN(2)/25)*Calculateur!V87*Calculateur!X87*VLOOKUP('Données projet'!$B$9,Paramètres!$A$1:$I$89,3,0)*0.475*44/12</f>
        <v>5.3074259661376439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9.9341104548926644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3.8</v>
      </c>
      <c r="AI87" s="14">
        <f>IF('Données projet'!$A$62&gt;35,AI86+AH87-AQ86,IF(A87&lt;'Données projet'!$A$62,$AF$205^A87,IF(A87='Données projet'!$A$62,'Données projet'!$B$62,AI86+AH87-AQ86)))</f>
        <v>196.20000000000007</v>
      </c>
      <c r="AJ87" s="14">
        <f>AI87*VLOOKUP('Données projet'!$B$10,Paramètres!$A$1:$I$89,3,0)*VLOOKUP('Données projet'!$B$10,Paramètres!$A$1:$I$89,5,0)</f>
        <v>128.55024000000003</v>
      </c>
      <c r="AK87" s="14">
        <f t="shared" si="89"/>
        <v>33.661144026076663</v>
      </c>
      <c r="AL87" s="22">
        <f t="shared" si="58"/>
        <v>282.51816051208363</v>
      </c>
      <c r="AM87" s="62">
        <f t="shared" si="59"/>
        <v>575.85149384541694</v>
      </c>
      <c r="AN87" s="62">
        <f ca="1">AVERAGE(OFFSET($AM$3,0,0,'Données projet'!$E$10+1,1))-AVERAGE(OFFSET($H$3,0,0,'Données projet'!$E$10+1,1))</f>
        <v>210.08998695869161</v>
      </c>
      <c r="AO87" s="62">
        <f t="shared" si="90"/>
        <v>207.30911916430881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1.37625207765778E-9</v>
      </c>
      <c r="AX87" s="23">
        <f t="shared" si="60"/>
        <v>1.37625207765778E-9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6.8</v>
      </c>
      <c r="BD87" s="13">
        <f>IF('Données projet'!$A$88&gt;35,BD86+BC87-BL86,IF(A87&lt;'Données projet'!$A$88,$BA$205^A87,IF(A87='Données projet'!$A$88,'Données projet'!$B$88,BD86+BC87-BL86)))</f>
        <v>319.20000000000005</v>
      </c>
      <c r="BE87" s="14">
        <f>BD87*VLOOKUP('Données projet'!$B$11,Paramètres!$A$1:$I$89,3,0)*VLOOKUP('Données projet'!$B$11,Paramètres!$A$1:$I$89,5,0)</f>
        <v>214.11936000000006</v>
      </c>
      <c r="BF87" s="14">
        <f t="shared" si="91"/>
        <v>52.834749228990397</v>
      </c>
      <c r="BG87" s="22">
        <f t="shared" si="61"/>
        <v>464.94507357382503</v>
      </c>
      <c r="BH87" s="62">
        <f t="shared" si="62"/>
        <v>758.27840690715834</v>
      </c>
      <c r="BI87" s="62">
        <f ca="1">AVERAGE(OFFSET($BH$3,0,0,'Données projet'!$E$11+1,1))-AVERAGE(OFFSET($H$3,0,0,'Données projet'!$E$11+1,1))</f>
        <v>335.83558218229564</v>
      </c>
      <c r="BJ87" s="62">
        <f t="shared" si="92"/>
        <v>217.08423061559648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1.5626218591348346E-7</v>
      </c>
      <c r="BS87" s="24">
        <f t="shared" si="63"/>
        <v>1.5626218591348346E-7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5.6843418860808015E-14</v>
      </c>
      <c r="BZ87" s="14">
        <f>BY87*VLOOKUP('Données projet'!$B$12,Paramètres!$A$1:$I$89,3,0)*VLOOKUP('Données projet'!$B$12,Paramètres!$A$1:$I$89,5,0)</f>
        <v>4.4337866711430253E-14</v>
      </c>
      <c r="CA87" s="14">
        <f t="shared" si="93"/>
        <v>7.3222115536967035E-13</v>
      </c>
      <c r="CB87" s="22">
        <f t="shared" si="64"/>
        <v>1.3525069634579169E-12</v>
      </c>
      <c r="CC87" s="62">
        <f t="shared" si="65"/>
        <v>293.33333333333468</v>
      </c>
      <c r="CD87" s="62">
        <f ca="1">AVERAGE(OFFSET($CC$3,0,0,'Données projet'!$E$12+1,1))-AVERAGE(OFFSET($H$3,0,0,'Données projet'!$E$12+1,1))</f>
        <v>288.82868507674738</v>
      </c>
      <c r="CE87" s="62">
        <f t="shared" si="94"/>
        <v>283.48738729114024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1.0900779616127674</v>
      </c>
      <c r="CM87" s="23">
        <f>EXP(-LN(2)/2)*CM86+(1-EXP(-LN(2)/2))/(LN(2)/2)*CG87*CJ87*VLOOKUP('Données projet'!$B$12,Paramètres!$A$1:$I$89,3,0)*0.475*44/12</f>
        <v>1.9220782069600986E-8</v>
      </c>
      <c r="CN87" s="24">
        <f t="shared" si="66"/>
        <v>1.0900779808335495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317.99999999999972</v>
      </c>
      <c r="CU87" s="18">
        <f>CT87*VLOOKUP('Données projet'!$B$13,Paramètres!$A$1:$I$89,3,0)*VLOOKUP('Données projet'!$B$13,Paramètres!$A$1:$I$89,5,0)</f>
        <v>277.80479999999983</v>
      </c>
      <c r="CV87" s="14">
        <f t="shared" si="95"/>
        <v>66.50288772038418</v>
      </c>
      <c r="CW87" s="22">
        <f t="shared" si="67"/>
        <v>599.66922277966887</v>
      </c>
      <c r="CX87" s="62">
        <f t="shared" si="68"/>
        <v>893.00255611300213</v>
      </c>
      <c r="CY87" s="62">
        <f ca="1">AVERAGE(OFFSET($CX$3,0,0,'Données projet'!$E$13+1,1))-AVERAGE(OFFSET($H$3,0,0,'Données projet'!$E$13+1,1))</f>
        <v>383.46266660377637</v>
      </c>
      <c r="CZ87" s="62">
        <f t="shared" si="96"/>
        <v>373.1287543230714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3.5925892953295628</v>
      </c>
      <c r="DH87" s="23">
        <f>EXP(-LN(2)/2)*DH86+(1-EXP(-LN(2)/2))/(LN(2)/2)*DB87*DE87*VLOOKUP('Données projet'!$B$13,Paramètres!$A$1:$I$89,3,0)*0.475*44/12</f>
        <v>1.5822379526859814E-7</v>
      </c>
      <c r="DI87" s="24">
        <f t="shared" si="69"/>
        <v>3.5925894535533582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>
        <f>DO87*VLOOKUP('Données projet'!$B$14,Paramètres!$A$1:$I$89,3,0)*VLOOKUP('Données projet'!$B$14,Paramètres!$A$1:$I$89,5,0)</f>
        <v>0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96.56611521638132</v>
      </c>
      <c r="DU87" s="62">
        <f t="shared" si="98"/>
        <v>465.03257878814094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28.285945718508653</v>
      </c>
      <c r="EB87" s="23">
        <f>EXP(-LN(2)/25)*EB86+(1-EXP(-LN(2)/25))/(LN(2)/25)*Calculateur!DW87*Calculateur!DY87*VLOOKUP('Données projet'!$B$14,Paramètres!$A$1:$I$89,3,0)*0.475*44/12</f>
        <v>4.1101156599144693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32.39606137842312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317.99999999999972</v>
      </c>
      <c r="EK87" s="18">
        <f>EJ87*VLOOKUP('Données projet'!$B$15,Paramètres!$A$1:$I$89,3,0)*VLOOKUP('Données projet'!$B$15,Paramètres!$A$1:$I$89,5,0)</f>
        <v>257.96159999999981</v>
      </c>
      <c r="EL87" s="14">
        <f t="shared" si="99"/>
        <v>62.287674609742425</v>
      </c>
      <c r="EM87" s="22">
        <f t="shared" si="73"/>
        <v>557.76748661196768</v>
      </c>
      <c r="EN87" s="62">
        <f t="shared" si="74"/>
        <v>851.10081994530105</v>
      </c>
      <c r="EO87" s="62">
        <f ca="1">AVERAGE(OFFSET($EN$3,0,0,'Données projet'!$E$15+1,1))-AVERAGE(OFFSET($H$3,0,0,'Données projet'!$E$15+1,1))</f>
        <v>358.75637627589799</v>
      </c>
      <c r="EP87" s="62">
        <f t="shared" si="100"/>
        <v>349.64821164483607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3.3178518762997276</v>
      </c>
      <c r="EW87" s="23">
        <f>EXP(-LN(2)/25)*EW86+(1-EXP(-LN(2)/25))/(LN(2)/25)*Calculateur!ER87*Calculateur!ET87*VLOOKUP('Données projet'!$B$15,Paramètres!$A$1:$I$89,3,0)*0.475*44/12</f>
        <v>3.4319624559297468</v>
      </c>
      <c r="EX87" s="23">
        <f>EXP(-LN(2)/2)*EX86+(1-EXP(-LN(2)/2))/(LN(2)/2)*ER87*EU87*VLOOKUP('Données projet'!$B$15,Paramètres!$A$1:$I$89,3,0)*0.475*44/12</f>
        <v>2.716764934081521E-8</v>
      </c>
      <c r="EY87" s="24">
        <f t="shared" si="75"/>
        <v>6.7498143593971243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>
        <f>FE87*VLOOKUP('Données projet'!$B$16,Paramètres!$A$1:$I$89,3,0)*VLOOKUP('Données projet'!$B$16,Paramètres!$A$1:$I$89,5,0)</f>
        <v>0</v>
      </c>
      <c r="FG87" s="14" t="e">
        <f t="shared" si="101"/>
        <v>#NUM!</v>
      </c>
      <c r="FH87" s="22" t="e">
        <f t="shared" si="76"/>
        <v>#NUM!</v>
      </c>
      <c r="FI87" s="62" t="e">
        <f t="shared" si="77"/>
        <v>#NUM!</v>
      </c>
      <c r="FJ87" s="62">
        <f ca="1">AVERAGE(OFFSET($FI$3,0,0,'Données projet'!$E$16+1,1))-AVERAGE(OFFSET($H$3,0,0,'Données projet'!$E$16+1,1))</f>
        <v>121.28977654040114</v>
      </c>
      <c r="FK87" s="62">
        <f t="shared" si="102"/>
        <v>615.69585264342595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38.11075599608585</v>
      </c>
      <c r="FR87" s="23">
        <f>EXP(-LN(2)/25)*FR86+(1-EXP(-LN(2)/25))/(LN(2)/25)*Calculateur!FM87*Calculateur!FO87*VLOOKUP('Données projet'!$B$16,Paramètres!$A$1:$I$89,3,0)*0.475*44/12</f>
        <v>5.537718858316131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43.648474854401982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317.99999999999972</v>
      </c>
      <c r="O88" s="14">
        <f>N88*VLOOKUP('Données projet'!$B$9,Paramètres!$A$1:$I$89,3,0)*VLOOKUP('Données projet'!$B$9,Paramètres!$A$1:$I$89,5,0)</f>
        <v>253.0007999999998</v>
      </c>
      <c r="P88" s="14">
        <f t="shared" si="87"/>
        <v>61.228070105968683</v>
      </c>
      <c r="Q88" s="22">
        <f t="shared" si="54"/>
        <v>547.28194876789507</v>
      </c>
      <c r="R88" s="62">
        <f t="shared" si="55"/>
        <v>840.61528210122833</v>
      </c>
      <c r="S88" s="62">
        <f ca="1">AVERAGE(OFFSET($R$3,0,0,'Données projet'!$E$9+1,1))-AVERAGE(OFFSET($H$3,0,0,'Données projet'!$E$9+1,1))</f>
        <v>352.5736659365665</v>
      </c>
      <c r="T88" s="62">
        <f t="shared" si="88"/>
        <v>343.77208530767069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4.535958027929424</v>
      </c>
      <c r="AA88" s="23">
        <f>EXP(-LN(2)/25)*AA87+(1-EXP(-LN(2)/25))/(LN(2)/25)*Calculateur!V88*Calculateur!X88*VLOOKUP('Données projet'!$B$9,Paramètres!$A$1:$I$89,3,0)*0.475*44/12</f>
        <v>5.1622941239882092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9.6982521519176323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200</v>
      </c>
      <c r="AG88" s="13">
        <f>VLOOKUP(A88,'Données projet'!$A$61:$I$81,9,0)</f>
        <v>3.8</v>
      </c>
      <c r="AH88" s="13">
        <f t="array" ref="AH88">INDEX(AG:AG,MIN(IF(ISNUMBER(AG88:AG284),ROW(AG88:AG284),"")))</f>
        <v>3.8</v>
      </c>
      <c r="AI88" s="14">
        <f>IF('Données projet'!$A$62&gt;35,AI87+AH88-AQ87,IF(A88&lt;'Données projet'!$A$62,$AF$205^A88,IF(A88='Données projet'!$A$62,'Données projet'!$B$62,AI87+AH88-AQ87)))</f>
        <v>200.00000000000009</v>
      </c>
      <c r="AJ88" s="14">
        <f>AI88*VLOOKUP('Données projet'!$B$10,Paramètres!$A$1:$I$89,3,0)*VLOOKUP('Données projet'!$B$10,Paramètres!$A$1:$I$89,5,0)</f>
        <v>131.04000000000005</v>
      </c>
      <c r="AK88" s="14">
        <f t="shared" si="89"/>
        <v>34.236561238949918</v>
      </c>
      <c r="AL88" s="22">
        <f t="shared" si="58"/>
        <v>287.85667749117118</v>
      </c>
      <c r="AM88" s="62">
        <f t="shared" si="59"/>
        <v>581.1900108245045</v>
      </c>
      <c r="AN88" s="62">
        <f ca="1">AVERAGE(OFFSET($AM$3,0,0,'Données projet'!$E$10+1,1))-AVERAGE(OFFSET($H$3,0,0,'Données projet'!$E$10+1,1))</f>
        <v>210.08998695869161</v>
      </c>
      <c r="AO88" s="62">
        <f t="shared" si="90"/>
        <v>207.30911916430881</v>
      </c>
      <c r="AP88" s="16">
        <f>IF(ISNA(VLOOKUP(A88,'Données projet'!$A$61:$I$81,3,0)),0,VLOOKUP(A88,'Données projet'!$A$61:$I$81,3,0))</f>
        <v>16</v>
      </c>
      <c r="AQ88" s="16">
        <f>IF(ISNA(VLOOKUP(A88,'Données projet'!$A$61:$I$81,4,0)),0,VLOOKUP(A88,'Données projet'!$A$61:$I$81,4,0))</f>
        <v>14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9.7315717673389124E-10</v>
      </c>
      <c r="AX88" s="23">
        <f t="shared" si="60"/>
        <v>9.7315717673389124E-10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326</v>
      </c>
      <c r="BB88" s="13">
        <f>VLOOKUP(A88,'Données projet'!$A$87:$I$107,9,0)</f>
        <v>6.8</v>
      </c>
      <c r="BC88" s="13">
        <f t="array" ref="BC88">INDEX(BB:BB,MIN(IF(ISNUMBER(BB88:BB284),ROW(BB88:BB284),"")))</f>
        <v>6.8</v>
      </c>
      <c r="BD88" s="13">
        <f>IF('Données projet'!$A$88&gt;35,BD87+BC88-BL87,IF(A88&lt;'Données projet'!$A$88,$BA$205^A88,IF(A88='Données projet'!$A$88,'Données projet'!$B$88,BD87+BC88-BL87)))</f>
        <v>326.00000000000006</v>
      </c>
      <c r="BE88" s="14">
        <f>BD88*VLOOKUP('Données projet'!$B$11,Paramètres!$A$1:$I$89,3,0)*VLOOKUP('Données projet'!$B$11,Paramètres!$A$1:$I$89,5,0)</f>
        <v>218.68080000000006</v>
      </c>
      <c r="BF88" s="14">
        <f t="shared" si="91"/>
        <v>53.828063832009121</v>
      </c>
      <c r="BG88" s="22">
        <f t="shared" si="61"/>
        <v>474.61960450741594</v>
      </c>
      <c r="BH88" s="62">
        <f t="shared" si="62"/>
        <v>767.9529378407492</v>
      </c>
      <c r="BI88" s="62">
        <f ca="1">AVERAGE(OFFSET($BH$3,0,0,'Données projet'!$E$11+1,1))-AVERAGE(OFFSET($H$3,0,0,'Données projet'!$E$11+1,1))</f>
        <v>335.83558218229564</v>
      </c>
      <c r="BJ88" s="62">
        <f t="shared" si="92"/>
        <v>217.08423061559648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28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1.1049405130245716E-7</v>
      </c>
      <c r="BS88" s="24">
        <f t="shared" si="63"/>
        <v>1.1049405130245716E-7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5.6843418860808015E-14</v>
      </c>
      <c r="BZ88" s="14">
        <f>BY88*VLOOKUP('Données projet'!$B$12,Paramètres!$A$1:$I$89,3,0)*VLOOKUP('Données projet'!$B$12,Paramètres!$A$1:$I$89,5,0)</f>
        <v>4.4337866711430253E-14</v>
      </c>
      <c r="CA88" s="14">
        <f t="shared" si="93"/>
        <v>7.3222115536967035E-13</v>
      </c>
      <c r="CB88" s="22">
        <f t="shared" si="64"/>
        <v>1.3525069634579169E-12</v>
      </c>
      <c r="CC88" s="62">
        <f t="shared" si="65"/>
        <v>293.33333333333468</v>
      </c>
      <c r="CD88" s="62">
        <f ca="1">AVERAGE(OFFSET($CC$3,0,0,'Données projet'!$E$12+1,1))-AVERAGE(OFFSET($H$3,0,0,'Données projet'!$E$12+1,1))</f>
        <v>288.82868507674738</v>
      </c>
      <c r="CE88" s="62">
        <f t="shared" si="94"/>
        <v>283.48738729114024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1.0602697224277577</v>
      </c>
      <c r="CM88" s="23">
        <f>EXP(-LN(2)/2)*CM87+(1-EXP(-LN(2)/2))/(LN(2)/2)*CG88*CJ88*VLOOKUP('Données projet'!$B$12,Paramètres!$A$1:$I$89,3,0)*0.475*44/12</f>
        <v>1.359114534112366E-8</v>
      </c>
      <c r="CN88" s="24">
        <f t="shared" si="66"/>
        <v>1.0602697360189031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317.99999999999972</v>
      </c>
      <c r="CU88" s="18">
        <f>CT88*VLOOKUP('Données projet'!$B$13,Paramètres!$A$1:$I$89,3,0)*VLOOKUP('Données projet'!$B$13,Paramètres!$A$1:$I$89,5,0)</f>
        <v>277.80479999999983</v>
      </c>
      <c r="CV88" s="14">
        <f t="shared" si="95"/>
        <v>66.50288772038418</v>
      </c>
      <c r="CW88" s="22">
        <f t="shared" si="67"/>
        <v>599.66922277966887</v>
      </c>
      <c r="CX88" s="62">
        <f t="shared" si="68"/>
        <v>893.00255611300213</v>
      </c>
      <c r="CY88" s="62">
        <f ca="1">AVERAGE(OFFSET($CX$3,0,0,'Données projet'!$E$13+1,1))-AVERAGE(OFFSET($H$3,0,0,'Données projet'!$E$13+1,1))</f>
        <v>383.46266660377637</v>
      </c>
      <c r="CZ88" s="62">
        <f t="shared" si="96"/>
        <v>373.1287543230714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3.4943497521227158</v>
      </c>
      <c r="DH88" s="23">
        <f>EXP(-LN(2)/2)*DH87+(1-EXP(-LN(2)/2))/(LN(2)/2)*DB88*DE88*VLOOKUP('Données projet'!$B$13,Paramètres!$A$1:$I$89,3,0)*0.475*44/12</f>
        <v>1.1188111857949772E-7</v>
      </c>
      <c r="DI88" s="24">
        <f t="shared" si="69"/>
        <v>3.4943498640038344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>
        <f>DO88*VLOOKUP('Données projet'!$B$14,Paramètres!$A$1:$I$89,3,0)*VLOOKUP('Données projet'!$B$14,Paramètres!$A$1:$I$89,5,0)</f>
        <v>0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96.56611521638132</v>
      </c>
      <c r="DU88" s="62">
        <f t="shared" si="98"/>
        <v>465.03257878814094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27.73127557569202</v>
      </c>
      <c r="EB88" s="23">
        <f>EXP(-LN(2)/25)*EB87+(1-EXP(-LN(2)/25))/(LN(2)/25)*Calculateur!DW88*Calculateur!DY88*VLOOKUP('Données projet'!$B$14,Paramètres!$A$1:$I$89,3,0)*0.475*44/12</f>
        <v>3.9977243310525195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31.728999906744541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317.99999999999972</v>
      </c>
      <c r="EK88" s="18">
        <f>EJ88*VLOOKUP('Données projet'!$B$15,Paramètres!$A$1:$I$89,3,0)*VLOOKUP('Données projet'!$B$15,Paramètres!$A$1:$I$89,5,0)</f>
        <v>257.96159999999981</v>
      </c>
      <c r="EL88" s="14">
        <f t="shared" si="99"/>
        <v>62.287674609742425</v>
      </c>
      <c r="EM88" s="22">
        <f t="shared" si="73"/>
        <v>557.76748661196768</v>
      </c>
      <c r="EN88" s="62">
        <f t="shared" si="74"/>
        <v>851.10081994530105</v>
      </c>
      <c r="EO88" s="62">
        <f ca="1">AVERAGE(OFFSET($EN$3,0,0,'Données projet'!$E$15+1,1))-AVERAGE(OFFSET($H$3,0,0,'Données projet'!$E$15+1,1))</f>
        <v>358.75637627589799</v>
      </c>
      <c r="EP88" s="62">
        <f t="shared" si="100"/>
        <v>349.64821164483607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3.2527908246953117</v>
      </c>
      <c r="EW88" s="23">
        <f>EXP(-LN(2)/25)*EW87+(1-EXP(-LN(2)/25))/(LN(2)/25)*Calculateur!ER88*Calculateur!ET88*VLOOKUP('Données projet'!$B$15,Paramètres!$A$1:$I$89,3,0)*0.475*44/12</f>
        <v>3.3381152620932864</v>
      </c>
      <c r="EX88" s="23">
        <f>EXP(-LN(2)/2)*EX87+(1-EXP(-LN(2)/2))/(LN(2)/2)*ER88*EU88*VLOOKUP('Données projet'!$B$15,Paramètres!$A$1:$I$89,3,0)*0.475*44/12</f>
        <v>1.9210429077788673E-8</v>
      </c>
      <c r="EY88" s="24">
        <f t="shared" si="75"/>
        <v>6.5909061059990268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>
        <f>FE88*VLOOKUP('Données projet'!$B$16,Paramètres!$A$1:$I$89,3,0)*VLOOKUP('Données projet'!$B$16,Paramètres!$A$1:$I$89,5,0)</f>
        <v>0</v>
      </c>
      <c r="FG88" s="14" t="e">
        <f t="shared" si="101"/>
        <v>#NUM!</v>
      </c>
      <c r="FH88" s="22" t="e">
        <f t="shared" si="76"/>
        <v>#NUM!</v>
      </c>
      <c r="FI88" s="62" t="e">
        <f t="shared" si="77"/>
        <v>#NUM!</v>
      </c>
      <c r="FJ88" s="62">
        <f ca="1">AVERAGE(OFFSET($FI$3,0,0,'Données projet'!$E$16+1,1))-AVERAGE(OFFSET($H$3,0,0,'Données projet'!$E$16+1,1))</f>
        <v>121.28977654040114</v>
      </c>
      <c r="FK88" s="62">
        <f t="shared" si="102"/>
        <v>615.69585264342595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37.363427316268485</v>
      </c>
      <c r="FR88" s="23">
        <f>EXP(-LN(2)/25)*FR87+(1-EXP(-LN(2)/25))/(LN(2)/25)*Calculateur!FM88*Calculateur!FO88*VLOOKUP('Données projet'!$B$16,Paramètres!$A$1:$I$89,3,0)*0.475*44/12</f>
        <v>5.3862896449194979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42.749716961187985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317.99999999999972</v>
      </c>
      <c r="O89" s="14">
        <f>N89*VLOOKUP('Données projet'!$B$9,Paramètres!$A$1:$I$89,3,0)*VLOOKUP('Données projet'!$B$9,Paramètres!$A$1:$I$89,5,0)</f>
        <v>253.0007999999998</v>
      </c>
      <c r="P89" s="14">
        <f t="shared" si="87"/>
        <v>61.228070105968683</v>
      </c>
      <c r="Q89" s="22">
        <f t="shared" si="54"/>
        <v>547.28194876789507</v>
      </c>
      <c r="R89" s="62">
        <f t="shared" si="55"/>
        <v>840.61528210122833</v>
      </c>
      <c r="S89" s="62">
        <f ca="1">AVERAGE(OFFSET($R$3,0,0,'Données projet'!$E$9+1,1))-AVERAGE(OFFSET($H$3,0,0,'Données projet'!$E$9+1,1))</f>
        <v>352.5736659365665</v>
      </c>
      <c r="T89" s="62">
        <f t="shared" si="88"/>
        <v>343.77208530767069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4.4470106576629398</v>
      </c>
      <c r="AA89" s="23">
        <f>EXP(-LN(2)/25)*AA88+(1-EXP(-LN(2)/25))/(LN(2)/25)*Calculateur!V89*Calculateur!X89*VLOOKUP('Données projet'!$B$9,Paramètres!$A$1:$I$89,3,0)*0.475*44/12</f>
        <v>5.0211309196945022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9.4681415773574429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3.6</v>
      </c>
      <c r="AI89" s="14">
        <f>IF('Données projet'!$A$62&gt;35,AI88+AH89-AQ88,IF(A89&lt;'Données projet'!$A$62,$AF$205^A89,IF(A89='Données projet'!$A$62,'Données projet'!$B$62,AI88+AH89-AQ88)))</f>
        <v>189.60000000000008</v>
      </c>
      <c r="AJ89" s="14">
        <f>AI89*VLOOKUP('Données projet'!$B$10,Paramètres!$A$1:$I$89,3,0)*VLOOKUP('Données projet'!$B$10,Paramètres!$A$1:$I$89,5,0)</f>
        <v>124.22592000000006</v>
      </c>
      <c r="AK89" s="14">
        <f t="shared" si="89"/>
        <v>32.658631616019996</v>
      </c>
      <c r="AL89" s="22">
        <f t="shared" si="58"/>
        <v>273.24059406456826</v>
      </c>
      <c r="AM89" s="62">
        <f t="shared" si="59"/>
        <v>566.57392739790157</v>
      </c>
      <c r="AN89" s="62">
        <f ca="1">AVERAGE(OFFSET($AM$3,0,0,'Données projet'!$E$10+1,1))-AVERAGE(OFFSET($H$3,0,0,'Données projet'!$E$10+1,1))</f>
        <v>210.08998695869161</v>
      </c>
      <c r="AO89" s="62">
        <f t="shared" si="90"/>
        <v>207.30911916430881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6.8812603882889001E-10</v>
      </c>
      <c r="AX89" s="23">
        <f t="shared" si="60"/>
        <v>6.8812603882889001E-10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6.4</v>
      </c>
      <c r="BD89" s="13">
        <f>IF('Données projet'!$A$88&gt;35,BD88+BC89-BL88,IF(A89&lt;'Données projet'!$A$88,$BA$205^A89,IF(A89='Données projet'!$A$88,'Données projet'!$B$88,BD88+BC89-BL88)))</f>
        <v>304.40000000000003</v>
      </c>
      <c r="BE89" s="14">
        <f>BD89*VLOOKUP('Données projet'!$B$11,Paramètres!$A$1:$I$89,3,0)*VLOOKUP('Données projet'!$B$11,Paramètres!$A$1:$I$89,5,0)</f>
        <v>204.19152000000005</v>
      </c>
      <c r="BF89" s="14">
        <f t="shared" si="91"/>
        <v>50.66422204371576</v>
      </c>
      <c r="BG89" s="22">
        <f t="shared" si="61"/>
        <v>443.87375072613833</v>
      </c>
      <c r="BH89" s="62">
        <f t="shared" si="62"/>
        <v>737.20708405947164</v>
      </c>
      <c r="BI89" s="62">
        <f ca="1">AVERAGE(OFFSET($BH$3,0,0,'Données projet'!$E$11+1,1))-AVERAGE(OFFSET($H$3,0,0,'Données projet'!$E$11+1,1))</f>
        <v>335.83558218229564</v>
      </c>
      <c r="BJ89" s="62">
        <f t="shared" si="92"/>
        <v>217.08423061559648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7.8131092956741729E-8</v>
      </c>
      <c r="BS89" s="24">
        <f t="shared" si="63"/>
        <v>7.8131092956741729E-8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5.6843418860808015E-14</v>
      </c>
      <c r="BZ89" s="14">
        <f>BY89*VLOOKUP('Données projet'!$B$12,Paramètres!$A$1:$I$89,3,0)*VLOOKUP('Données projet'!$B$12,Paramètres!$A$1:$I$89,5,0)</f>
        <v>4.4337866711430253E-14</v>
      </c>
      <c r="CA89" s="14">
        <f t="shared" si="93"/>
        <v>7.3222115536967035E-13</v>
      </c>
      <c r="CB89" s="22">
        <f t="shared" si="64"/>
        <v>1.3525069634579169E-12</v>
      </c>
      <c r="CC89" s="62">
        <f t="shared" si="65"/>
        <v>293.33333333333468</v>
      </c>
      <c r="CD89" s="62">
        <f ca="1">AVERAGE(OFFSET($CC$3,0,0,'Données projet'!$E$12+1,1))-AVERAGE(OFFSET($H$3,0,0,'Données projet'!$E$12+1,1))</f>
        <v>288.82868507674738</v>
      </c>
      <c r="CE89" s="62">
        <f t="shared" si="94"/>
        <v>283.48738729114024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1.0312765911108093</v>
      </c>
      <c r="CM89" s="23">
        <f>EXP(-LN(2)/2)*CM88+(1-EXP(-LN(2)/2))/(LN(2)/2)*CG89*CJ89*VLOOKUP('Données projet'!$B$12,Paramètres!$A$1:$I$89,3,0)*0.475*44/12</f>
        <v>9.6103910348004928E-9</v>
      </c>
      <c r="CN89" s="24">
        <f t="shared" si="66"/>
        <v>1.0312766007212002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317.99999999999972</v>
      </c>
      <c r="CU89" s="18">
        <f>CT89*VLOOKUP('Données projet'!$B$13,Paramètres!$A$1:$I$89,3,0)*VLOOKUP('Données projet'!$B$13,Paramètres!$A$1:$I$89,5,0)</f>
        <v>277.80479999999983</v>
      </c>
      <c r="CV89" s="14">
        <f t="shared" si="95"/>
        <v>66.50288772038418</v>
      </c>
      <c r="CW89" s="22">
        <f t="shared" si="67"/>
        <v>599.66922277966887</v>
      </c>
      <c r="CX89" s="62">
        <f t="shared" si="68"/>
        <v>893.00255611300213</v>
      </c>
      <c r="CY89" s="62">
        <f ca="1">AVERAGE(OFFSET($CX$3,0,0,'Données projet'!$E$13+1,1))-AVERAGE(OFFSET($H$3,0,0,'Données projet'!$E$13+1,1))</f>
        <v>383.46266660377637</v>
      </c>
      <c r="CZ89" s="62">
        <f t="shared" si="96"/>
        <v>373.1287543230714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3.3987965743910533</v>
      </c>
      <c r="DH89" s="23">
        <f>EXP(-LN(2)/2)*DH88+(1-EXP(-LN(2)/2))/(LN(2)/2)*DB89*DE89*VLOOKUP('Données projet'!$B$13,Paramètres!$A$1:$I$89,3,0)*0.475*44/12</f>
        <v>7.9111897634299072E-8</v>
      </c>
      <c r="DI89" s="24">
        <f t="shared" si="69"/>
        <v>3.3987966535029508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>
        <f>DO89*VLOOKUP('Données projet'!$B$14,Paramètres!$A$1:$I$89,3,0)*VLOOKUP('Données projet'!$B$14,Paramètres!$A$1:$I$89,5,0)</f>
        <v>0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96.56611521638132</v>
      </c>
      <c r="DU89" s="62">
        <f t="shared" si="98"/>
        <v>465.03257878814094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27.187482176060641</v>
      </c>
      <c r="EB89" s="23">
        <f>EXP(-LN(2)/25)*EB88+(1-EXP(-LN(2)/25))/(LN(2)/25)*Calculateur!DW89*Calculateur!DY89*VLOOKUP('Données projet'!$B$14,Paramètres!$A$1:$I$89,3,0)*0.475*44/12</f>
        <v>3.8884063489887026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31.075888525049344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317.99999999999972</v>
      </c>
      <c r="EK89" s="18">
        <f>EJ89*VLOOKUP('Données projet'!$B$15,Paramètres!$A$1:$I$89,3,0)*VLOOKUP('Données projet'!$B$15,Paramètres!$A$1:$I$89,5,0)</f>
        <v>257.96159999999981</v>
      </c>
      <c r="EL89" s="14">
        <f t="shared" si="99"/>
        <v>62.287674609742425</v>
      </c>
      <c r="EM89" s="22">
        <f t="shared" si="73"/>
        <v>557.76748661196768</v>
      </c>
      <c r="EN89" s="62">
        <f t="shared" si="74"/>
        <v>851.10081994530105</v>
      </c>
      <c r="EO89" s="62">
        <f ca="1">AVERAGE(OFFSET($EN$3,0,0,'Données projet'!$E$15+1,1))-AVERAGE(OFFSET($H$3,0,0,'Données projet'!$E$15+1,1))</f>
        <v>358.75637627589799</v>
      </c>
      <c r="EP89" s="62">
        <f t="shared" si="100"/>
        <v>349.64821164483607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3.1890055806295354</v>
      </c>
      <c r="EW89" s="23">
        <f>EXP(-LN(2)/25)*EW88+(1-EXP(-LN(2)/25))/(LN(2)/25)*Calculateur!ER89*Calculateur!ET89*VLOOKUP('Données projet'!$B$15,Paramètres!$A$1:$I$89,3,0)*0.475*44/12</f>
        <v>3.2468343247074931</v>
      </c>
      <c r="EX89" s="23">
        <f>EXP(-LN(2)/2)*EX88+(1-EXP(-LN(2)/2))/(LN(2)/2)*ER89*EU89*VLOOKUP('Données projet'!$B$15,Paramètres!$A$1:$I$89,3,0)*0.475*44/12</f>
        <v>1.3583824670407605E-8</v>
      </c>
      <c r="EY89" s="24">
        <f t="shared" si="75"/>
        <v>6.4358399189208528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>
        <f>FE89*VLOOKUP('Données projet'!$B$16,Paramètres!$A$1:$I$89,3,0)*VLOOKUP('Données projet'!$B$16,Paramètres!$A$1:$I$89,5,0)</f>
        <v>0</v>
      </c>
      <c r="FG89" s="14" t="e">
        <f t="shared" si="101"/>
        <v>#NUM!</v>
      </c>
      <c r="FH89" s="22" t="e">
        <f t="shared" si="76"/>
        <v>#NUM!</v>
      </c>
      <c r="FI89" s="62" t="e">
        <f t="shared" si="77"/>
        <v>#NUM!</v>
      </c>
      <c r="FJ89" s="62">
        <f ca="1">AVERAGE(OFFSET($FI$3,0,0,'Données projet'!$E$16+1,1))-AVERAGE(OFFSET($H$3,0,0,'Données projet'!$E$16+1,1))</f>
        <v>121.28977654040114</v>
      </c>
      <c r="FK89" s="62">
        <f t="shared" si="102"/>
        <v>615.69585264342595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36.63075329603685</v>
      </c>
      <c r="FR89" s="23">
        <f>EXP(-LN(2)/25)*FR88+(1-EXP(-LN(2)/25))/(LN(2)/25)*Calculateur!FM89*Calculateur!FO89*VLOOKUP('Données projet'!$B$16,Paramètres!$A$1:$I$89,3,0)*0.475*44/12</f>
        <v>5.2390012713265124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41.869754567363366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317.99999999999972</v>
      </c>
      <c r="O90" s="14">
        <f>N90*VLOOKUP('Données projet'!$B$9,Paramètres!$A$1:$I$89,3,0)*VLOOKUP('Données projet'!$B$9,Paramètres!$A$1:$I$89,5,0)</f>
        <v>253.0007999999998</v>
      </c>
      <c r="P90" s="14">
        <f t="shared" si="87"/>
        <v>61.228070105968683</v>
      </c>
      <c r="Q90" s="22">
        <f t="shared" si="54"/>
        <v>547.28194876789507</v>
      </c>
      <c r="R90" s="62">
        <f t="shared" si="55"/>
        <v>840.61528210122833</v>
      </c>
      <c r="S90" s="62">
        <f ca="1">AVERAGE(OFFSET($R$3,0,0,'Données projet'!$E$9+1,1))-AVERAGE(OFFSET($H$3,0,0,'Données projet'!$E$9+1,1))</f>
        <v>352.5736659365665</v>
      </c>
      <c r="T90" s="62">
        <f t="shared" si="88"/>
        <v>343.77208530767069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4.359807491074843</v>
      </c>
      <c r="AA90" s="23">
        <f>EXP(-LN(2)/25)*AA89+(1-EXP(-LN(2)/25))/(LN(2)/25)*Calculateur!V90*Calculateur!X90*VLOOKUP('Données projet'!$B$9,Paramètres!$A$1:$I$89,3,0)*0.475*44/12</f>
        <v>4.8838278306456573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9.2436353217205003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3.6</v>
      </c>
      <c r="AI90" s="14">
        <f>IF('Données projet'!$A$62&gt;35,AI89+AH90-AQ89,IF(A90&lt;'Données projet'!$A$62,$AF$205^A90,IF(A90='Données projet'!$A$62,'Données projet'!$B$62,AI89+AH90-AQ89)))</f>
        <v>193.20000000000007</v>
      </c>
      <c r="AJ90" s="14">
        <f>AI90*VLOOKUP('Données projet'!$B$10,Paramètres!$A$1:$I$89,3,0)*VLOOKUP('Données projet'!$B$10,Paramètres!$A$1:$I$89,5,0)</f>
        <v>126.58464000000006</v>
      </c>
      <c r="AK90" s="14">
        <f t="shared" si="89"/>
        <v>33.205951254973805</v>
      </c>
      <c r="AL90" s="22">
        <f t="shared" si="58"/>
        <v>278.30194643574617</v>
      </c>
      <c r="AM90" s="62">
        <f t="shared" si="59"/>
        <v>571.63527976907949</v>
      </c>
      <c r="AN90" s="62">
        <f ca="1">AVERAGE(OFFSET($AM$3,0,0,'Données projet'!$E$10+1,1))-AVERAGE(OFFSET($H$3,0,0,'Données projet'!$E$10+1,1))</f>
        <v>210.08998695869161</v>
      </c>
      <c r="AO90" s="62">
        <f t="shared" si="90"/>
        <v>207.30911916430881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4.8657858836694562E-10</v>
      </c>
      <c r="AX90" s="23">
        <f t="shared" si="60"/>
        <v>4.8657858836694562E-10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6.4</v>
      </c>
      <c r="BD90" s="13">
        <f>IF('Données projet'!$A$88&gt;35,BD89+BC90-BL89,IF(A90&lt;'Données projet'!$A$88,$BA$205^A90,IF(A90='Données projet'!$A$88,'Données projet'!$B$88,BD89+BC90-BL89)))</f>
        <v>310.8</v>
      </c>
      <c r="BE90" s="14">
        <f>BD90*VLOOKUP('Données projet'!$B$11,Paramètres!$A$1:$I$89,3,0)*VLOOKUP('Données projet'!$B$11,Paramètres!$A$1:$I$89,5,0)</f>
        <v>208.48464000000001</v>
      </c>
      <c r="BF90" s="14">
        <f t="shared" si="91"/>
        <v>51.60430196645396</v>
      </c>
      <c r="BG90" s="22">
        <f t="shared" si="61"/>
        <v>452.98824059157391</v>
      </c>
      <c r="BH90" s="62">
        <f t="shared" si="62"/>
        <v>746.32157392490717</v>
      </c>
      <c r="BI90" s="62">
        <f ca="1">AVERAGE(OFFSET($BH$3,0,0,'Données projet'!$E$11+1,1))-AVERAGE(OFFSET($H$3,0,0,'Données projet'!$E$11+1,1))</f>
        <v>335.83558218229564</v>
      </c>
      <c r="BJ90" s="62">
        <f t="shared" si="92"/>
        <v>217.08423061559648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5.5247025651228579E-8</v>
      </c>
      <c r="BS90" s="24">
        <f t="shared" si="63"/>
        <v>5.5247025651228579E-8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5.6843418860808015E-14</v>
      </c>
      <c r="BZ90" s="14">
        <f>BY90*VLOOKUP('Données projet'!$B$12,Paramètres!$A$1:$I$89,3,0)*VLOOKUP('Données projet'!$B$12,Paramètres!$A$1:$I$89,5,0)</f>
        <v>4.4337866711430253E-14</v>
      </c>
      <c r="CA90" s="14">
        <f t="shared" si="93"/>
        <v>7.3222115536967035E-13</v>
      </c>
      <c r="CB90" s="22">
        <f t="shared" si="64"/>
        <v>1.3525069634579169E-12</v>
      </c>
      <c r="CC90" s="62">
        <f t="shared" si="65"/>
        <v>293.33333333333468</v>
      </c>
      <c r="CD90" s="62">
        <f ca="1">AVERAGE(OFFSET($CC$3,0,0,'Données projet'!$E$12+1,1))-AVERAGE(OFFSET($H$3,0,0,'Données projet'!$E$12+1,1))</f>
        <v>288.82868507674738</v>
      </c>
      <c r="CE90" s="62">
        <f t="shared" si="94"/>
        <v>283.48738729114024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1.0030762784944052</v>
      </c>
      <c r="CM90" s="23">
        <f>EXP(-LN(2)/2)*CM89+(1-EXP(-LN(2)/2))/(LN(2)/2)*CG90*CJ90*VLOOKUP('Données projet'!$B$12,Paramètres!$A$1:$I$89,3,0)*0.475*44/12</f>
        <v>6.7955726705618302E-9</v>
      </c>
      <c r="CN90" s="24">
        <f t="shared" si="66"/>
        <v>1.0030762852899779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317.99999999999972</v>
      </c>
      <c r="CU90" s="18">
        <f>CT90*VLOOKUP('Données projet'!$B$13,Paramètres!$A$1:$I$89,3,0)*VLOOKUP('Données projet'!$B$13,Paramètres!$A$1:$I$89,5,0)</f>
        <v>277.80479999999983</v>
      </c>
      <c r="CV90" s="14">
        <f t="shared" si="95"/>
        <v>66.50288772038418</v>
      </c>
      <c r="CW90" s="22">
        <f t="shared" si="67"/>
        <v>599.66922277966887</v>
      </c>
      <c r="CX90" s="62">
        <f t="shared" si="68"/>
        <v>893.00255611300213</v>
      </c>
      <c r="CY90" s="62">
        <f ca="1">AVERAGE(OFFSET($CX$3,0,0,'Données projet'!$E$13+1,1))-AVERAGE(OFFSET($H$3,0,0,'Données projet'!$E$13+1,1))</f>
        <v>383.46266660377637</v>
      </c>
      <c r="CZ90" s="62">
        <f t="shared" si="96"/>
        <v>373.1287543230714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3.305856303329386</v>
      </c>
      <c r="DH90" s="23">
        <f>EXP(-LN(2)/2)*DH89+(1-EXP(-LN(2)/2))/(LN(2)/2)*DB90*DE90*VLOOKUP('Données projet'!$B$13,Paramètres!$A$1:$I$89,3,0)*0.475*44/12</f>
        <v>5.5940559289748861E-8</v>
      </c>
      <c r="DI90" s="24">
        <f t="shared" si="69"/>
        <v>3.3058563592699453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>
        <f>DO90*VLOOKUP('Données projet'!$B$14,Paramètres!$A$1:$I$89,3,0)*VLOOKUP('Données projet'!$B$14,Paramètres!$A$1:$I$89,5,0)</f>
        <v>0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96.56611521638132</v>
      </c>
      <c r="DU90" s="62">
        <f t="shared" si="98"/>
        <v>465.03257878814094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26.65435223331481</v>
      </c>
      <c r="EB90" s="23">
        <f>EXP(-LN(2)/25)*EB89+(1-EXP(-LN(2)/25))/(LN(2)/25)*Calculateur!DW90*Calculateur!DY90*VLOOKUP('Données projet'!$B$14,Paramètres!$A$1:$I$89,3,0)*0.475*44/12</f>
        <v>3.782077672893204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30.436429906208016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317.99999999999972</v>
      </c>
      <c r="EK90" s="18">
        <f>EJ90*VLOOKUP('Données projet'!$B$15,Paramètres!$A$1:$I$89,3,0)*VLOOKUP('Données projet'!$B$15,Paramètres!$A$1:$I$89,5,0)</f>
        <v>257.96159999999981</v>
      </c>
      <c r="EL90" s="14">
        <f t="shared" si="99"/>
        <v>62.287674609742425</v>
      </c>
      <c r="EM90" s="22">
        <f t="shared" si="73"/>
        <v>557.76748661196768</v>
      </c>
      <c r="EN90" s="62">
        <f t="shared" si="74"/>
        <v>851.10081994530105</v>
      </c>
      <c r="EO90" s="62">
        <f ca="1">AVERAGE(OFFSET($EN$3,0,0,'Données projet'!$E$15+1,1))-AVERAGE(OFFSET($H$3,0,0,'Données projet'!$E$15+1,1))</f>
        <v>358.75637627589799</v>
      </c>
      <c r="EP90" s="62">
        <f t="shared" si="100"/>
        <v>349.64821164483607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3.1264711262947316</v>
      </c>
      <c r="EW90" s="23">
        <f>EXP(-LN(2)/25)*EW89+(1-EXP(-LN(2)/25))/(LN(2)/25)*Calculateur!ER90*Calculateur!ET90*VLOOKUP('Données projet'!$B$15,Paramètres!$A$1:$I$89,3,0)*0.475*44/12</f>
        <v>3.1580494693547703</v>
      </c>
      <c r="EX90" s="23">
        <f>EXP(-LN(2)/2)*EX89+(1-EXP(-LN(2)/2))/(LN(2)/2)*ER90*EU90*VLOOKUP('Données projet'!$B$15,Paramètres!$A$1:$I$89,3,0)*0.475*44/12</f>
        <v>9.6052145388943363E-9</v>
      </c>
      <c r="EY90" s="24">
        <f t="shared" si="75"/>
        <v>6.2845206052547162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>
        <f>FE90*VLOOKUP('Données projet'!$B$16,Paramètres!$A$1:$I$89,3,0)*VLOOKUP('Données projet'!$B$16,Paramètres!$A$1:$I$89,5,0)</f>
        <v>0</v>
      </c>
      <c r="FG90" s="14" t="e">
        <f t="shared" si="101"/>
        <v>#NUM!</v>
      </c>
      <c r="FH90" s="22" t="e">
        <f t="shared" si="76"/>
        <v>#NUM!</v>
      </c>
      <c r="FI90" s="62" t="e">
        <f t="shared" si="77"/>
        <v>#NUM!</v>
      </c>
      <c r="FJ90" s="62">
        <f ca="1">AVERAGE(OFFSET($FI$3,0,0,'Données projet'!$E$16+1,1))-AVERAGE(OFFSET($H$3,0,0,'Données projet'!$E$16+1,1))</f>
        <v>121.28977654040114</v>
      </c>
      <c r="FK90" s="62">
        <f t="shared" si="102"/>
        <v>615.69585264342595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35.912446566454932</v>
      </c>
      <c r="FR90" s="23">
        <f>EXP(-LN(2)/25)*FR89+(1-EXP(-LN(2)/25))/(LN(2)/25)*Calculateur!FM90*Calculateur!FO90*VLOOKUP('Données projet'!$B$16,Paramètres!$A$1:$I$89,3,0)*0.475*44/12</f>
        <v>5.0957405060549856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41.008187072509919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317.99999999999972</v>
      </c>
      <c r="O91" s="14">
        <f>N91*VLOOKUP('Données projet'!$B$9,Paramètres!$A$1:$I$89,3,0)*VLOOKUP('Données projet'!$B$9,Paramètres!$A$1:$I$89,5,0)</f>
        <v>253.0007999999998</v>
      </c>
      <c r="P91" s="14">
        <f t="shared" si="87"/>
        <v>61.228070105968683</v>
      </c>
      <c r="Q91" s="22">
        <f t="shared" si="54"/>
        <v>547.28194876789507</v>
      </c>
      <c r="R91" s="62">
        <f t="shared" si="55"/>
        <v>840.61528210122833</v>
      </c>
      <c r="S91" s="62">
        <f ca="1">AVERAGE(OFFSET($R$3,0,0,'Données projet'!$E$9+1,1))-AVERAGE(OFFSET($H$3,0,0,'Données projet'!$E$9+1,1))</f>
        <v>352.5736659365665</v>
      </c>
      <c r="T91" s="62">
        <f t="shared" si="88"/>
        <v>343.77208530767069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4.274314325394859</v>
      </c>
      <c r="AA91" s="23">
        <f>EXP(-LN(2)/25)*AA90+(1-EXP(-LN(2)/25))/(LN(2)/25)*Calculateur!V91*Calculateur!X91*VLOOKUP('Données projet'!$B$9,Paramètres!$A$1:$I$89,3,0)*0.475*44/12</f>
        <v>4.750279301787308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9.024593627182167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3.6</v>
      </c>
      <c r="AI91" s="14">
        <f>IF('Données projet'!$A$62&gt;35,AI90+AH91-AQ90,IF(A91&lt;'Données projet'!$A$62,$AF$205^A91,IF(A91='Données projet'!$A$62,'Données projet'!$B$62,AI90+AH91-AQ90)))</f>
        <v>196.80000000000007</v>
      </c>
      <c r="AJ91" s="14">
        <f>AI91*VLOOKUP('Données projet'!$B$10,Paramètres!$A$1:$I$89,3,0)*VLOOKUP('Données projet'!$B$10,Paramètres!$A$1:$I$89,5,0)</f>
        <v>128.94336000000004</v>
      </c>
      <c r="AK91" s="14">
        <f t="shared" si="89"/>
        <v>33.752085002132198</v>
      </c>
      <c r="AL91" s="22">
        <f t="shared" si="58"/>
        <v>283.36123337871362</v>
      </c>
      <c r="AM91" s="62">
        <f t="shared" si="59"/>
        <v>576.69456671204694</v>
      </c>
      <c r="AN91" s="62">
        <f ca="1">AVERAGE(OFFSET($AM$3,0,0,'Données projet'!$E$10+1,1))-AVERAGE(OFFSET($H$3,0,0,'Données projet'!$E$10+1,1))</f>
        <v>210.08998695869161</v>
      </c>
      <c r="AO91" s="62">
        <f t="shared" si="90"/>
        <v>207.30911916430881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3.4406301941444501E-10</v>
      </c>
      <c r="AX91" s="23">
        <f t="shared" si="60"/>
        <v>3.4406301941444501E-10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6.4</v>
      </c>
      <c r="BD91" s="13">
        <f>IF('Données projet'!$A$88&gt;35,BD90+BC91-BL90,IF(A91&lt;'Données projet'!$A$88,$BA$205^A91,IF(A91='Données projet'!$A$88,'Données projet'!$B$88,BD90+BC91-BL90)))</f>
        <v>317.2</v>
      </c>
      <c r="BE91" s="14">
        <f>BD91*VLOOKUP('Données projet'!$B$11,Paramètres!$A$1:$I$89,3,0)*VLOOKUP('Données projet'!$B$11,Paramètres!$A$1:$I$89,5,0)</f>
        <v>212.77775999999997</v>
      </c>
      <c r="BF91" s="14">
        <f t="shared" si="91"/>
        <v>52.542131131270303</v>
      </c>
      <c r="BG91" s="22">
        <f t="shared" si="61"/>
        <v>462.09881038696238</v>
      </c>
      <c r="BH91" s="62">
        <f t="shared" si="62"/>
        <v>755.4321437202957</v>
      </c>
      <c r="BI91" s="62">
        <f ca="1">AVERAGE(OFFSET($BH$3,0,0,'Données projet'!$E$11+1,1))-AVERAGE(OFFSET($H$3,0,0,'Données projet'!$E$11+1,1))</f>
        <v>335.83558218229564</v>
      </c>
      <c r="BJ91" s="62">
        <f t="shared" si="92"/>
        <v>217.08423061559648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3.9065546478370865E-8</v>
      </c>
      <c r="BS91" s="24">
        <f t="shared" si="63"/>
        <v>3.9065546478370865E-8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5.6843418860808015E-14</v>
      </c>
      <c r="BZ91" s="14">
        <f>BY91*VLOOKUP('Données projet'!$B$12,Paramètres!$A$1:$I$89,3,0)*VLOOKUP('Données projet'!$B$12,Paramètres!$A$1:$I$89,5,0)</f>
        <v>4.4337866711430253E-14</v>
      </c>
      <c r="CA91" s="14">
        <f t="shared" si="93"/>
        <v>7.3222115536967035E-13</v>
      </c>
      <c r="CB91" s="22">
        <f t="shared" si="64"/>
        <v>1.3525069634579169E-12</v>
      </c>
      <c r="CC91" s="62">
        <f t="shared" si="65"/>
        <v>293.33333333333468</v>
      </c>
      <c r="CD91" s="62">
        <f ca="1">AVERAGE(OFFSET($CC$3,0,0,'Données projet'!$E$12+1,1))-AVERAGE(OFFSET($H$3,0,0,'Données projet'!$E$12+1,1))</f>
        <v>288.82868507674738</v>
      </c>
      <c r="CE91" s="62">
        <f t="shared" si="94"/>
        <v>283.48738729114024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0.9756471049094867</v>
      </c>
      <c r="CM91" s="23">
        <f>EXP(-LN(2)/2)*CM90+(1-EXP(-LN(2)/2))/(LN(2)/2)*CG91*CJ91*VLOOKUP('Données projet'!$B$12,Paramètres!$A$1:$I$89,3,0)*0.475*44/12</f>
        <v>4.8051955174002464E-9</v>
      </c>
      <c r="CN91" s="24">
        <f t="shared" si="66"/>
        <v>0.97564710971468216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317.99999999999972</v>
      </c>
      <c r="CU91" s="18">
        <f>CT91*VLOOKUP('Données projet'!$B$13,Paramètres!$A$1:$I$89,3,0)*VLOOKUP('Données projet'!$B$13,Paramètres!$A$1:$I$89,5,0)</f>
        <v>277.80479999999983</v>
      </c>
      <c r="CV91" s="14">
        <f t="shared" si="95"/>
        <v>66.50288772038418</v>
      </c>
      <c r="CW91" s="22">
        <f t="shared" si="67"/>
        <v>599.66922277966887</v>
      </c>
      <c r="CX91" s="62">
        <f t="shared" si="68"/>
        <v>893.00255611300213</v>
      </c>
      <c r="CY91" s="62">
        <f ca="1">AVERAGE(OFFSET($CX$3,0,0,'Données projet'!$E$13+1,1))-AVERAGE(OFFSET($H$3,0,0,'Données projet'!$E$13+1,1))</f>
        <v>383.46266660377637</v>
      </c>
      <c r="CZ91" s="62">
        <f t="shared" si="96"/>
        <v>373.1287543230714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3.2154574888674166</v>
      </c>
      <c r="DH91" s="23">
        <f>EXP(-LN(2)/2)*DH90+(1-EXP(-LN(2)/2))/(LN(2)/2)*DB91*DE91*VLOOKUP('Données projet'!$B$13,Paramètres!$A$1:$I$89,3,0)*0.475*44/12</f>
        <v>3.9555948817149536E-8</v>
      </c>
      <c r="DI91" s="24">
        <f t="shared" si="69"/>
        <v>3.2154575284233653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>
        <f>DO91*VLOOKUP('Données projet'!$B$14,Paramètres!$A$1:$I$89,3,0)*VLOOKUP('Données projet'!$B$14,Paramètres!$A$1:$I$89,5,0)</f>
        <v>0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96.56611521638132</v>
      </c>
      <c r="DU91" s="62">
        <f t="shared" si="98"/>
        <v>465.03257878814094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26.131676643569069</v>
      </c>
      <c r="EB91" s="23">
        <f>EXP(-LN(2)/25)*EB90+(1-EXP(-LN(2)/25))/(LN(2)/25)*Calculateur!DW91*Calculateur!DY91*VLOOKUP('Données projet'!$B$14,Paramètres!$A$1:$I$89,3,0)*0.475*44/12</f>
        <v>3.6786565600371186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29.810333203606188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317.99999999999972</v>
      </c>
      <c r="EK91" s="18">
        <f>EJ91*VLOOKUP('Données projet'!$B$15,Paramètres!$A$1:$I$89,3,0)*VLOOKUP('Données projet'!$B$15,Paramètres!$A$1:$I$89,5,0)</f>
        <v>257.96159999999981</v>
      </c>
      <c r="EL91" s="14">
        <f t="shared" si="99"/>
        <v>62.287674609742425</v>
      </c>
      <c r="EM91" s="22">
        <f t="shared" si="73"/>
        <v>557.76748661196768</v>
      </c>
      <c r="EN91" s="62">
        <f t="shared" si="74"/>
        <v>851.10081994530105</v>
      </c>
      <c r="EO91" s="62">
        <f ca="1">AVERAGE(OFFSET($EN$3,0,0,'Données projet'!$E$15+1,1))-AVERAGE(OFFSET($H$3,0,0,'Données projet'!$E$15+1,1))</f>
        <v>358.75637627589799</v>
      </c>
      <c r="EP91" s="62">
        <f t="shared" si="100"/>
        <v>349.64821164483607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3.0651629344671822</v>
      </c>
      <c r="EW91" s="23">
        <f>EXP(-LN(2)/25)*EW90+(1-EXP(-LN(2)/25))/(LN(2)/25)*Calculateur!ER91*Calculateur!ET91*VLOOKUP('Données projet'!$B$15,Paramètres!$A$1:$I$89,3,0)*0.475*44/12</f>
        <v>3.0716924405406605</v>
      </c>
      <c r="EX91" s="23">
        <f>EXP(-LN(2)/2)*EX90+(1-EXP(-LN(2)/2))/(LN(2)/2)*ER91*EU91*VLOOKUP('Données projet'!$B$15,Paramètres!$A$1:$I$89,3,0)*0.475*44/12</f>
        <v>6.7919123352038025E-9</v>
      </c>
      <c r="EY91" s="24">
        <f t="shared" si="75"/>
        <v>6.1368553817997542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>
        <f>FE91*VLOOKUP('Données projet'!$B$16,Paramètres!$A$1:$I$89,3,0)*VLOOKUP('Données projet'!$B$16,Paramètres!$A$1:$I$89,5,0)</f>
        <v>0</v>
      </c>
      <c r="FG91" s="14" t="e">
        <f t="shared" si="101"/>
        <v>#NUM!</v>
      </c>
      <c r="FH91" s="22" t="e">
        <f t="shared" si="76"/>
        <v>#NUM!</v>
      </c>
      <c r="FI91" s="62" t="e">
        <f t="shared" si="77"/>
        <v>#NUM!</v>
      </c>
      <c r="FJ91" s="62">
        <f ca="1">AVERAGE(OFFSET($FI$3,0,0,'Données projet'!$E$16+1,1))-AVERAGE(OFFSET($H$3,0,0,'Données projet'!$E$16+1,1))</f>
        <v>121.28977654040114</v>
      </c>
      <c r="FK91" s="62">
        <f t="shared" si="102"/>
        <v>615.69585264342595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35.208225393716276</v>
      </c>
      <c r="FR91" s="23">
        <f>EXP(-LN(2)/25)*FR90+(1-EXP(-LN(2)/25))/(LN(2)/25)*Calculateur!FM91*Calculateur!FO91*VLOOKUP('Données projet'!$B$16,Paramètres!$A$1:$I$89,3,0)*0.475*44/12</f>
        <v>4.956397213943565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40.164622607659844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317.99999999999972</v>
      </c>
      <c r="O92" s="14">
        <f>N92*VLOOKUP('Données projet'!$B$9,Paramètres!$A$1:$I$89,3,0)*VLOOKUP('Données projet'!$B$9,Paramètres!$A$1:$I$89,5,0)</f>
        <v>253.0007999999998</v>
      </c>
      <c r="P92" s="14">
        <f t="shared" si="87"/>
        <v>61.228070105968683</v>
      </c>
      <c r="Q92" s="22">
        <f t="shared" si="54"/>
        <v>547.28194876789507</v>
      </c>
      <c r="R92" s="62">
        <f t="shared" si="55"/>
        <v>840.61528210122833</v>
      </c>
      <c r="S92" s="62">
        <f ca="1">AVERAGE(OFFSET($R$3,0,0,'Données projet'!$E$9+1,1))-AVERAGE(OFFSET($H$3,0,0,'Données projet'!$E$9+1,1))</f>
        <v>352.5736659365665</v>
      </c>
      <c r="T92" s="62">
        <f t="shared" si="88"/>
        <v>343.77208530767069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4.1904976285481768</v>
      </c>
      <c r="AA92" s="23">
        <f>EXP(-LN(2)/25)*AA91+(1-EXP(-LN(2)/25))/(LN(2)/25)*Calculateur!V92*Calculateur!X92*VLOOKUP('Données projet'!$B$9,Paramètres!$A$1:$I$89,3,0)*0.475*44/12</f>
        <v>4.6203826644736026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8.8108802930217784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3.6</v>
      </c>
      <c r="AI92" s="14">
        <f>IF('Données projet'!$A$62&gt;35,AI91+AH92-AQ91,IF(A92&lt;'Données projet'!$A$62,$AF$205^A92,IF(A92='Données projet'!$A$62,'Données projet'!$B$62,AI91+AH92-AQ91)))</f>
        <v>200.40000000000006</v>
      </c>
      <c r="AJ92" s="14">
        <f>AI92*VLOOKUP('Données projet'!$B$10,Paramètres!$A$1:$I$89,3,0)*VLOOKUP('Données projet'!$B$10,Paramètres!$A$1:$I$89,5,0)</f>
        <v>131.30208000000005</v>
      </c>
      <c r="AK92" s="14">
        <f t="shared" si="89"/>
        <v>34.297057052675505</v>
      </c>
      <c r="AL92" s="22">
        <f t="shared" si="58"/>
        <v>288.41849703340995</v>
      </c>
      <c r="AM92" s="62">
        <f t="shared" si="59"/>
        <v>581.75183036674321</v>
      </c>
      <c r="AN92" s="62">
        <f ca="1">AVERAGE(OFFSET($AM$3,0,0,'Données projet'!$E$10+1,1))-AVERAGE(OFFSET($H$3,0,0,'Données projet'!$E$10+1,1))</f>
        <v>210.08998695869161</v>
      </c>
      <c r="AO92" s="62">
        <f t="shared" si="90"/>
        <v>207.30911916430881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2.4328929418347281E-10</v>
      </c>
      <c r="AX92" s="23">
        <f t="shared" si="60"/>
        <v>2.4328929418347281E-10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6.4</v>
      </c>
      <c r="BD92" s="13">
        <f>IF('Données projet'!$A$88&gt;35,BD91+BC92-BL91,IF(A92&lt;'Données projet'!$A$88,$BA$205^A92,IF(A92='Données projet'!$A$88,'Données projet'!$B$88,BD91+BC92-BL91)))</f>
        <v>323.59999999999997</v>
      </c>
      <c r="BE92" s="14">
        <f>BD92*VLOOKUP('Données projet'!$B$11,Paramètres!$A$1:$I$89,3,0)*VLOOKUP('Données projet'!$B$11,Paramètres!$A$1:$I$89,5,0)</f>
        <v>217.07087999999999</v>
      </c>
      <c r="BF92" s="14">
        <f t="shared" si="91"/>
        <v>53.477760184148146</v>
      </c>
      <c r="BG92" s="22">
        <f t="shared" si="61"/>
        <v>471.20554832072474</v>
      </c>
      <c r="BH92" s="62">
        <f t="shared" si="62"/>
        <v>764.53888165405806</v>
      </c>
      <c r="BI92" s="62">
        <f ca="1">AVERAGE(OFFSET($BH$3,0,0,'Données projet'!$E$11+1,1))-AVERAGE(OFFSET($H$3,0,0,'Données projet'!$E$11+1,1))</f>
        <v>335.83558218229564</v>
      </c>
      <c r="BJ92" s="62">
        <f t="shared" si="92"/>
        <v>217.08423061559648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2.7623512825614289E-8</v>
      </c>
      <c r="BS92" s="24">
        <f t="shared" si="63"/>
        <v>2.7623512825614289E-8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5.6843418860808015E-14</v>
      </c>
      <c r="BZ92" s="14">
        <f>BY92*VLOOKUP('Données projet'!$B$12,Paramètres!$A$1:$I$89,3,0)*VLOOKUP('Données projet'!$B$12,Paramètres!$A$1:$I$89,5,0)</f>
        <v>4.4337866711430253E-14</v>
      </c>
      <c r="CA92" s="14">
        <f t="shared" si="93"/>
        <v>7.3222115536967035E-13</v>
      </c>
      <c r="CB92" s="22">
        <f t="shared" si="64"/>
        <v>1.3525069634579169E-12</v>
      </c>
      <c r="CC92" s="62">
        <f t="shared" si="65"/>
        <v>293.33333333333468</v>
      </c>
      <c r="CD92" s="62">
        <f ca="1">AVERAGE(OFFSET($CC$3,0,0,'Données projet'!$E$12+1,1))-AVERAGE(OFFSET($H$3,0,0,'Données projet'!$E$12+1,1))</f>
        <v>288.82868507674738</v>
      </c>
      <c r="CE92" s="62">
        <f t="shared" si="94"/>
        <v>283.48738729114024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0.94896798351868539</v>
      </c>
      <c r="CM92" s="23">
        <f>EXP(-LN(2)/2)*CM91+(1-EXP(-LN(2)/2))/(LN(2)/2)*CG92*CJ92*VLOOKUP('Données projet'!$B$12,Paramètres!$A$1:$I$89,3,0)*0.475*44/12</f>
        <v>3.3977863352809151E-9</v>
      </c>
      <c r="CN92" s="24">
        <f t="shared" si="66"/>
        <v>0.94896798691647177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317.99999999999972</v>
      </c>
      <c r="CU92" s="18">
        <f>CT92*VLOOKUP('Données projet'!$B$13,Paramètres!$A$1:$I$89,3,0)*VLOOKUP('Données projet'!$B$13,Paramètres!$A$1:$I$89,5,0)</f>
        <v>277.80479999999983</v>
      </c>
      <c r="CV92" s="14">
        <f t="shared" si="95"/>
        <v>66.50288772038418</v>
      </c>
      <c r="CW92" s="22">
        <f t="shared" si="67"/>
        <v>599.66922277966887</v>
      </c>
      <c r="CX92" s="62">
        <f t="shared" si="68"/>
        <v>893.00255611300213</v>
      </c>
      <c r="CY92" s="62">
        <f ca="1">AVERAGE(OFFSET($CX$3,0,0,'Données projet'!$E$13+1,1))-AVERAGE(OFFSET($H$3,0,0,'Données projet'!$E$13+1,1))</f>
        <v>383.46266660377637</v>
      </c>
      <c r="CZ92" s="62">
        <f t="shared" si="96"/>
        <v>373.1287543230714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3.1275306347407765</v>
      </c>
      <c r="DH92" s="23">
        <f>EXP(-LN(2)/2)*DH91+(1-EXP(-LN(2)/2))/(LN(2)/2)*DB92*DE92*VLOOKUP('Données projet'!$B$13,Paramètres!$A$1:$I$89,3,0)*0.475*44/12</f>
        <v>2.7970279644874431E-8</v>
      </c>
      <c r="DI92" s="24">
        <f t="shared" si="69"/>
        <v>3.127530662711056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>
        <f>DO92*VLOOKUP('Données projet'!$B$14,Paramètres!$A$1:$I$89,3,0)*VLOOKUP('Données projet'!$B$14,Paramètres!$A$1:$I$89,5,0)</f>
        <v>0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96.56611521638132</v>
      </c>
      <c r="DU92" s="62">
        <f t="shared" si="98"/>
        <v>465.03257878814094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25.61925040333761</v>
      </c>
      <c r="EB92" s="23">
        <f>EXP(-LN(2)/25)*EB91+(1-EXP(-LN(2)/25))/(LN(2)/25)*Calculateur!DW92*Calculateur!DY92*VLOOKUP('Données projet'!$B$14,Paramètres!$A$1:$I$89,3,0)*0.475*44/12</f>
        <v>3.5780635029507626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29.197313906288372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317.99999999999972</v>
      </c>
      <c r="EK92" s="18">
        <f>EJ92*VLOOKUP('Données projet'!$B$15,Paramètres!$A$1:$I$89,3,0)*VLOOKUP('Données projet'!$B$15,Paramètres!$A$1:$I$89,5,0)</f>
        <v>257.96159999999981</v>
      </c>
      <c r="EL92" s="14">
        <f t="shared" si="99"/>
        <v>62.287674609742425</v>
      </c>
      <c r="EM92" s="22">
        <f t="shared" si="73"/>
        <v>557.76748661196768</v>
      </c>
      <c r="EN92" s="62">
        <f t="shared" si="74"/>
        <v>851.10081994530105</v>
      </c>
      <c r="EO92" s="62">
        <f ca="1">AVERAGE(OFFSET($EN$3,0,0,'Données projet'!$E$15+1,1))-AVERAGE(OFFSET($H$3,0,0,'Données projet'!$E$15+1,1))</f>
        <v>358.75637627589799</v>
      </c>
      <c r="EP92" s="62">
        <f t="shared" si="100"/>
        <v>349.64821164483607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3.0050569588870668</v>
      </c>
      <c r="EW92" s="23">
        <f>EXP(-LN(2)/25)*EW91+(1-EXP(-LN(2)/25))/(LN(2)/25)*Calculateur!ER92*Calculateur!ET92*VLOOKUP('Données projet'!$B$15,Paramètres!$A$1:$I$89,3,0)*0.475*44/12</f>
        <v>2.9876968492207912</v>
      </c>
      <c r="EX92" s="23">
        <f>EXP(-LN(2)/2)*EX91+(1-EXP(-LN(2)/2))/(LN(2)/2)*ER92*EU92*VLOOKUP('Données projet'!$B$15,Paramètres!$A$1:$I$89,3,0)*0.475*44/12</f>
        <v>4.8026072694471682E-9</v>
      </c>
      <c r="EY92" s="24">
        <f t="shared" si="75"/>
        <v>5.9927538129104656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>
        <f>FE92*VLOOKUP('Données projet'!$B$16,Paramètres!$A$1:$I$89,3,0)*VLOOKUP('Données projet'!$B$16,Paramètres!$A$1:$I$89,5,0)</f>
        <v>0</v>
      </c>
      <c r="FG92" s="14" t="e">
        <f t="shared" si="101"/>
        <v>#NUM!</v>
      </c>
      <c r="FH92" s="22" t="e">
        <f t="shared" si="76"/>
        <v>#NUM!</v>
      </c>
      <c r="FI92" s="62" t="e">
        <f t="shared" si="77"/>
        <v>#NUM!</v>
      </c>
      <c r="FJ92" s="62">
        <f ca="1">AVERAGE(OFFSET($FI$3,0,0,'Données projet'!$E$16+1,1))-AVERAGE(OFFSET($H$3,0,0,'Données projet'!$E$16+1,1))</f>
        <v>121.28977654040114</v>
      </c>
      <c r="FK92" s="62">
        <f t="shared" si="102"/>
        <v>615.69585264342595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34.517813568642524</v>
      </c>
      <c r="FR92" s="23">
        <f>EXP(-LN(2)/25)*FR91+(1-EXP(-LN(2)/25))/(LN(2)/25)*Calculateur!FM92*Calculateur!FO92*VLOOKUP('Données projet'!$B$16,Paramètres!$A$1:$I$89,3,0)*0.475*44/12</f>
        <v>4.8208642714826766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39.3386778401252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317.99999999999972</v>
      </c>
      <c r="O93" s="14">
        <f>N93*VLOOKUP('Données projet'!$B$9,Paramètres!$A$1:$I$89,3,0)*VLOOKUP('Données projet'!$B$9,Paramètres!$A$1:$I$89,5,0)</f>
        <v>253.0007999999998</v>
      </c>
      <c r="P93" s="14">
        <f t="shared" si="87"/>
        <v>61.228070105968683</v>
      </c>
      <c r="Q93" s="22">
        <f t="shared" si="54"/>
        <v>547.28194876789507</v>
      </c>
      <c r="R93" s="62">
        <f t="shared" si="55"/>
        <v>840.61528210122833</v>
      </c>
      <c r="S93" s="62">
        <f ca="1">AVERAGE(OFFSET($R$3,0,0,'Données projet'!$E$9+1,1))-AVERAGE(OFFSET($H$3,0,0,'Données projet'!$E$9+1,1))</f>
        <v>352.5736659365665</v>
      </c>
      <c r="T93" s="62">
        <f t="shared" si="88"/>
        <v>343.77208530767069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4.1083245260035213</v>
      </c>
      <c r="AA93" s="23">
        <f>EXP(-LN(2)/25)*AA92+(1-EXP(-LN(2)/25))/(LN(2)/25)*Calculateur!V93*Calculateur!X93*VLOOKUP('Données projet'!$B$9,Paramètres!$A$1:$I$89,3,0)*0.475*44/12</f>
        <v>4.4940380575382077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8.6023625835417299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204</v>
      </c>
      <c r="AG93" s="13">
        <f>VLOOKUP(A93,'Données projet'!$A$61:$I$81,9,0)</f>
        <v>3.6</v>
      </c>
      <c r="AH93" s="13">
        <f t="array" ref="AH93">INDEX(AG:AG,MIN(IF(ISNUMBER(AG93:AG289),ROW(AG93:AG289),"")))</f>
        <v>3.6</v>
      </c>
      <c r="AI93" s="14">
        <f>IF('Données projet'!$A$62&gt;35,AI92+AH93-AQ92,IF(A93&lt;'Données projet'!$A$62,$AF$205^A93,IF(A93='Données projet'!$A$62,'Données projet'!$B$62,AI92+AH93-AQ92)))</f>
        <v>204.00000000000006</v>
      </c>
      <c r="AJ93" s="14">
        <f>AI93*VLOOKUP('Données projet'!$B$10,Paramètres!$A$1:$I$89,3,0)*VLOOKUP('Données projet'!$B$10,Paramètres!$A$1:$I$89,5,0)</f>
        <v>133.66080000000005</v>
      </c>
      <c r="AK93" s="14">
        <f t="shared" si="89"/>
        <v>34.840890682716747</v>
      </c>
      <c r="AL93" s="22">
        <f t="shared" si="58"/>
        <v>293.47377793906509</v>
      </c>
      <c r="AM93" s="62">
        <f t="shared" si="59"/>
        <v>586.8071112723984</v>
      </c>
      <c r="AN93" s="62">
        <f ca="1">AVERAGE(OFFSET($AM$3,0,0,'Données projet'!$E$10+1,1))-AVERAGE(OFFSET($H$3,0,0,'Données projet'!$E$10+1,1))</f>
        <v>210.08998695869161</v>
      </c>
      <c r="AO93" s="62">
        <f t="shared" si="90"/>
        <v>207.30911916430881</v>
      </c>
      <c r="AP93" s="16">
        <f>IF(ISNA(VLOOKUP(A93,'Données projet'!$A$61:$I$81,3,0)),0,VLOOKUP(A93,'Données projet'!$A$61:$I$81,3,0))</f>
        <v>17</v>
      </c>
      <c r="AQ93" s="16">
        <f>IF(ISNA(VLOOKUP(A93,'Données projet'!$A$61:$I$81,4,0)),0,VLOOKUP(A93,'Données projet'!$A$61:$I$81,4,0))</f>
        <v>204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1.720315097072225E-10</v>
      </c>
      <c r="AX93" s="23">
        <f t="shared" si="60"/>
        <v>1.720315097072225E-10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330</v>
      </c>
      <c r="BB93" s="13">
        <f>VLOOKUP(A93,'Données projet'!$A$87:$I$107,9,0)</f>
        <v>6.4</v>
      </c>
      <c r="BC93" s="13">
        <f t="array" ref="BC93">INDEX(BB:BB,MIN(IF(ISNUMBER(BB93:BB289),ROW(BB93:BB289),"")))</f>
        <v>6.4</v>
      </c>
      <c r="BD93" s="13">
        <f>IF('Données projet'!$A$88&gt;35,BD92+BC93-BL92,IF(A93&lt;'Données projet'!$A$88,$BA$205^A93,IF(A93='Données projet'!$A$88,'Données projet'!$B$88,BD92+BC93-BL92)))</f>
        <v>329.99999999999994</v>
      </c>
      <c r="BE93" s="14">
        <f>BD93*VLOOKUP('Données projet'!$B$11,Paramètres!$A$1:$I$89,3,0)*VLOOKUP('Données projet'!$B$11,Paramètres!$A$1:$I$89,5,0)</f>
        <v>221.36399999999998</v>
      </c>
      <c r="BF93" s="14">
        <f t="shared" si="91"/>
        <v>54.411237653200793</v>
      </c>
      <c r="BG93" s="22">
        <f t="shared" si="61"/>
        <v>480.30853891265798</v>
      </c>
      <c r="BH93" s="62">
        <f t="shared" si="62"/>
        <v>773.64187224599129</v>
      </c>
      <c r="BI93" s="62">
        <f ca="1">AVERAGE(OFFSET($BH$3,0,0,'Données projet'!$E$11+1,1))-AVERAGE(OFFSET($H$3,0,0,'Données projet'!$E$11+1,1))</f>
        <v>335.83558218229564</v>
      </c>
      <c r="BJ93" s="62">
        <f t="shared" si="92"/>
        <v>217.08423061559648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28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1.9532773239185432E-8</v>
      </c>
      <c r="BS93" s="24">
        <f t="shared" si="63"/>
        <v>1.9532773239185432E-8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5.6843418860808015E-14</v>
      </c>
      <c r="BZ93" s="14">
        <f>BY93*VLOOKUP('Données projet'!$B$12,Paramètres!$A$1:$I$89,3,0)*VLOOKUP('Données projet'!$B$12,Paramètres!$A$1:$I$89,5,0)</f>
        <v>4.4337866711430253E-14</v>
      </c>
      <c r="CA93" s="14">
        <f t="shared" si="93"/>
        <v>7.3222115536967035E-13</v>
      </c>
      <c r="CB93" s="22">
        <f t="shared" si="64"/>
        <v>1.3525069634579169E-12</v>
      </c>
      <c r="CC93" s="62">
        <f t="shared" si="65"/>
        <v>293.33333333333468</v>
      </c>
      <c r="CD93" s="62">
        <f ca="1">AVERAGE(OFFSET($CC$3,0,0,'Données projet'!$E$12+1,1))-AVERAGE(OFFSET($H$3,0,0,'Données projet'!$E$12+1,1))</f>
        <v>288.82868507674738</v>
      </c>
      <c r="CE93" s="62">
        <f t="shared" si="94"/>
        <v>283.48738729114024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0.92301840410530955</v>
      </c>
      <c r="CM93" s="23">
        <f>EXP(-LN(2)/2)*CM92+(1-EXP(-LN(2)/2))/(LN(2)/2)*CG93*CJ93*VLOOKUP('Données projet'!$B$12,Paramètres!$A$1:$I$89,3,0)*0.475*44/12</f>
        <v>2.4025977587001232E-9</v>
      </c>
      <c r="CN93" s="24">
        <f t="shared" si="66"/>
        <v>0.92301840650790734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317.99999999999972</v>
      </c>
      <c r="CU93" s="18">
        <f>CT93*VLOOKUP('Données projet'!$B$13,Paramètres!$A$1:$I$89,3,0)*VLOOKUP('Données projet'!$B$13,Paramètres!$A$1:$I$89,5,0)</f>
        <v>277.80479999999983</v>
      </c>
      <c r="CV93" s="14">
        <f t="shared" si="95"/>
        <v>66.50288772038418</v>
      </c>
      <c r="CW93" s="22">
        <f t="shared" si="67"/>
        <v>599.66922277966887</v>
      </c>
      <c r="CX93" s="62">
        <f t="shared" si="68"/>
        <v>893.00255611300213</v>
      </c>
      <c r="CY93" s="62">
        <f ca="1">AVERAGE(OFFSET($CX$3,0,0,'Données projet'!$E$13+1,1))-AVERAGE(OFFSET($H$3,0,0,'Données projet'!$E$13+1,1))</f>
        <v>383.46266660377637</v>
      </c>
      <c r="CZ93" s="62">
        <f t="shared" si="96"/>
        <v>373.1287543230714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3.0420081450641021</v>
      </c>
      <c r="DH93" s="23">
        <f>EXP(-LN(2)/2)*DH92+(1-EXP(-LN(2)/2))/(LN(2)/2)*DB93*DE93*VLOOKUP('Données projet'!$B$13,Paramètres!$A$1:$I$89,3,0)*0.475*44/12</f>
        <v>1.9777974408574768E-8</v>
      </c>
      <c r="DI93" s="24">
        <f t="shared" si="69"/>
        <v>3.0420081648420765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>
        <f>DO93*VLOOKUP('Données projet'!$B$14,Paramètres!$A$1:$I$89,3,0)*VLOOKUP('Données projet'!$B$14,Paramètres!$A$1:$I$89,5,0)</f>
        <v>0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96.56611521638132</v>
      </c>
      <c r="DU93" s="62">
        <f t="shared" si="98"/>
        <v>465.03257878814094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25.116872529127946</v>
      </c>
      <c r="EB93" s="23">
        <f>EXP(-LN(2)/25)*EB92+(1-EXP(-LN(2)/25))/(LN(2)/25)*Calculateur!DW93*Calculateur!DY93*VLOOKUP('Données projet'!$B$14,Paramètres!$A$1:$I$89,3,0)*0.475*44/12</f>
        <v>3.4802211683003921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28.597093697428338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317.99999999999972</v>
      </c>
      <c r="EK93" s="18">
        <f>EJ93*VLOOKUP('Données projet'!$B$15,Paramètres!$A$1:$I$89,3,0)*VLOOKUP('Données projet'!$B$15,Paramètres!$A$1:$I$89,5,0)</f>
        <v>257.96159999999981</v>
      </c>
      <c r="EL93" s="14">
        <f t="shared" si="99"/>
        <v>62.287674609742425</v>
      </c>
      <c r="EM93" s="22">
        <f t="shared" si="73"/>
        <v>557.76748661196768</v>
      </c>
      <c r="EN93" s="62">
        <f t="shared" si="74"/>
        <v>851.10081994530105</v>
      </c>
      <c r="EO93" s="62">
        <f ca="1">AVERAGE(OFFSET($EN$3,0,0,'Données projet'!$E$15+1,1))-AVERAGE(OFFSET($H$3,0,0,'Données projet'!$E$15+1,1))</f>
        <v>358.75637627589799</v>
      </c>
      <c r="EP93" s="62">
        <f t="shared" si="100"/>
        <v>349.64821164483607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2.9461296248270523</v>
      </c>
      <c r="EW93" s="23">
        <f>EXP(-LN(2)/25)*EW92+(1-EXP(-LN(2)/25))/(LN(2)/25)*Calculateur!ER93*Calculateur!ET93*VLOOKUP('Données projet'!$B$15,Paramètres!$A$1:$I$89,3,0)*0.475*44/12</f>
        <v>2.9059981217626998</v>
      </c>
      <c r="EX93" s="23">
        <f>EXP(-LN(2)/2)*EX92+(1-EXP(-LN(2)/2))/(LN(2)/2)*ER93*EU93*VLOOKUP('Données projet'!$B$15,Paramètres!$A$1:$I$89,3,0)*0.475*44/12</f>
        <v>3.3959561676019013E-9</v>
      </c>
      <c r="EY93" s="24">
        <f t="shared" si="75"/>
        <v>5.8521277499857085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>
        <f>FE93*VLOOKUP('Données projet'!$B$16,Paramètres!$A$1:$I$89,3,0)*VLOOKUP('Données projet'!$B$16,Paramètres!$A$1:$I$89,5,0)</f>
        <v>0</v>
      </c>
      <c r="FG93" s="14" t="e">
        <f t="shared" si="101"/>
        <v>#NUM!</v>
      </c>
      <c r="FH93" s="22" t="e">
        <f t="shared" si="76"/>
        <v>#NUM!</v>
      </c>
      <c r="FI93" s="62" t="e">
        <f t="shared" si="77"/>
        <v>#NUM!</v>
      </c>
      <c r="FJ93" s="62">
        <f ca="1">AVERAGE(OFFSET($FI$3,0,0,'Données projet'!$E$16+1,1))-AVERAGE(OFFSET($H$3,0,0,'Données projet'!$E$16+1,1))</f>
        <v>121.28977654040114</v>
      </c>
      <c r="FK93" s="62">
        <f t="shared" si="102"/>
        <v>615.69585264342595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33.840940298348833</v>
      </c>
      <c r="FR93" s="23">
        <f>EXP(-LN(2)/25)*FR92+(1-EXP(-LN(2)/25))/(LN(2)/25)*Calculateur!FM93*Calculateur!FO93*VLOOKUP('Données projet'!$B$16,Paramètres!$A$1:$I$89,3,0)*0.475*44/12</f>
        <v>4.6890374844607488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38.529977782809581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317.99999999999972</v>
      </c>
      <c r="O94" s="14">
        <f>N94*VLOOKUP('Données projet'!$B$9,Paramètres!$A$1:$I$89,3,0)*VLOOKUP('Données projet'!$B$9,Paramètres!$A$1:$I$89,5,0)</f>
        <v>253.0007999999998</v>
      </c>
      <c r="P94" s="14">
        <f t="shared" si="87"/>
        <v>61.228070105968683</v>
      </c>
      <c r="Q94" s="22">
        <f t="shared" si="54"/>
        <v>547.28194876789507</v>
      </c>
      <c r="R94" s="62">
        <f t="shared" si="55"/>
        <v>840.61528210122833</v>
      </c>
      <c r="S94" s="62">
        <f ca="1">AVERAGE(OFFSET($R$3,0,0,'Données projet'!$E$9+1,1))-AVERAGE(OFFSET($H$3,0,0,'Données projet'!$E$9+1,1))</f>
        <v>352.5736659365665</v>
      </c>
      <c r="T94" s="62">
        <f t="shared" si="88"/>
        <v>343.77208530767069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4.0277627878791229</v>
      </c>
      <c r="AA94" s="23">
        <f>EXP(-LN(2)/25)*AA93+(1-EXP(-LN(2)/25))/(LN(2)/25)*Calculateur!V94*Calculateur!X94*VLOOKUP('Données projet'!$B$9,Paramètres!$A$1:$I$89,3,0)*0.475*44/12</f>
        <v>4.3711483505236348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8.3989111384027577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3.7243808037601412E-14</v>
      </c>
      <c r="AK94" s="14">
        <f t="shared" si="89"/>
        <v>6.2767589361185393E-13</v>
      </c>
      <c r="AL94" s="22">
        <f t="shared" si="58"/>
        <v>1.1580684803728015E-12</v>
      </c>
      <c r="AM94" s="62">
        <f t="shared" si="59"/>
        <v>293.33333333333445</v>
      </c>
      <c r="AN94" s="62">
        <f ca="1">AVERAGE(OFFSET($AM$3,0,0,'Données projet'!$E$10+1,1))-AVERAGE(OFFSET($H$3,0,0,'Données projet'!$E$10+1,1))</f>
        <v>210.08998695869161</v>
      </c>
      <c r="AO94" s="62">
        <f t="shared" si="90"/>
        <v>207.30911916430881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1.216446470917364E-10</v>
      </c>
      <c r="AX94" s="23">
        <f t="shared" si="60"/>
        <v>1.216446470917364E-10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</v>
      </c>
      <c r="BD94" s="13">
        <f>IF('Données projet'!$A$88&gt;35,BD93+BC94-BL93,IF(A94&lt;'Données projet'!$A$88,$BA$205^A94,IF(A94='Données projet'!$A$88,'Données projet'!$B$88,BD93+BC94-BL93)))</f>
        <v>307.99999999999994</v>
      </c>
      <c r="BE94" s="14">
        <f>BD94*VLOOKUP('Données projet'!$B$11,Paramètres!$A$1:$I$89,3,0)*VLOOKUP('Données projet'!$B$11,Paramètres!$A$1:$I$89,5,0)</f>
        <v>206.60639999999995</v>
      </c>
      <c r="BF94" s="14">
        <f t="shared" si="91"/>
        <v>51.193297014519018</v>
      </c>
      <c r="BG94" s="22">
        <f t="shared" si="61"/>
        <v>449.00113896695387</v>
      </c>
      <c r="BH94" s="62">
        <f t="shared" si="62"/>
        <v>742.33447230028719</v>
      </c>
      <c r="BI94" s="62">
        <f ca="1">AVERAGE(OFFSET($BH$3,0,0,'Données projet'!$E$11+1,1))-AVERAGE(OFFSET($H$3,0,0,'Données projet'!$E$11+1,1))</f>
        <v>335.83558218229564</v>
      </c>
      <c r="BJ94" s="62">
        <f t="shared" si="92"/>
        <v>217.08423061559648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1.3811756412807145E-8</v>
      </c>
      <c r="BS94" s="24">
        <f t="shared" si="63"/>
        <v>1.3811756412807145E-8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5.6843418860808015E-14</v>
      </c>
      <c r="BZ94" s="14">
        <f>BY94*VLOOKUP('Données projet'!$B$12,Paramètres!$A$1:$I$89,3,0)*VLOOKUP('Données projet'!$B$12,Paramètres!$A$1:$I$89,5,0)</f>
        <v>4.4337866711430253E-14</v>
      </c>
      <c r="CA94" s="14">
        <f t="shared" si="93"/>
        <v>7.3222115536967035E-13</v>
      </c>
      <c r="CB94" s="22">
        <f t="shared" si="64"/>
        <v>1.3525069634579169E-12</v>
      </c>
      <c r="CC94" s="62">
        <f t="shared" si="65"/>
        <v>293.33333333333468</v>
      </c>
      <c r="CD94" s="62">
        <f ca="1">AVERAGE(OFFSET($CC$3,0,0,'Données projet'!$E$12+1,1))-AVERAGE(OFFSET($H$3,0,0,'Données projet'!$E$12+1,1))</f>
        <v>288.82868507674738</v>
      </c>
      <c r="CE94" s="62">
        <f t="shared" si="94"/>
        <v>283.48738729114024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0.89777841730562158</v>
      </c>
      <c r="CM94" s="23">
        <f>EXP(-LN(2)/2)*CM93+(1-EXP(-LN(2)/2))/(LN(2)/2)*CG94*CJ94*VLOOKUP('Données projet'!$B$12,Paramètres!$A$1:$I$89,3,0)*0.475*44/12</f>
        <v>1.6988931676404576E-9</v>
      </c>
      <c r="CN94" s="24">
        <f t="shared" si="66"/>
        <v>0.89777841900451472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317.99999999999972</v>
      </c>
      <c r="CU94" s="18">
        <f>CT94*VLOOKUP('Données projet'!$B$13,Paramètres!$A$1:$I$89,3,0)*VLOOKUP('Données projet'!$B$13,Paramètres!$A$1:$I$89,5,0)</f>
        <v>277.80479999999983</v>
      </c>
      <c r="CV94" s="14">
        <f t="shared" si="95"/>
        <v>66.50288772038418</v>
      </c>
      <c r="CW94" s="22">
        <f t="shared" si="67"/>
        <v>599.66922277966887</v>
      </c>
      <c r="CX94" s="62">
        <f t="shared" si="68"/>
        <v>893.00255611300213</v>
      </c>
      <c r="CY94" s="62">
        <f ca="1">AVERAGE(OFFSET($CX$3,0,0,'Données projet'!$E$13+1,1))-AVERAGE(OFFSET($H$3,0,0,'Données projet'!$E$13+1,1))</f>
        <v>383.46266660377637</v>
      </c>
      <c r="CZ94" s="62">
        <f t="shared" si="96"/>
        <v>373.1287543230714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2.9588242723650686</v>
      </c>
      <c r="DH94" s="23">
        <f>EXP(-LN(2)/2)*DH93+(1-EXP(-LN(2)/2))/(LN(2)/2)*DB94*DE94*VLOOKUP('Données projet'!$B$13,Paramètres!$A$1:$I$89,3,0)*0.475*44/12</f>
        <v>1.3985139822437215E-8</v>
      </c>
      <c r="DI94" s="24">
        <f t="shared" si="69"/>
        <v>2.9588242863502083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>
        <f>DO94*VLOOKUP('Données projet'!$B$14,Paramètres!$A$1:$I$89,3,0)*VLOOKUP('Données projet'!$B$14,Paramètres!$A$1:$I$89,5,0)</f>
        <v>0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96.56611521638132</v>
      </c>
      <c r="DU94" s="62">
        <f t="shared" si="98"/>
        <v>465.03257878814094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24.624345978611288</v>
      </c>
      <c r="EB94" s="23">
        <f>EXP(-LN(2)/25)*EB93+(1-EXP(-LN(2)/25))/(LN(2)/25)*Calculateur!DW94*Calculateur!DY94*VLOOKUP('Données projet'!$B$14,Paramètres!$A$1:$I$89,3,0)*0.475*44/12</f>
        <v>3.3850543374363409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28.009400316047628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317.99999999999972</v>
      </c>
      <c r="EK94" s="18">
        <f>EJ94*VLOOKUP('Données projet'!$B$15,Paramètres!$A$1:$I$89,3,0)*VLOOKUP('Données projet'!$B$15,Paramètres!$A$1:$I$89,5,0)</f>
        <v>257.96159999999981</v>
      </c>
      <c r="EL94" s="14">
        <f t="shared" si="99"/>
        <v>62.287674609742425</v>
      </c>
      <c r="EM94" s="22">
        <f t="shared" si="73"/>
        <v>557.76748661196768</v>
      </c>
      <c r="EN94" s="62">
        <f t="shared" si="74"/>
        <v>851.10081994530105</v>
      </c>
      <c r="EO94" s="62">
        <f ca="1">AVERAGE(OFFSET($EN$3,0,0,'Données projet'!$E$15+1,1))-AVERAGE(OFFSET($H$3,0,0,'Données projet'!$E$15+1,1))</f>
        <v>358.75637627589799</v>
      </c>
      <c r="EP94" s="62">
        <f t="shared" si="100"/>
        <v>349.64821164483607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2.88835781984583</v>
      </c>
      <c r="EW94" s="23">
        <f>EXP(-LN(2)/25)*EW93+(1-EXP(-LN(2)/25))/(LN(2)/25)*Calculateur!ER94*Calculateur!ET94*VLOOKUP('Données projet'!$B$15,Paramètres!$A$1:$I$89,3,0)*0.475*44/12</f>
        <v>2.8265334503032995</v>
      </c>
      <c r="EX94" s="23">
        <f>EXP(-LN(2)/2)*EX93+(1-EXP(-LN(2)/2))/(LN(2)/2)*ER94*EU94*VLOOKUP('Données projet'!$B$15,Paramètres!$A$1:$I$89,3,0)*0.475*44/12</f>
        <v>2.4013036347235841E-9</v>
      </c>
      <c r="EY94" s="24">
        <f t="shared" si="75"/>
        <v>5.7148912725504335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>
        <f>FE94*VLOOKUP('Données projet'!$B$16,Paramètres!$A$1:$I$89,3,0)*VLOOKUP('Données projet'!$B$16,Paramètres!$A$1:$I$89,5,0)</f>
        <v>0</v>
      </c>
      <c r="FG94" s="14" t="e">
        <f t="shared" si="101"/>
        <v>#NUM!</v>
      </c>
      <c r="FH94" s="22" t="e">
        <f t="shared" si="76"/>
        <v>#NUM!</v>
      </c>
      <c r="FI94" s="62" t="e">
        <f t="shared" si="77"/>
        <v>#NUM!</v>
      </c>
      <c r="FJ94" s="62">
        <f ca="1">AVERAGE(OFFSET($FI$3,0,0,'Données projet'!$E$16+1,1))-AVERAGE(OFFSET($H$3,0,0,'Données projet'!$E$16+1,1))</f>
        <v>121.28977654040114</v>
      </c>
      <c r="FK94" s="62">
        <f t="shared" si="102"/>
        <v>615.69585264342595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33.177340100033675</v>
      </c>
      <c r="FR94" s="23">
        <f>EXP(-LN(2)/25)*FR93+(1-EXP(-LN(2)/25))/(LN(2)/25)*Calculateur!FM94*Calculateur!FO94*VLOOKUP('Données projet'!$B$16,Paramètres!$A$1:$I$89,3,0)*0.475*44/12</f>
        <v>4.5608155078624053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37.738155607896083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317.99999999999972</v>
      </c>
      <c r="O95" s="14">
        <f>N95*VLOOKUP('Données projet'!$B$9,Paramètres!$A$1:$I$89,3,0)*VLOOKUP('Données projet'!$B$9,Paramètres!$A$1:$I$89,5,0)</f>
        <v>253.0007999999998</v>
      </c>
      <c r="P95" s="14">
        <f t="shared" si="87"/>
        <v>61.228070105968683</v>
      </c>
      <c r="Q95" s="22">
        <f t="shared" si="54"/>
        <v>547.28194876789507</v>
      </c>
      <c r="R95" s="62">
        <f t="shared" si="55"/>
        <v>840.61528210122833</v>
      </c>
      <c r="S95" s="62">
        <f ca="1">AVERAGE(OFFSET($R$3,0,0,'Données projet'!$E$9+1,1))-AVERAGE(OFFSET($H$3,0,0,'Données projet'!$E$9+1,1))</f>
        <v>352.5736659365665</v>
      </c>
      <c r="T95" s="62">
        <f t="shared" si="88"/>
        <v>343.77208530767069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3.9487808163015354</v>
      </c>
      <c r="AA95" s="23">
        <f>EXP(-LN(2)/25)*AA94+(1-EXP(-LN(2)/25))/(LN(2)/25)*Calculateur!V95*Calculateur!X95*VLOOKUP('Données projet'!$B$9,Paramètres!$A$1:$I$89,3,0)*0.475*44/12</f>
        <v>4.2516190690098643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8.2003998853114002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3.7243808037601412E-14</v>
      </c>
      <c r="AK95" s="14">
        <f t="shared" si="89"/>
        <v>6.2767589361185393E-13</v>
      </c>
      <c r="AL95" s="22">
        <f t="shared" si="58"/>
        <v>1.1580684803728015E-12</v>
      </c>
      <c r="AM95" s="62">
        <f t="shared" si="59"/>
        <v>293.33333333333445</v>
      </c>
      <c r="AN95" s="62">
        <f ca="1">AVERAGE(OFFSET($AM$3,0,0,'Données projet'!$E$10+1,1))-AVERAGE(OFFSET($H$3,0,0,'Données projet'!$E$10+1,1))</f>
        <v>210.08998695869161</v>
      </c>
      <c r="AO95" s="62">
        <f t="shared" si="90"/>
        <v>207.30911916430881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8.6015754853611252E-11</v>
      </c>
      <c r="AX95" s="23">
        <f t="shared" si="60"/>
        <v>8.6015754853611252E-11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</v>
      </c>
      <c r="BD95" s="13">
        <f>IF('Données projet'!$A$88&gt;35,BD94+BC95-BL94,IF(A95&lt;'Données projet'!$A$88,$BA$205^A95,IF(A95='Données projet'!$A$88,'Données projet'!$B$88,BD94+BC95-BL94)))</f>
        <v>313.99999999999994</v>
      </c>
      <c r="BE95" s="14">
        <f>BD95*VLOOKUP('Données projet'!$B$11,Paramètres!$A$1:$I$89,3,0)*VLOOKUP('Données projet'!$B$11,Paramètres!$A$1:$I$89,5,0)</f>
        <v>210.63119999999998</v>
      </c>
      <c r="BF95" s="14">
        <f t="shared" si="91"/>
        <v>52.073494677019134</v>
      </c>
      <c r="BG95" s="22">
        <f t="shared" si="61"/>
        <v>457.5440098958083</v>
      </c>
      <c r="BH95" s="62">
        <f t="shared" si="62"/>
        <v>750.87734322914162</v>
      </c>
      <c r="BI95" s="62">
        <f ca="1">AVERAGE(OFFSET($BH$3,0,0,'Données projet'!$E$11+1,1))-AVERAGE(OFFSET($H$3,0,0,'Données projet'!$E$11+1,1))</f>
        <v>335.83558218229564</v>
      </c>
      <c r="BJ95" s="62">
        <f t="shared" si="92"/>
        <v>217.08423061559648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9.7663866195927162E-9</v>
      </c>
      <c r="BS95" s="24">
        <f t="shared" si="63"/>
        <v>9.7663866195927162E-9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5.6843418860808015E-14</v>
      </c>
      <c r="BZ95" s="14">
        <f>BY95*VLOOKUP('Données projet'!$B$12,Paramètres!$A$1:$I$89,3,0)*VLOOKUP('Données projet'!$B$12,Paramètres!$A$1:$I$89,5,0)</f>
        <v>4.4337866711430253E-14</v>
      </c>
      <c r="CA95" s="14">
        <f t="shared" si="93"/>
        <v>7.3222115536967035E-13</v>
      </c>
      <c r="CB95" s="22">
        <f t="shared" si="64"/>
        <v>1.3525069634579169E-12</v>
      </c>
      <c r="CC95" s="62">
        <f t="shared" si="65"/>
        <v>293.33333333333468</v>
      </c>
      <c r="CD95" s="62">
        <f ca="1">AVERAGE(OFFSET($CC$3,0,0,'Données projet'!$E$12+1,1))-AVERAGE(OFFSET($H$3,0,0,'Données projet'!$E$12+1,1))</f>
        <v>288.82868507674738</v>
      </c>
      <c r="CE95" s="62">
        <f t="shared" si="94"/>
        <v>283.48738729114024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0.87322861927228435</v>
      </c>
      <c r="CM95" s="23">
        <f>EXP(-LN(2)/2)*CM94+(1-EXP(-LN(2)/2))/(LN(2)/2)*CG95*CJ95*VLOOKUP('Données projet'!$B$12,Paramètres!$A$1:$I$89,3,0)*0.475*44/12</f>
        <v>1.2012988793500616E-9</v>
      </c>
      <c r="CN95" s="24">
        <f t="shared" si="66"/>
        <v>0.87322862047358318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317.99999999999972</v>
      </c>
      <c r="CU95" s="18">
        <f>CT95*VLOOKUP('Données projet'!$B$13,Paramètres!$A$1:$I$89,3,0)*VLOOKUP('Données projet'!$B$13,Paramètres!$A$1:$I$89,5,0)</f>
        <v>277.80479999999983</v>
      </c>
      <c r="CV95" s="14">
        <f t="shared" si="95"/>
        <v>66.50288772038418</v>
      </c>
      <c r="CW95" s="22">
        <f t="shared" si="67"/>
        <v>599.66922277966887</v>
      </c>
      <c r="CX95" s="62">
        <f t="shared" si="68"/>
        <v>893.00255611300213</v>
      </c>
      <c r="CY95" s="62">
        <f ca="1">AVERAGE(OFFSET($CX$3,0,0,'Données projet'!$E$13+1,1))-AVERAGE(OFFSET($H$3,0,0,'Données projet'!$E$13+1,1))</f>
        <v>383.46266660377637</v>
      </c>
      <c r="CZ95" s="62">
        <f t="shared" si="96"/>
        <v>373.1287543230714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2.87791506703944</v>
      </c>
      <c r="DH95" s="23">
        <f>EXP(-LN(2)/2)*DH94+(1-EXP(-LN(2)/2))/(LN(2)/2)*DB95*DE95*VLOOKUP('Données projet'!$B$13,Paramètres!$A$1:$I$89,3,0)*0.475*44/12</f>
        <v>9.888987204287384E-9</v>
      </c>
      <c r="DI95" s="24">
        <f t="shared" si="69"/>
        <v>2.8779150769284274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>
        <f>DO95*VLOOKUP('Données projet'!$B$14,Paramètres!$A$1:$I$89,3,0)*VLOOKUP('Données projet'!$B$14,Paramètres!$A$1:$I$89,5,0)</f>
        <v>0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96.56611521638132</v>
      </c>
      <c r="DU95" s="62">
        <f t="shared" si="98"/>
        <v>465.03257878814094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24.141477573338729</v>
      </c>
      <c r="EB95" s="23">
        <f>EXP(-LN(2)/25)*EB94+(1-EXP(-LN(2)/25))/(LN(2)/25)*Calculateur!DW95*Calculateur!DY95*VLOOKUP('Données projet'!$B$14,Paramètres!$A$1:$I$89,3,0)*0.475*44/12</f>
        <v>3.292489848566873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27.433967421905603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317.99999999999972</v>
      </c>
      <c r="EK95" s="18">
        <f>EJ95*VLOOKUP('Données projet'!$B$15,Paramètres!$A$1:$I$89,3,0)*VLOOKUP('Données projet'!$B$15,Paramètres!$A$1:$I$89,5,0)</f>
        <v>257.96159999999981</v>
      </c>
      <c r="EL95" s="14">
        <f t="shared" si="99"/>
        <v>62.287674609742425</v>
      </c>
      <c r="EM95" s="22">
        <f t="shared" si="73"/>
        <v>557.76748661196768</v>
      </c>
      <c r="EN95" s="62">
        <f t="shared" si="74"/>
        <v>851.10081994530105</v>
      </c>
      <c r="EO95" s="62">
        <f ca="1">AVERAGE(OFFSET($EN$3,0,0,'Données projet'!$E$15+1,1))-AVERAGE(OFFSET($H$3,0,0,'Données projet'!$E$15+1,1))</f>
        <v>358.75637627589799</v>
      </c>
      <c r="EP95" s="62">
        <f t="shared" si="100"/>
        <v>349.64821164483607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2.8317188847229673</v>
      </c>
      <c r="EW95" s="23">
        <f>EXP(-LN(2)/25)*EW94+(1-EXP(-LN(2)/25))/(LN(2)/25)*Calculateur!ER95*Calculateur!ET95*VLOOKUP('Données projet'!$B$15,Paramètres!$A$1:$I$89,3,0)*0.475*44/12</f>
        <v>2.7492417444638217</v>
      </c>
      <c r="EX95" s="23">
        <f>EXP(-LN(2)/2)*EX94+(1-EXP(-LN(2)/2))/(LN(2)/2)*ER95*EU95*VLOOKUP('Données projet'!$B$15,Paramètres!$A$1:$I$89,3,0)*0.475*44/12</f>
        <v>1.6979780838009506E-9</v>
      </c>
      <c r="EY95" s="24">
        <f t="shared" si="75"/>
        <v>5.5809606308847668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>
        <f>FE95*VLOOKUP('Données projet'!$B$16,Paramètres!$A$1:$I$89,3,0)*VLOOKUP('Données projet'!$B$16,Paramètres!$A$1:$I$89,5,0)</f>
        <v>0</v>
      </c>
      <c r="FG95" s="14" t="e">
        <f t="shared" si="101"/>
        <v>#NUM!</v>
      </c>
      <c r="FH95" s="22" t="e">
        <f t="shared" si="76"/>
        <v>#NUM!</v>
      </c>
      <c r="FI95" s="62" t="e">
        <f t="shared" si="77"/>
        <v>#NUM!</v>
      </c>
      <c r="FJ95" s="62">
        <f ca="1">AVERAGE(OFFSET($FI$3,0,0,'Données projet'!$E$16+1,1))-AVERAGE(OFFSET($H$3,0,0,'Données projet'!$E$16+1,1))</f>
        <v>121.28977654040114</v>
      </c>
      <c r="FK95" s="62">
        <f t="shared" si="102"/>
        <v>615.69585264342595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32.526752696851318</v>
      </c>
      <c r="FR95" s="23">
        <f>EXP(-LN(2)/25)*FR94+(1-EXP(-LN(2)/25))/(LN(2)/25)*Calculateur!FM95*Calculateur!FO95*VLOOKUP('Données projet'!$B$16,Paramètres!$A$1:$I$89,3,0)*0.475*44/12</f>
        <v>4.4360997679570442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36.962852464808364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317.99999999999972</v>
      </c>
      <c r="O96" s="14">
        <f>N96*VLOOKUP('Données projet'!$B$9,Paramètres!$A$1:$I$89,3,0)*VLOOKUP('Données projet'!$B$9,Paramètres!$A$1:$I$89,5,0)</f>
        <v>253.0007999999998</v>
      </c>
      <c r="P96" s="14">
        <f t="shared" si="87"/>
        <v>61.228070105968683</v>
      </c>
      <c r="Q96" s="22">
        <f t="shared" si="54"/>
        <v>547.28194876789507</v>
      </c>
      <c r="R96" s="62">
        <f t="shared" si="55"/>
        <v>840.61528210122833</v>
      </c>
      <c r="S96" s="62">
        <f ca="1">AVERAGE(OFFSET($R$3,0,0,'Données projet'!$E$9+1,1))-AVERAGE(OFFSET($H$3,0,0,'Données projet'!$E$9+1,1))</f>
        <v>352.5736659365665</v>
      </c>
      <c r="T96" s="62">
        <f t="shared" si="88"/>
        <v>343.77208530767069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3.8713476330123386</v>
      </c>
      <c r="AA96" s="23">
        <f>EXP(-LN(2)/25)*AA95+(1-EXP(-LN(2)/25))/(LN(2)/25)*Calculateur!V96*Calculateur!X96*VLOOKUP('Données projet'!$B$9,Paramètres!$A$1:$I$89,3,0)*0.475*44/12</f>
        <v>4.1353583219848602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8.0067059549971979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3.7243808037601412E-14</v>
      </c>
      <c r="AK96" s="14">
        <f t="shared" si="89"/>
        <v>6.2767589361185393E-13</v>
      </c>
      <c r="AL96" s="22">
        <f t="shared" si="58"/>
        <v>1.1580684803728015E-12</v>
      </c>
      <c r="AM96" s="62">
        <f t="shared" si="59"/>
        <v>293.33333333333445</v>
      </c>
      <c r="AN96" s="62">
        <f ca="1">AVERAGE(OFFSET($AM$3,0,0,'Données projet'!$E$10+1,1))-AVERAGE(OFFSET($H$3,0,0,'Données projet'!$E$10+1,1))</f>
        <v>210.08998695869161</v>
      </c>
      <c r="AO96" s="62">
        <f t="shared" si="90"/>
        <v>207.30911916430881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6.0822323545868202E-11</v>
      </c>
      <c r="AX96" s="23">
        <f t="shared" si="60"/>
        <v>6.0822323545868202E-11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</v>
      </c>
      <c r="BD96" s="13">
        <f>IF('Données projet'!$A$88&gt;35,BD95+BC96-BL95,IF(A96&lt;'Données projet'!$A$88,$BA$205^A96,IF(A96='Données projet'!$A$88,'Données projet'!$B$88,BD95+BC96-BL95)))</f>
        <v>319.99999999999994</v>
      </c>
      <c r="BE96" s="14">
        <f>BD96*VLOOKUP('Données projet'!$B$11,Paramètres!$A$1:$I$89,3,0)*VLOOKUP('Données projet'!$B$11,Paramètres!$A$1:$I$89,5,0)</f>
        <v>214.65599999999995</v>
      </c>
      <c r="BF96" s="14">
        <f t="shared" si="91"/>
        <v>52.951736650296546</v>
      </c>
      <c r="BG96" s="22">
        <f t="shared" si="61"/>
        <v>466.08347466593301</v>
      </c>
      <c r="BH96" s="62">
        <f t="shared" si="62"/>
        <v>759.41680799926633</v>
      </c>
      <c r="BI96" s="62">
        <f ca="1">AVERAGE(OFFSET($BH$3,0,0,'Données projet'!$E$11+1,1))-AVERAGE(OFFSET($H$3,0,0,'Données projet'!$E$11+1,1))</f>
        <v>335.83558218229564</v>
      </c>
      <c r="BJ96" s="62">
        <f t="shared" si="92"/>
        <v>217.08423061559648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6.9058782064035724E-9</v>
      </c>
      <c r="BS96" s="24">
        <f t="shared" si="63"/>
        <v>6.9058782064035724E-9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5.6843418860808015E-14</v>
      </c>
      <c r="BZ96" s="14">
        <f>BY96*VLOOKUP('Données projet'!$B$12,Paramètres!$A$1:$I$89,3,0)*VLOOKUP('Données projet'!$B$12,Paramètres!$A$1:$I$89,5,0)</f>
        <v>4.4337866711430253E-14</v>
      </c>
      <c r="CA96" s="14">
        <f t="shared" si="93"/>
        <v>7.3222115536967035E-13</v>
      </c>
      <c r="CB96" s="22">
        <f t="shared" si="64"/>
        <v>1.3525069634579169E-12</v>
      </c>
      <c r="CC96" s="62">
        <f t="shared" si="65"/>
        <v>293.33333333333468</v>
      </c>
      <c r="CD96" s="62">
        <f ca="1">AVERAGE(OFFSET($CC$3,0,0,'Données projet'!$E$12+1,1))-AVERAGE(OFFSET($H$3,0,0,'Données projet'!$E$12+1,1))</f>
        <v>288.82868507674738</v>
      </c>
      <c r="CE96" s="62">
        <f t="shared" si="94"/>
        <v>283.48738729114024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0.8493501367571864</v>
      </c>
      <c r="CM96" s="23">
        <f>EXP(-LN(2)/2)*CM95+(1-EXP(-LN(2)/2))/(LN(2)/2)*CG96*CJ96*VLOOKUP('Données projet'!$B$12,Paramètres!$A$1:$I$89,3,0)*0.475*44/12</f>
        <v>8.4944658382022878E-10</v>
      </c>
      <c r="CN96" s="24">
        <f t="shared" si="66"/>
        <v>0.84935013760663303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317.99999999999972</v>
      </c>
      <c r="CU96" s="18">
        <f>CT96*VLOOKUP('Données projet'!$B$13,Paramètres!$A$1:$I$89,3,0)*VLOOKUP('Données projet'!$B$13,Paramètres!$A$1:$I$89,5,0)</f>
        <v>277.80479999999983</v>
      </c>
      <c r="CV96" s="14">
        <f t="shared" si="95"/>
        <v>66.50288772038418</v>
      </c>
      <c r="CW96" s="22">
        <f t="shared" si="67"/>
        <v>599.66922277966887</v>
      </c>
      <c r="CX96" s="62">
        <f t="shared" si="68"/>
        <v>893.00255611300213</v>
      </c>
      <c r="CY96" s="62">
        <f ca="1">AVERAGE(OFFSET($CX$3,0,0,'Données projet'!$E$13+1,1))-AVERAGE(OFFSET($H$3,0,0,'Données projet'!$E$13+1,1))</f>
        <v>383.46266660377637</v>
      </c>
      <c r="CZ96" s="62">
        <f t="shared" si="96"/>
        <v>373.1287543230714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2.7992183281882705</v>
      </c>
      <c r="DH96" s="23">
        <f>EXP(-LN(2)/2)*DH95+(1-EXP(-LN(2)/2))/(LN(2)/2)*DB96*DE96*VLOOKUP('Données projet'!$B$13,Paramètres!$A$1:$I$89,3,0)*0.475*44/12</f>
        <v>6.9925699112186076E-9</v>
      </c>
      <c r="DI96" s="24">
        <f t="shared" si="69"/>
        <v>2.7992183351808406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>
        <f>DO96*VLOOKUP('Données projet'!$B$14,Paramètres!$A$1:$I$89,3,0)*VLOOKUP('Données projet'!$B$14,Paramètres!$A$1:$I$89,5,0)</f>
        <v>0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96.56611521638132</v>
      </c>
      <c r="DU96" s="62">
        <f t="shared" si="98"/>
        <v>465.03257878814094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23.66807792297292</v>
      </c>
      <c r="EB96" s="23">
        <f>EXP(-LN(2)/25)*EB95+(1-EXP(-LN(2)/25))/(LN(2)/25)*Calculateur!DW96*Calculateur!DY96*VLOOKUP('Données projet'!$B$14,Paramètres!$A$1:$I$89,3,0)*0.475*44/12</f>
        <v>3.2024565405132956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26.870534463486216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317.99999999999972</v>
      </c>
      <c r="EK96" s="18">
        <f>EJ96*VLOOKUP('Données projet'!$B$15,Paramètres!$A$1:$I$89,3,0)*VLOOKUP('Données projet'!$B$15,Paramètres!$A$1:$I$89,5,0)</f>
        <v>257.96159999999981</v>
      </c>
      <c r="EL96" s="14">
        <f t="shared" si="99"/>
        <v>62.287674609742425</v>
      </c>
      <c r="EM96" s="22">
        <f t="shared" si="73"/>
        <v>557.76748661196768</v>
      </c>
      <c r="EN96" s="62">
        <f t="shared" si="74"/>
        <v>851.10081994530105</v>
      </c>
      <c r="EO96" s="62">
        <f ca="1">AVERAGE(OFFSET($EN$3,0,0,'Données projet'!$E$15+1,1))-AVERAGE(OFFSET($H$3,0,0,'Données projet'!$E$15+1,1))</f>
        <v>358.75637627589799</v>
      </c>
      <c r="EP96" s="62">
        <f t="shared" si="100"/>
        <v>349.64821164483607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2.776190604571525</v>
      </c>
      <c r="EW96" s="23">
        <f>EXP(-LN(2)/25)*EW95+(1-EXP(-LN(2)/25))/(LN(2)/25)*Calculateur!ER96*Calculateur!ET96*VLOOKUP('Données projet'!$B$15,Paramètres!$A$1:$I$89,3,0)*0.475*44/12</f>
        <v>2.6740635843851188</v>
      </c>
      <c r="EX96" s="23">
        <f>EXP(-LN(2)/2)*EX95+(1-EXP(-LN(2)/2))/(LN(2)/2)*ER96*EU96*VLOOKUP('Données projet'!$B$15,Paramètres!$A$1:$I$89,3,0)*0.475*44/12</f>
        <v>1.200651817361792E-9</v>
      </c>
      <c r="EY96" s="24">
        <f t="shared" si="75"/>
        <v>5.4502541901572954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>
        <f>FE96*VLOOKUP('Données projet'!$B$16,Paramètres!$A$1:$I$89,3,0)*VLOOKUP('Données projet'!$B$16,Paramètres!$A$1:$I$89,5,0)</f>
        <v>0</v>
      </c>
      <c r="FG96" s="14" t="e">
        <f t="shared" si="101"/>
        <v>#NUM!</v>
      </c>
      <c r="FH96" s="22" t="e">
        <f t="shared" si="76"/>
        <v>#NUM!</v>
      </c>
      <c r="FI96" s="62" t="e">
        <f t="shared" si="77"/>
        <v>#NUM!</v>
      </c>
      <c r="FJ96" s="62">
        <f ca="1">AVERAGE(OFFSET($FI$3,0,0,'Données projet'!$E$16+1,1))-AVERAGE(OFFSET($H$3,0,0,'Données projet'!$E$16+1,1))</f>
        <v>121.28977654040114</v>
      </c>
      <c r="FK96" s="62">
        <f t="shared" si="102"/>
        <v>615.69585264342595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31.888922915826235</v>
      </c>
      <c r="FR96" s="23">
        <f>EXP(-LN(2)/25)*FR95+(1-EXP(-LN(2)/25))/(LN(2)/25)*Calculateur!FM96*Calculateur!FO96*VLOOKUP('Données projet'!$B$16,Paramètres!$A$1:$I$89,3,0)*0.475*44/12</f>
        <v>4.314794386517911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36.203717302344145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317.99999999999972</v>
      </c>
      <c r="O97" s="14">
        <f>N97*VLOOKUP('Données projet'!$B$9,Paramètres!$A$1:$I$89,3,0)*VLOOKUP('Données projet'!$B$9,Paramètres!$A$1:$I$89,5,0)</f>
        <v>253.0007999999998</v>
      </c>
      <c r="P97" s="14">
        <f t="shared" si="87"/>
        <v>61.228070105968683</v>
      </c>
      <c r="Q97" s="22">
        <f t="shared" si="54"/>
        <v>547.28194876789507</v>
      </c>
      <c r="R97" s="62">
        <f t="shared" si="55"/>
        <v>840.61528210122833</v>
      </c>
      <c r="S97" s="62">
        <f ca="1">AVERAGE(OFFSET($R$3,0,0,'Données projet'!$E$9+1,1))-AVERAGE(OFFSET($H$3,0,0,'Données projet'!$E$9+1,1))</f>
        <v>352.5736659365665</v>
      </c>
      <c r="T97" s="62">
        <f t="shared" si="88"/>
        <v>343.77208530767069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3.795432867217865</v>
      </c>
      <c r="AA97" s="23">
        <f>EXP(-LN(2)/25)*AA96+(1-EXP(-LN(2)/25))/(LN(2)/25)*Calculateur!V97*Calculateur!X97*VLOOKUP('Données projet'!$B$9,Paramètres!$A$1:$I$89,3,0)*0.475*44/12</f>
        <v>4.0222767312011412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7.8177095984190057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3.7243808037601412E-14</v>
      </c>
      <c r="AK97" s="14">
        <f t="shared" si="89"/>
        <v>6.2767589361185393E-13</v>
      </c>
      <c r="AL97" s="22">
        <f t="shared" si="58"/>
        <v>1.1580684803728015E-12</v>
      </c>
      <c r="AM97" s="62">
        <f t="shared" si="59"/>
        <v>293.33333333333445</v>
      </c>
      <c r="AN97" s="62">
        <f ca="1">AVERAGE(OFFSET($AM$3,0,0,'Données projet'!$E$10+1,1))-AVERAGE(OFFSET($H$3,0,0,'Données projet'!$E$10+1,1))</f>
        <v>210.08998695869161</v>
      </c>
      <c r="AO97" s="62">
        <f t="shared" si="90"/>
        <v>207.30911916430881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4.3007877426805626E-11</v>
      </c>
      <c r="AX97" s="23">
        <f t="shared" si="60"/>
        <v>4.3007877426805626E-11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</v>
      </c>
      <c r="BD97" s="13">
        <f>IF('Données projet'!$A$88&gt;35,BD96+BC97-BL96,IF(A97&lt;'Données projet'!$A$88,$BA$205^A97,IF(A97='Données projet'!$A$88,'Données projet'!$B$88,BD96+BC97-BL96)))</f>
        <v>325.99999999999994</v>
      </c>
      <c r="BE97" s="14">
        <f>BD97*VLOOKUP('Données projet'!$B$11,Paramètres!$A$1:$I$89,3,0)*VLOOKUP('Données projet'!$B$11,Paramètres!$A$1:$I$89,5,0)</f>
        <v>218.68079999999998</v>
      </c>
      <c r="BF97" s="14">
        <f t="shared" si="91"/>
        <v>53.828063832009079</v>
      </c>
      <c r="BG97" s="22">
        <f t="shared" si="61"/>
        <v>474.61960450741572</v>
      </c>
      <c r="BH97" s="62">
        <f t="shared" si="62"/>
        <v>767.95293784074897</v>
      </c>
      <c r="BI97" s="62">
        <f ca="1">AVERAGE(OFFSET($BH$3,0,0,'Données projet'!$E$11+1,1))-AVERAGE(OFFSET($H$3,0,0,'Données projet'!$E$11+1,1))</f>
        <v>335.83558218229564</v>
      </c>
      <c r="BJ97" s="62">
        <f t="shared" si="92"/>
        <v>217.08423061559648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4.8831933097963581E-9</v>
      </c>
      <c r="BS97" s="24">
        <f t="shared" si="63"/>
        <v>4.8831933097963581E-9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5.6843418860808015E-14</v>
      </c>
      <c r="BZ97" s="14">
        <f>BY97*VLOOKUP('Données projet'!$B$12,Paramètres!$A$1:$I$89,3,0)*VLOOKUP('Données projet'!$B$12,Paramètres!$A$1:$I$89,5,0)</f>
        <v>4.4337866711430253E-14</v>
      </c>
      <c r="CA97" s="14">
        <f t="shared" si="93"/>
        <v>7.3222115536967035E-13</v>
      </c>
      <c r="CB97" s="22">
        <f t="shared" si="64"/>
        <v>1.3525069634579169E-12</v>
      </c>
      <c r="CC97" s="62">
        <f t="shared" si="65"/>
        <v>293.33333333333468</v>
      </c>
      <c r="CD97" s="62">
        <f ca="1">AVERAGE(OFFSET($CC$3,0,0,'Données projet'!$E$12+1,1))-AVERAGE(OFFSET($H$3,0,0,'Données projet'!$E$12+1,1))</f>
        <v>288.82868507674738</v>
      </c>
      <c r="CE97" s="62">
        <f t="shared" si="94"/>
        <v>283.48738729114024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0.82612461260217862</v>
      </c>
      <c r="CM97" s="23">
        <f>EXP(-LN(2)/2)*CM96+(1-EXP(-LN(2)/2))/(LN(2)/2)*CG97*CJ97*VLOOKUP('Données projet'!$B$12,Paramètres!$A$1:$I$89,3,0)*0.475*44/12</f>
        <v>6.006494396750308E-10</v>
      </c>
      <c r="CN97" s="24">
        <f t="shared" si="66"/>
        <v>0.82612461320282804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317.99999999999972</v>
      </c>
      <c r="CU97" s="18">
        <f>CT97*VLOOKUP('Données projet'!$B$13,Paramètres!$A$1:$I$89,3,0)*VLOOKUP('Données projet'!$B$13,Paramètres!$A$1:$I$89,5,0)</f>
        <v>277.80479999999983</v>
      </c>
      <c r="CV97" s="14">
        <f t="shared" si="95"/>
        <v>66.50288772038418</v>
      </c>
      <c r="CW97" s="22">
        <f t="shared" si="67"/>
        <v>599.66922277966887</v>
      </c>
      <c r="CX97" s="62">
        <f t="shared" si="68"/>
        <v>893.00255611300213</v>
      </c>
      <c r="CY97" s="62">
        <f ca="1">AVERAGE(OFFSET($CX$3,0,0,'Données projet'!$E$13+1,1))-AVERAGE(OFFSET($H$3,0,0,'Données projet'!$E$13+1,1))</f>
        <v>383.46266660377637</v>
      </c>
      <c r="CZ97" s="62">
        <f t="shared" si="96"/>
        <v>373.1287543230714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2.7226735557994681</v>
      </c>
      <c r="DH97" s="23">
        <f>EXP(-LN(2)/2)*DH96+(1-EXP(-LN(2)/2))/(LN(2)/2)*DB97*DE97*VLOOKUP('Données projet'!$B$13,Paramètres!$A$1:$I$89,3,0)*0.475*44/12</f>
        <v>4.944493602143692E-9</v>
      </c>
      <c r="DI97" s="24">
        <f t="shared" si="69"/>
        <v>2.7226735607439618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>
        <f>DO97*VLOOKUP('Données projet'!$B$14,Paramètres!$A$1:$I$89,3,0)*VLOOKUP('Données projet'!$B$14,Paramètres!$A$1:$I$89,5,0)</f>
        <v>0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96.56611521638132</v>
      </c>
      <c r="DU97" s="62">
        <f t="shared" si="98"/>
        <v>465.03257878814094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23.203961351005507</v>
      </c>
      <c r="EB97" s="23">
        <f>EXP(-LN(2)/25)*EB96+(1-EXP(-LN(2)/25))/(LN(2)/25)*Calculateur!DW97*Calculateur!DY97*VLOOKUP('Données projet'!$B$14,Paramètres!$A$1:$I$89,3,0)*0.475*44/12</f>
        <v>3.1148851980030896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26.318846549008597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317.99999999999972</v>
      </c>
      <c r="EK97" s="18">
        <f>EJ97*VLOOKUP('Données projet'!$B$15,Paramètres!$A$1:$I$89,3,0)*VLOOKUP('Données projet'!$B$15,Paramètres!$A$1:$I$89,5,0)</f>
        <v>257.96159999999981</v>
      </c>
      <c r="EL97" s="14">
        <f t="shared" si="99"/>
        <v>62.287674609742425</v>
      </c>
      <c r="EM97" s="22">
        <f t="shared" si="73"/>
        <v>557.76748661196768</v>
      </c>
      <c r="EN97" s="62">
        <f t="shared" si="74"/>
        <v>851.10081994530105</v>
      </c>
      <c r="EO97" s="62">
        <f ca="1">AVERAGE(OFFSET($EN$3,0,0,'Données projet'!$E$15+1,1))-AVERAGE(OFFSET($H$3,0,0,'Données projet'!$E$15+1,1))</f>
        <v>358.75637627589799</v>
      </c>
      <c r="EP97" s="62">
        <f t="shared" si="100"/>
        <v>349.64821164483607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2.7217512001249458</v>
      </c>
      <c r="EW97" s="23">
        <f>EXP(-LN(2)/25)*EW96+(1-EXP(-LN(2)/25))/(LN(2)/25)*Calculateur!ER97*Calculateur!ET97*VLOOKUP('Données projet'!$B$15,Paramètres!$A$1:$I$89,3,0)*0.475*44/12</f>
        <v>2.6009411750472156</v>
      </c>
      <c r="EX97" s="23">
        <f>EXP(-LN(2)/2)*EX96+(1-EXP(-LN(2)/2))/(LN(2)/2)*ER97*EU97*VLOOKUP('Données projet'!$B$15,Paramètres!$A$1:$I$89,3,0)*0.475*44/12</f>
        <v>8.4898904190047532E-10</v>
      </c>
      <c r="EY97" s="24">
        <f t="shared" si="75"/>
        <v>5.3226923760211511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>
        <f>FE97*VLOOKUP('Données projet'!$B$16,Paramètres!$A$1:$I$89,3,0)*VLOOKUP('Données projet'!$B$16,Paramètres!$A$1:$I$89,5,0)</f>
        <v>0</v>
      </c>
      <c r="FG97" s="14" t="e">
        <f t="shared" si="101"/>
        <v>#NUM!</v>
      </c>
      <c r="FH97" s="22" t="e">
        <f t="shared" si="76"/>
        <v>#NUM!</v>
      </c>
      <c r="FI97" s="62" t="e">
        <f t="shared" si="77"/>
        <v>#NUM!</v>
      </c>
      <c r="FJ97" s="62">
        <f ca="1">AVERAGE(OFFSET($FI$3,0,0,'Données projet'!$E$16+1,1))-AVERAGE(OFFSET($H$3,0,0,'Données projet'!$E$16+1,1))</f>
        <v>121.28977654040114</v>
      </c>
      <c r="FK97" s="62">
        <f t="shared" si="102"/>
        <v>615.69585264342595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31.2636005877693</v>
      </c>
      <c r="FR97" s="23">
        <f>EXP(-LN(2)/25)*FR96+(1-EXP(-LN(2)/25))/(LN(2)/25)*Calculateur!FM97*Calculateur!FO97*VLOOKUP('Données projet'!$B$16,Paramètres!$A$1:$I$89,3,0)*0.475*44/12</f>
        <v>4.196806107113404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35.460406694882707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317.99999999999972</v>
      </c>
      <c r="O98" s="14">
        <f>N98*VLOOKUP('Données projet'!$B$9,Paramètres!$A$1:$I$89,3,0)*VLOOKUP('Données projet'!$B$9,Paramètres!$A$1:$I$89,5,0)</f>
        <v>253.0007999999998</v>
      </c>
      <c r="P98" s="14">
        <f t="shared" si="87"/>
        <v>61.228070105968683</v>
      </c>
      <c r="Q98" s="22">
        <f t="shared" si="54"/>
        <v>547.28194876789507</v>
      </c>
      <c r="R98" s="62">
        <f t="shared" si="55"/>
        <v>840.61528210122833</v>
      </c>
      <c r="S98" s="62">
        <f ca="1">AVERAGE(OFFSET($R$3,0,0,'Données projet'!$E$9+1,1))-AVERAGE(OFFSET($H$3,0,0,'Données projet'!$E$9+1,1))</f>
        <v>352.5736659365665</v>
      </c>
      <c r="T98" s="62">
        <f t="shared" si="88"/>
        <v>343.77208530767069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3.7210067436771856</v>
      </c>
      <c r="AA98" s="23">
        <f>EXP(-LN(2)/25)*AA97+(1-EXP(-LN(2)/25))/(LN(2)/25)*Calculateur!V98*Calculateur!X98*VLOOKUP('Données projet'!$B$9,Paramètres!$A$1:$I$89,3,0)*0.475*44/12</f>
        <v>3.9122873624641059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7.6332941061412916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3.7243808037601412E-14</v>
      </c>
      <c r="AK98" s="14">
        <f t="shared" si="89"/>
        <v>6.2767589361185393E-13</v>
      </c>
      <c r="AL98" s="22">
        <f t="shared" si="58"/>
        <v>1.1580684803728015E-12</v>
      </c>
      <c r="AM98" s="62">
        <f t="shared" si="59"/>
        <v>293.33333333333445</v>
      </c>
      <c r="AN98" s="62">
        <f ca="1">AVERAGE(OFFSET($AM$3,0,0,'Données projet'!$E$10+1,1))-AVERAGE(OFFSET($H$3,0,0,'Données projet'!$E$10+1,1))</f>
        <v>210.08998695869161</v>
      </c>
      <c r="AO98" s="62">
        <f t="shared" si="90"/>
        <v>207.30911916430881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3.0411161772934101E-11</v>
      </c>
      <c r="AX98" s="23">
        <f t="shared" si="60"/>
        <v>3.0411161772934101E-11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332</v>
      </c>
      <c r="BB98" s="13">
        <f>VLOOKUP(A98,'Données projet'!$A$87:$I$107,9,0)</f>
        <v>6</v>
      </c>
      <c r="BC98" s="13">
        <f t="array" ref="BC98">INDEX(BB:BB,MIN(IF(ISNUMBER(BB98:BB294),ROW(BB98:BB294),"")))</f>
        <v>6</v>
      </c>
      <c r="BD98" s="13">
        <f>IF('Données projet'!$A$88&gt;35,BD97+BC98-BL97,IF(A98&lt;'Données projet'!$A$88,$BA$205^A98,IF(A98='Données projet'!$A$88,'Données projet'!$B$88,BD97+BC98-BL97)))</f>
        <v>331.99999999999994</v>
      </c>
      <c r="BE98" s="14">
        <f>BD98*VLOOKUP('Données projet'!$B$11,Paramètres!$A$1:$I$89,3,0)*VLOOKUP('Données projet'!$B$11,Paramètres!$A$1:$I$89,5,0)</f>
        <v>222.70559999999995</v>
      </c>
      <c r="BF98" s="14">
        <f t="shared" si="91"/>
        <v>54.702515528198902</v>
      </c>
      <c r="BG98" s="22">
        <f t="shared" si="61"/>
        <v>483.15246787827965</v>
      </c>
      <c r="BH98" s="62">
        <f t="shared" si="62"/>
        <v>776.48580121161297</v>
      </c>
      <c r="BI98" s="62">
        <f ca="1">AVERAGE(OFFSET($BH$3,0,0,'Données projet'!$E$11+1,1))-AVERAGE(OFFSET($H$3,0,0,'Données projet'!$E$11+1,1))</f>
        <v>335.83558218229564</v>
      </c>
      <c r="BJ98" s="62">
        <f t="shared" si="92"/>
        <v>217.08423061559648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28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3.4529391032017862E-9</v>
      </c>
      <c r="BS98" s="24">
        <f t="shared" si="63"/>
        <v>3.4529391032017862E-9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5.6843418860808015E-14</v>
      </c>
      <c r="BZ98" s="14">
        <f>BY98*VLOOKUP('Données projet'!$B$12,Paramètres!$A$1:$I$89,3,0)*VLOOKUP('Données projet'!$B$12,Paramètres!$A$1:$I$89,5,0)</f>
        <v>4.4337866711430253E-14</v>
      </c>
      <c r="CA98" s="14">
        <f t="shared" si="93"/>
        <v>7.3222115536967035E-13</v>
      </c>
      <c r="CB98" s="22">
        <f t="shared" si="64"/>
        <v>1.3525069634579169E-12</v>
      </c>
      <c r="CC98" s="62">
        <f t="shared" si="65"/>
        <v>293.33333333333468</v>
      </c>
      <c r="CD98" s="62">
        <f ca="1">AVERAGE(OFFSET($CC$3,0,0,'Données projet'!$E$12+1,1))-AVERAGE(OFFSET($H$3,0,0,'Données projet'!$E$12+1,1))</f>
        <v>288.82868507674738</v>
      </c>
      <c r="CE98" s="62">
        <f t="shared" si="94"/>
        <v>283.48738729114024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0.80353419162656681</v>
      </c>
      <c r="CM98" s="23">
        <f>EXP(-LN(2)/2)*CM97+(1-EXP(-LN(2)/2))/(LN(2)/2)*CG98*CJ98*VLOOKUP('Données projet'!$B$12,Paramètres!$A$1:$I$89,3,0)*0.475*44/12</f>
        <v>4.2472329191011439E-10</v>
      </c>
      <c r="CN98" s="24">
        <f t="shared" si="66"/>
        <v>0.80353419205129006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317.99999999999972</v>
      </c>
      <c r="CU98" s="18">
        <f>CT98*VLOOKUP('Données projet'!$B$13,Paramètres!$A$1:$I$89,3,0)*VLOOKUP('Données projet'!$B$13,Paramètres!$A$1:$I$89,5,0)</f>
        <v>277.80479999999983</v>
      </c>
      <c r="CV98" s="14">
        <f t="shared" si="95"/>
        <v>66.50288772038418</v>
      </c>
      <c r="CW98" s="22">
        <f t="shared" si="67"/>
        <v>599.66922277966887</v>
      </c>
      <c r="CX98" s="62">
        <f t="shared" si="68"/>
        <v>893.00255611300213</v>
      </c>
      <c r="CY98" s="62">
        <f ca="1">AVERAGE(OFFSET($CX$3,0,0,'Données projet'!$E$13+1,1))-AVERAGE(OFFSET($H$3,0,0,'Données projet'!$E$13+1,1))</f>
        <v>383.46266660377637</v>
      </c>
      <c r="CZ98" s="62">
        <f t="shared" si="96"/>
        <v>373.1287543230714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2.6482219042369519</v>
      </c>
      <c r="DH98" s="23">
        <f>EXP(-LN(2)/2)*DH97+(1-EXP(-LN(2)/2))/(LN(2)/2)*DB98*DE98*VLOOKUP('Données projet'!$B$13,Paramètres!$A$1:$I$89,3,0)*0.475*44/12</f>
        <v>3.4962849556093038E-9</v>
      </c>
      <c r="DI98" s="24">
        <f t="shared" si="69"/>
        <v>2.648221907733237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>
        <f>DO98*VLOOKUP('Données projet'!$B$14,Paramètres!$A$1:$I$89,3,0)*VLOOKUP('Données projet'!$B$14,Paramètres!$A$1:$I$89,5,0)</f>
        <v>0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96.56611521638132</v>
      </c>
      <c r="DU98" s="62">
        <f t="shared" si="98"/>
        <v>465.03257878814094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22.748945821931219</v>
      </c>
      <c r="EB98" s="23">
        <f>EXP(-LN(2)/25)*EB97+(1-EXP(-LN(2)/25))/(LN(2)/25)*Calculateur!DW98*Calculateur!DY98*VLOOKUP('Données projet'!$B$14,Paramètres!$A$1:$I$89,3,0)*0.475*44/12</f>
        <v>3.0297084984590019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25.778654320390221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317.99999999999972</v>
      </c>
      <c r="EK98" s="18">
        <f>EJ98*VLOOKUP('Données projet'!$B$15,Paramètres!$A$1:$I$89,3,0)*VLOOKUP('Données projet'!$B$15,Paramètres!$A$1:$I$89,5,0)</f>
        <v>257.96159999999981</v>
      </c>
      <c r="EL98" s="14">
        <f t="shared" si="99"/>
        <v>62.287674609742425</v>
      </c>
      <c r="EM98" s="22">
        <f t="shared" si="73"/>
        <v>557.76748661196768</v>
      </c>
      <c r="EN98" s="62">
        <f t="shared" si="74"/>
        <v>851.10081994530105</v>
      </c>
      <c r="EO98" s="62">
        <f ca="1">AVERAGE(OFFSET($EN$3,0,0,'Données projet'!$E$15+1,1))-AVERAGE(OFFSET($H$3,0,0,'Données projet'!$E$15+1,1))</f>
        <v>358.75637627589799</v>
      </c>
      <c r="EP98" s="62">
        <f t="shared" si="100"/>
        <v>349.64821164483607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2.668379319194806</v>
      </c>
      <c r="EW98" s="23">
        <f>EXP(-LN(2)/25)*EW97+(1-EXP(-LN(2)/25))/(LN(2)/25)*Calculateur!ER98*Calculateur!ET98*VLOOKUP('Données projet'!$B$15,Paramètres!$A$1:$I$89,3,0)*0.475*44/12</f>
        <v>2.5298183018379974</v>
      </c>
      <c r="EX98" s="23">
        <f>EXP(-LN(2)/2)*EX97+(1-EXP(-LN(2)/2))/(LN(2)/2)*ER98*EU98*VLOOKUP('Données projet'!$B$15,Paramètres!$A$1:$I$89,3,0)*0.475*44/12</f>
        <v>6.0032590868089602E-10</v>
      </c>
      <c r="EY98" s="24">
        <f t="shared" si="75"/>
        <v>5.1981976216331294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>
        <f>FE98*VLOOKUP('Données projet'!$B$16,Paramètres!$A$1:$I$89,3,0)*VLOOKUP('Données projet'!$B$16,Paramètres!$A$1:$I$89,5,0)</f>
        <v>0</v>
      </c>
      <c r="FG98" s="14" t="e">
        <f t="shared" si="101"/>
        <v>#NUM!</v>
      </c>
      <c r="FH98" s="22" t="e">
        <f t="shared" si="76"/>
        <v>#NUM!</v>
      </c>
      <c r="FI98" s="62" t="e">
        <f t="shared" si="77"/>
        <v>#NUM!</v>
      </c>
      <c r="FJ98" s="62">
        <f ca="1">AVERAGE(OFFSET($FI$3,0,0,'Données projet'!$E$16+1,1))-AVERAGE(OFFSET($H$3,0,0,'Données projet'!$E$16+1,1))</f>
        <v>121.28977654040114</v>
      </c>
      <c r="FK98" s="62">
        <f t="shared" si="102"/>
        <v>615.69585264342595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30.650540449156605</v>
      </c>
      <c r="FR98" s="23">
        <f>EXP(-LN(2)/25)*FR97+(1-EXP(-LN(2)/25))/(LN(2)/25)*Calculateur!FM98*Calculateur!FO98*VLOOKUP('Données projet'!$B$16,Paramètres!$A$1:$I$89,3,0)*0.475*44/12</f>
        <v>4.0820442234139467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34.732584672570553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317.99999999999972</v>
      </c>
      <c r="O99" s="14">
        <f>N99*VLOOKUP('Données projet'!$B$9,Paramètres!$A$1:$I$89,3,0)*VLOOKUP('Données projet'!$B$9,Paramètres!$A$1:$I$89,5,0)</f>
        <v>253.0007999999998</v>
      </c>
      <c r="P99" s="14">
        <f t="shared" si="87"/>
        <v>61.228070105968683</v>
      </c>
      <c r="Q99" s="22">
        <f t="shared" ref="Q99:Q130" si="107">(O99+P99)*0.475*44/12</f>
        <v>547.28194876789507</v>
      </c>
      <c r="R99" s="62">
        <f t="shared" si="55"/>
        <v>840.61528210122833</v>
      </c>
      <c r="S99" s="62">
        <f ca="1">AVERAGE(OFFSET($R$3,0,0,'Données projet'!$E$9+1,1))-AVERAGE(OFFSET($H$3,0,0,'Données projet'!$E$9+1,1))</f>
        <v>352.5736659365665</v>
      </c>
      <c r="T99" s="62">
        <f t="shared" si="88"/>
        <v>343.77208530767069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3.6480400710236864</v>
      </c>
      <c r="AA99" s="23">
        <f>EXP(-LN(2)/25)*AA98+(1-EXP(-LN(2)/25))/(LN(2)/25)*Calculateur!V99*Calculateur!X99*VLOOKUP('Données projet'!$B$9,Paramètres!$A$1:$I$89,3,0)*0.475*44/12</f>
        <v>3.8053056587992744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7.4533457298229608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3.7243808037601412E-14</v>
      </c>
      <c r="AK99" s="14">
        <f t="shared" si="89"/>
        <v>6.2767589361185393E-13</v>
      </c>
      <c r="AL99" s="22">
        <f t="shared" si="58"/>
        <v>1.1580684803728015E-12</v>
      </c>
      <c r="AM99" s="62">
        <f t="shared" si="59"/>
        <v>293.33333333333445</v>
      </c>
      <c r="AN99" s="62">
        <f ca="1">AVERAGE(OFFSET($AM$3,0,0,'Données projet'!$E$10+1,1))-AVERAGE(OFFSET($H$3,0,0,'Données projet'!$E$10+1,1))</f>
        <v>210.08998695869161</v>
      </c>
      <c r="AO99" s="62">
        <f t="shared" si="90"/>
        <v>207.30911916430881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2.1503938713402813E-11</v>
      </c>
      <c r="AX99" s="23">
        <f t="shared" si="60"/>
        <v>2.1503938713402813E-11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5.8</v>
      </c>
      <c r="BD99" s="13">
        <f>IF('Données projet'!$A$88&gt;35,BD98+BC99-BL98,IF(A99&lt;'Données projet'!$A$88,$BA$205^A99,IF(A99='Données projet'!$A$88,'Données projet'!$B$88,BD98+BC99-BL98)))</f>
        <v>309.79999999999995</v>
      </c>
      <c r="BE99" s="14">
        <f>BD99*VLOOKUP('Données projet'!$B$11,Paramètres!$A$1:$I$89,3,0)*VLOOKUP('Données projet'!$B$11,Paramètres!$A$1:$I$89,5,0)</f>
        <v>207.81383999999997</v>
      </c>
      <c r="BF99" s="14">
        <f t="shared" si="91"/>
        <v>51.457564160797617</v>
      </c>
      <c r="BG99" s="22">
        <f t="shared" si="61"/>
        <v>451.56436224672251</v>
      </c>
      <c r="BH99" s="62">
        <f t="shared" si="62"/>
        <v>744.89769558005582</v>
      </c>
      <c r="BI99" s="62">
        <f ca="1">AVERAGE(OFFSET($BH$3,0,0,'Données projet'!$E$11+1,1))-AVERAGE(OFFSET($H$3,0,0,'Données projet'!$E$11+1,1))</f>
        <v>335.83558218229564</v>
      </c>
      <c r="BJ99" s="62">
        <f t="shared" si="92"/>
        <v>217.08423061559648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2.441596654898179E-9</v>
      </c>
      <c r="BS99" s="24">
        <f t="shared" si="63"/>
        <v>2.441596654898179E-9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5.6843418860808015E-14</v>
      </c>
      <c r="BZ99" s="14">
        <f>BY99*VLOOKUP('Données projet'!$B$12,Paramètres!$A$1:$I$89,3,0)*VLOOKUP('Données projet'!$B$12,Paramètres!$A$1:$I$89,5,0)</f>
        <v>4.4337866711430253E-14</v>
      </c>
      <c r="CA99" s="14">
        <f t="shared" si="93"/>
        <v>7.3222115536967035E-13</v>
      </c>
      <c r="CB99" s="22">
        <f t="shared" si="64"/>
        <v>1.3525069634579169E-12</v>
      </c>
      <c r="CC99" s="62">
        <f t="shared" si="65"/>
        <v>293.33333333333468</v>
      </c>
      <c r="CD99" s="62">
        <f ca="1">AVERAGE(OFFSET($CC$3,0,0,'Données projet'!$E$12+1,1))-AVERAGE(OFFSET($H$3,0,0,'Données projet'!$E$12+1,1))</f>
        <v>288.82868507674738</v>
      </c>
      <c r="CE99" s="62">
        <f t="shared" si="94"/>
        <v>283.48738729114024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0.78156150690051174</v>
      </c>
      <c r="CM99" s="23">
        <f>EXP(-LN(2)/2)*CM98+(1-EXP(-LN(2)/2))/(LN(2)/2)*CG99*CJ99*VLOOKUP('Données projet'!$B$12,Paramètres!$A$1:$I$89,3,0)*0.475*44/12</f>
        <v>3.003247198375154E-10</v>
      </c>
      <c r="CN99" s="24">
        <f t="shared" si="66"/>
        <v>0.7815615072008365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317.99999999999972</v>
      </c>
      <c r="CU99" s="18">
        <f>CT99*VLOOKUP('Données projet'!$B$13,Paramètres!$A$1:$I$89,3,0)*VLOOKUP('Données projet'!$B$13,Paramètres!$A$1:$I$89,5,0)</f>
        <v>277.80479999999983</v>
      </c>
      <c r="CV99" s="14">
        <f t="shared" si="95"/>
        <v>66.50288772038418</v>
      </c>
      <c r="CW99" s="22">
        <f t="shared" si="67"/>
        <v>599.66922277966887</v>
      </c>
      <c r="CX99" s="62">
        <f t="shared" si="68"/>
        <v>893.00255611300213</v>
      </c>
      <c r="CY99" s="62">
        <f ca="1">AVERAGE(OFFSET($CX$3,0,0,'Données projet'!$E$13+1,1))-AVERAGE(OFFSET($H$3,0,0,'Données projet'!$E$13+1,1))</f>
        <v>383.46266660377637</v>
      </c>
      <c r="CZ99" s="62">
        <f t="shared" si="96"/>
        <v>373.1287543230714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2.5758061370016549</v>
      </c>
      <c r="DH99" s="23">
        <f>EXP(-LN(2)/2)*DH98+(1-EXP(-LN(2)/2))/(LN(2)/2)*DB99*DE99*VLOOKUP('Données projet'!$B$13,Paramètres!$A$1:$I$89,3,0)*0.475*44/12</f>
        <v>2.472246801071846E-9</v>
      </c>
      <c r="DI99" s="24">
        <f t="shared" si="69"/>
        <v>2.5758061394739018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>
        <f>DO99*VLOOKUP('Données projet'!$B$14,Paramètres!$A$1:$I$89,3,0)*VLOOKUP('Données projet'!$B$14,Paramètres!$A$1:$I$89,5,0)</f>
        <v>0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96.56611521638132</v>
      </c>
      <c r="DU99" s="62">
        <f t="shared" si="98"/>
        <v>465.03257878814094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22.30285286985001</v>
      </c>
      <c r="EB99" s="23">
        <f>EXP(-LN(2)/25)*EB98+(1-EXP(-LN(2)/25))/(LN(2)/25)*Calculateur!DW99*Calculateur!DY99*VLOOKUP('Données projet'!$B$14,Paramètres!$A$1:$I$89,3,0)*0.475*44/12</f>
        <v>2.9468609602431952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25.249713830093206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317.99999999999972</v>
      </c>
      <c r="EK99" s="18">
        <f>EJ99*VLOOKUP('Données projet'!$B$15,Paramètres!$A$1:$I$89,3,0)*VLOOKUP('Données projet'!$B$15,Paramètres!$A$1:$I$89,5,0)</f>
        <v>257.96159999999981</v>
      </c>
      <c r="EL99" s="14">
        <f t="shared" si="99"/>
        <v>62.287674609742425</v>
      </c>
      <c r="EM99" s="22">
        <f t="shared" si="73"/>
        <v>557.76748661196768</v>
      </c>
      <c r="EN99" s="62">
        <f t="shared" si="74"/>
        <v>851.10081994530105</v>
      </c>
      <c r="EO99" s="62">
        <f ca="1">AVERAGE(OFFSET($EN$3,0,0,'Données projet'!$E$15+1,1))-AVERAGE(OFFSET($H$3,0,0,'Données projet'!$E$15+1,1))</f>
        <v>358.75637627589799</v>
      </c>
      <c r="EP99" s="62">
        <f t="shared" si="100"/>
        <v>349.64821164483607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2.6160540282960731</v>
      </c>
      <c r="EW99" s="23">
        <f>EXP(-LN(2)/25)*EW98+(1-EXP(-LN(2)/25))/(LN(2)/25)*Calculateur!ER99*Calculateur!ET99*VLOOKUP('Données projet'!$B$15,Paramètres!$A$1:$I$89,3,0)*0.475*44/12</f>
        <v>2.4606402873368749</v>
      </c>
      <c r="EX99" s="23">
        <f>EXP(-LN(2)/2)*EX98+(1-EXP(-LN(2)/2))/(LN(2)/2)*ER99*EU99*VLOOKUP('Données projet'!$B$15,Paramètres!$A$1:$I$89,3,0)*0.475*44/12</f>
        <v>4.2449452095023766E-10</v>
      </c>
      <c r="EY99" s="24">
        <f t="shared" si="75"/>
        <v>5.0766943160574423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>
        <f>FE99*VLOOKUP('Données projet'!$B$16,Paramètres!$A$1:$I$89,3,0)*VLOOKUP('Données projet'!$B$16,Paramètres!$A$1:$I$89,5,0)</f>
        <v>0</v>
      </c>
      <c r="FG99" s="14" t="e">
        <f t="shared" si="101"/>
        <v>#NUM!</v>
      </c>
      <c r="FH99" s="22" t="e">
        <f t="shared" si="76"/>
        <v>#NUM!</v>
      </c>
      <c r="FI99" s="62" t="e">
        <f t="shared" si="77"/>
        <v>#NUM!</v>
      </c>
      <c r="FJ99" s="62">
        <f ca="1">AVERAGE(OFFSET($FI$3,0,0,'Données projet'!$E$16+1,1))-AVERAGE(OFFSET($H$3,0,0,'Données projet'!$E$16+1,1))</f>
        <v>121.28977654040114</v>
      </c>
      <c r="FK99" s="62">
        <f t="shared" si="102"/>
        <v>615.69585264342595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30.049502045932343</v>
      </c>
      <c r="FR99" s="23">
        <f>EXP(-LN(2)/25)*FR98+(1-EXP(-LN(2)/25))/(LN(2)/25)*Calculateur!FM99*Calculateur!FO99*VLOOKUP('Données projet'!$B$16,Paramètres!$A$1:$I$89,3,0)*0.475*44/12</f>
        <v>3.9704205094593163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34.019922555391659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317.99999999999972</v>
      </c>
      <c r="O100" s="14">
        <f>N100*VLOOKUP('Données projet'!$B$9,Paramètres!$A$1:$I$89,3,0)*VLOOKUP('Données projet'!$B$9,Paramètres!$A$1:$I$89,5,0)</f>
        <v>253.0007999999998</v>
      </c>
      <c r="P100" s="14">
        <f t="shared" si="87"/>
        <v>61.228070105968683</v>
      </c>
      <c r="Q100" s="22">
        <f t="shared" si="107"/>
        <v>547.28194876789507</v>
      </c>
      <c r="R100" s="62">
        <f t="shared" si="55"/>
        <v>840.61528210122833</v>
      </c>
      <c r="S100" s="62">
        <f ca="1">AVERAGE(OFFSET($R$3,0,0,'Données projet'!$E$9+1,1))-AVERAGE(OFFSET($H$3,0,0,'Données projet'!$E$9+1,1))</f>
        <v>352.5736659365665</v>
      </c>
      <c r="T100" s="62">
        <f t="shared" si="88"/>
        <v>343.77208530767069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3.5765042303156465</v>
      </c>
      <c r="AA100" s="23">
        <f>EXP(-LN(2)/25)*AA99+(1-EXP(-LN(2)/25))/(LN(2)/25)*Calculateur!V100*Calculateur!X100*VLOOKUP('Données projet'!$B$9,Paramètres!$A$1:$I$89,3,0)*0.475*44/12</f>
        <v>3.7012493754470808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7.2777536057627277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3.7243808037601412E-14</v>
      </c>
      <c r="AK100" s="14">
        <f t="shared" si="89"/>
        <v>6.2767589361185393E-13</v>
      </c>
      <c r="AL100" s="22">
        <f t="shared" si="58"/>
        <v>1.1580684803728015E-12</v>
      </c>
      <c r="AM100" s="62">
        <f t="shared" si="59"/>
        <v>293.33333333333445</v>
      </c>
      <c r="AN100" s="62">
        <f ca="1">AVERAGE(OFFSET($AM$3,0,0,'Données projet'!$E$10+1,1))-AVERAGE(OFFSET($H$3,0,0,'Données projet'!$E$10+1,1))</f>
        <v>210.08998695869161</v>
      </c>
      <c r="AO100" s="62">
        <f t="shared" si="90"/>
        <v>207.30911916430881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1.5205580886467051E-11</v>
      </c>
      <c r="AX100" s="23">
        <f t="shared" si="60"/>
        <v>1.5205580886467051E-11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5.8</v>
      </c>
      <c r="BD100" s="13">
        <f>IF('Données projet'!$A$88&gt;35,BD99+BC100-BL99,IF(A100&lt;'Données projet'!$A$88,$BA$205^A100,IF(A100='Données projet'!$A$88,'Données projet'!$B$88,BD99+BC100-BL99)))</f>
        <v>315.59999999999997</v>
      </c>
      <c r="BE100" s="14">
        <f>BD100*VLOOKUP('Données projet'!$B$11,Paramètres!$A$1:$I$89,3,0)*VLOOKUP('Données projet'!$B$11,Paramètres!$A$1:$I$89,5,0)</f>
        <v>211.70447999999996</v>
      </c>
      <c r="BF100" s="14">
        <f t="shared" si="91"/>
        <v>52.307882041697276</v>
      </c>
      <c r="BG100" s="22">
        <f t="shared" si="61"/>
        <v>459.82153055595603</v>
      </c>
      <c r="BH100" s="62">
        <f t="shared" si="62"/>
        <v>753.15486388928935</v>
      </c>
      <c r="BI100" s="62">
        <f ca="1">AVERAGE(OFFSET($BH$3,0,0,'Données projet'!$E$11+1,1))-AVERAGE(OFFSET($H$3,0,0,'Données projet'!$E$11+1,1))</f>
        <v>335.83558218229564</v>
      </c>
      <c r="BJ100" s="62">
        <f t="shared" si="92"/>
        <v>217.08423061559648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1.7264695516008931E-9</v>
      </c>
      <c r="BS100" s="24">
        <f t="shared" si="63"/>
        <v>1.7264695516008931E-9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5.6843418860808015E-14</v>
      </c>
      <c r="BZ100" s="14">
        <f>BY100*VLOOKUP('Données projet'!$B$12,Paramètres!$A$1:$I$89,3,0)*VLOOKUP('Données projet'!$B$12,Paramètres!$A$1:$I$89,5,0)</f>
        <v>4.4337866711430253E-14</v>
      </c>
      <c r="CA100" s="14">
        <f t="shared" si="93"/>
        <v>7.3222115536967035E-13</v>
      </c>
      <c r="CB100" s="22">
        <f t="shared" si="64"/>
        <v>1.3525069634579169E-12</v>
      </c>
      <c r="CC100" s="62">
        <f t="shared" si="65"/>
        <v>293.33333333333468</v>
      </c>
      <c r="CD100" s="62">
        <f ca="1">AVERAGE(OFFSET($CC$3,0,0,'Données projet'!$E$12+1,1))-AVERAGE(OFFSET($H$3,0,0,'Données projet'!$E$12+1,1))</f>
        <v>288.82868507674738</v>
      </c>
      <c r="CE100" s="62">
        <f t="shared" si="94"/>
        <v>283.48738729114024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0.76018966639378382</v>
      </c>
      <c r="CM100" s="23">
        <f>EXP(-LN(2)/2)*CM99+(1-EXP(-LN(2)/2))/(LN(2)/2)*CG100*CJ100*VLOOKUP('Données projet'!$B$12,Paramètres!$A$1:$I$89,3,0)*0.475*44/12</f>
        <v>2.1236164595505719E-10</v>
      </c>
      <c r="CN100" s="24">
        <f t="shared" si="66"/>
        <v>0.76018966660614551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317.99999999999972</v>
      </c>
      <c r="CU100" s="18">
        <f>CT100*VLOOKUP('Données projet'!$B$13,Paramètres!$A$1:$I$89,3,0)*VLOOKUP('Données projet'!$B$13,Paramètres!$A$1:$I$89,5,0)</f>
        <v>277.80479999999983</v>
      </c>
      <c r="CV100" s="14">
        <f t="shared" si="95"/>
        <v>66.50288772038418</v>
      </c>
      <c r="CW100" s="22">
        <f t="shared" si="67"/>
        <v>599.66922277966887</v>
      </c>
      <c r="CX100" s="62">
        <f t="shared" si="68"/>
        <v>893.00255611300213</v>
      </c>
      <c r="CY100" s="62">
        <f ca="1">AVERAGE(OFFSET($CX$3,0,0,'Données projet'!$E$13+1,1))-AVERAGE(OFFSET($H$3,0,0,'Données projet'!$E$13+1,1))</f>
        <v>383.46266660377637</v>
      </c>
      <c r="CZ100" s="62">
        <f t="shared" si="96"/>
        <v>373.1287543230714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2.5053705827295869</v>
      </c>
      <c r="DH100" s="23">
        <f>EXP(-LN(2)/2)*DH99+(1-EXP(-LN(2)/2))/(LN(2)/2)*DB100*DE100*VLOOKUP('Données projet'!$B$13,Paramètres!$A$1:$I$89,3,0)*0.475*44/12</f>
        <v>1.7481424778046519E-9</v>
      </c>
      <c r="DI100" s="24">
        <f t="shared" si="69"/>
        <v>2.5053705844777294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>
        <f>DO100*VLOOKUP('Données projet'!$B$14,Paramètres!$A$1:$I$89,3,0)*VLOOKUP('Données projet'!$B$14,Paramètres!$A$1:$I$89,5,0)</f>
        <v>0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96.56611521638132</v>
      </c>
      <c r="DU100" s="62">
        <f t="shared" si="98"/>
        <v>465.03257878814094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21.86550752846928</v>
      </c>
      <c r="EB100" s="23">
        <f>EXP(-LN(2)/25)*EB99+(1-EXP(-LN(2)/25))/(LN(2)/25)*Calculateur!DW100*Calculateur!DY100*VLOOKUP('Données projet'!$B$14,Paramètres!$A$1:$I$89,3,0)*0.475*44/12</f>
        <v>2.8662788923166622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24.731786420785941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317.99999999999972</v>
      </c>
      <c r="EK100" s="18">
        <f>EJ100*VLOOKUP('Données projet'!$B$15,Paramètres!$A$1:$I$89,3,0)*VLOOKUP('Données projet'!$B$15,Paramètres!$A$1:$I$89,5,0)</f>
        <v>257.96159999999981</v>
      </c>
      <c r="EL100" s="14">
        <f t="shared" si="99"/>
        <v>62.287674609742425</v>
      </c>
      <c r="EM100" s="22">
        <f t="shared" si="73"/>
        <v>557.76748661196768</v>
      </c>
      <c r="EN100" s="62">
        <f t="shared" si="74"/>
        <v>851.10081994530105</v>
      </c>
      <c r="EO100" s="62">
        <f ca="1">AVERAGE(OFFSET($EN$3,0,0,'Données projet'!$E$15+1,1))-AVERAGE(OFFSET($H$3,0,0,'Données projet'!$E$15+1,1))</f>
        <v>358.75637627589799</v>
      </c>
      <c r="EP100" s="62">
        <f t="shared" si="100"/>
        <v>349.64821164483607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2.5647548044365887</v>
      </c>
      <c r="EW100" s="23">
        <f>EXP(-LN(2)/25)*EW99+(1-EXP(-LN(2)/25))/(LN(2)/25)*Calculateur!ER100*Calculateur!ET100*VLOOKUP('Données projet'!$B$15,Paramètres!$A$1:$I$89,3,0)*0.475*44/12</f>
        <v>2.3933539492801992</v>
      </c>
      <c r="EX100" s="23">
        <f>EXP(-LN(2)/2)*EX99+(1-EXP(-LN(2)/2))/(LN(2)/2)*ER100*EU100*VLOOKUP('Données projet'!$B$15,Paramètres!$A$1:$I$89,3,0)*0.475*44/12</f>
        <v>3.0016295434044801E-10</v>
      </c>
      <c r="EY100" s="24">
        <f t="shared" si="75"/>
        <v>4.9581087540169504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>
        <f>FE100*VLOOKUP('Données projet'!$B$16,Paramètres!$A$1:$I$89,3,0)*VLOOKUP('Données projet'!$B$16,Paramètres!$A$1:$I$89,5,0)</f>
        <v>0</v>
      </c>
      <c r="FG100" s="14" t="e">
        <f t="shared" si="101"/>
        <v>#NUM!</v>
      </c>
      <c r="FH100" s="22" t="e">
        <f t="shared" si="76"/>
        <v>#NUM!</v>
      </c>
      <c r="FI100" s="62" t="e">
        <f t="shared" si="77"/>
        <v>#NUM!</v>
      </c>
      <c r="FJ100" s="62">
        <f ca="1">AVERAGE(OFFSET($FI$3,0,0,'Données projet'!$E$16+1,1))-AVERAGE(OFFSET($H$3,0,0,'Données projet'!$E$16+1,1))</f>
        <v>121.28977654040114</v>
      </c>
      <c r="FK100" s="62">
        <f t="shared" si="102"/>
        <v>615.69585264342595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29.460249639198079</v>
      </c>
      <c r="FR100" s="23">
        <f>EXP(-LN(2)/25)*FR99+(1-EXP(-LN(2)/25))/(LN(2)/25)*Calculateur!FM100*Calculateur!FO100*VLOOKUP('Données projet'!$B$16,Paramètres!$A$1:$I$89,3,0)*0.475*44/12</f>
        <v>3.8618491518328111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33.322098791030889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317.99999999999972</v>
      </c>
      <c r="O101" s="14">
        <f>N101*VLOOKUP('Données projet'!$B$9,Paramètres!$A$1:$I$89,3,0)*VLOOKUP('Données projet'!$B$9,Paramètres!$A$1:$I$89,5,0)</f>
        <v>253.0007999999998</v>
      </c>
      <c r="P101" s="14">
        <f t="shared" si="87"/>
        <v>61.228070105968683</v>
      </c>
      <c r="Q101" s="22">
        <f t="shared" si="107"/>
        <v>547.28194876789507</v>
      </c>
      <c r="R101" s="62">
        <f t="shared" si="55"/>
        <v>840.61528210122833</v>
      </c>
      <c r="S101" s="62">
        <f ca="1">AVERAGE(OFFSET($R$3,0,0,'Données projet'!$E$9+1,1))-AVERAGE(OFFSET($H$3,0,0,'Données projet'!$E$9+1,1))</f>
        <v>352.5736659365665</v>
      </c>
      <c r="T101" s="62">
        <f t="shared" si="88"/>
        <v>343.77208530767069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3.5063711638113366</v>
      </c>
      <c r="AA101" s="23">
        <f>EXP(-LN(2)/25)*AA100+(1-EXP(-LN(2)/25))/(LN(2)/25)*Calculateur!V101*Calculateur!X101*VLOOKUP('Données projet'!$B$9,Paramètres!$A$1:$I$89,3,0)*0.475*44/12</f>
        <v>3.6000385166352351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7.1064096804465713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3.7243808037601412E-14</v>
      </c>
      <c r="AK101" s="14">
        <f t="shared" si="89"/>
        <v>6.2767589361185393E-13</v>
      </c>
      <c r="AL101" s="22">
        <f t="shared" si="58"/>
        <v>1.1580684803728015E-12</v>
      </c>
      <c r="AM101" s="62">
        <f t="shared" si="59"/>
        <v>293.33333333333445</v>
      </c>
      <c r="AN101" s="62">
        <f ca="1">AVERAGE(OFFSET($AM$3,0,0,'Données projet'!$E$10+1,1))-AVERAGE(OFFSET($H$3,0,0,'Données projet'!$E$10+1,1))</f>
        <v>210.08998695869161</v>
      </c>
      <c r="AO101" s="62">
        <f t="shared" si="90"/>
        <v>207.30911916430881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1.0751969356701406E-11</v>
      </c>
      <c r="AX101" s="23">
        <f t="shared" si="60"/>
        <v>1.0751969356701406E-11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5.8</v>
      </c>
      <c r="BD101" s="13">
        <f>IF('Données projet'!$A$88&gt;35,BD100+BC101-BL100,IF(A101&lt;'Données projet'!$A$88,$BA$205^A101,IF(A101='Données projet'!$A$88,'Données projet'!$B$88,BD100+BC101-BL100)))</f>
        <v>321.39999999999998</v>
      </c>
      <c r="BE101" s="14">
        <f>BD101*VLOOKUP('Données projet'!$B$11,Paramètres!$A$1:$I$89,3,0)*VLOOKUP('Données projet'!$B$11,Paramètres!$A$1:$I$89,5,0)</f>
        <v>215.59512000000001</v>
      </c>
      <c r="BF101" s="14">
        <f t="shared" si="91"/>
        <v>53.156382789641306</v>
      </c>
      <c r="BG101" s="22">
        <f t="shared" si="61"/>
        <v>468.07553402529197</v>
      </c>
      <c r="BH101" s="62">
        <f t="shared" si="62"/>
        <v>761.40886735862523</v>
      </c>
      <c r="BI101" s="62">
        <f ca="1">AVERAGE(OFFSET($BH$3,0,0,'Données projet'!$E$11+1,1))-AVERAGE(OFFSET($H$3,0,0,'Données projet'!$E$11+1,1))</f>
        <v>335.83558218229564</v>
      </c>
      <c r="BJ101" s="62">
        <f t="shared" si="92"/>
        <v>217.08423061559648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1.2207983274490895E-9</v>
      </c>
      <c r="BS101" s="24">
        <f t="shared" si="63"/>
        <v>1.2207983274490895E-9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5.6843418860808015E-14</v>
      </c>
      <c r="BZ101" s="14">
        <f>BY101*VLOOKUP('Données projet'!$B$12,Paramètres!$A$1:$I$89,3,0)*VLOOKUP('Données projet'!$B$12,Paramètres!$A$1:$I$89,5,0)</f>
        <v>4.4337866711430253E-14</v>
      </c>
      <c r="CA101" s="14">
        <f t="shared" si="93"/>
        <v>7.3222115536967035E-13</v>
      </c>
      <c r="CB101" s="22">
        <f t="shared" si="64"/>
        <v>1.3525069634579169E-12</v>
      </c>
      <c r="CC101" s="62">
        <f t="shared" si="65"/>
        <v>293.33333333333468</v>
      </c>
      <c r="CD101" s="62">
        <f ca="1">AVERAGE(OFFSET($CC$3,0,0,'Données projet'!$E$12+1,1))-AVERAGE(OFFSET($H$3,0,0,'Données projet'!$E$12+1,1))</f>
        <v>288.82868507674738</v>
      </c>
      <c r="CE101" s="62">
        <f t="shared" si="94"/>
        <v>283.48738729114024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0.73940223998960863</v>
      </c>
      <c r="CM101" s="23">
        <f>EXP(-LN(2)/2)*CM100+(1-EXP(-LN(2)/2))/(LN(2)/2)*CG101*CJ101*VLOOKUP('Données projet'!$B$12,Paramètres!$A$1:$I$89,3,0)*0.475*44/12</f>
        <v>1.501623599187577E-10</v>
      </c>
      <c r="CN101" s="24">
        <f t="shared" si="66"/>
        <v>0.73940224013977096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317.99999999999972</v>
      </c>
      <c r="CU101" s="18">
        <f>CT101*VLOOKUP('Données projet'!$B$13,Paramètres!$A$1:$I$89,3,0)*VLOOKUP('Données projet'!$B$13,Paramètres!$A$1:$I$89,5,0)</f>
        <v>277.80479999999983</v>
      </c>
      <c r="CV101" s="14">
        <f t="shared" si="95"/>
        <v>66.50288772038418</v>
      </c>
      <c r="CW101" s="22">
        <f t="shared" si="67"/>
        <v>599.66922277966887</v>
      </c>
      <c r="CX101" s="62">
        <f t="shared" si="68"/>
        <v>893.00255611300213</v>
      </c>
      <c r="CY101" s="62">
        <f ca="1">AVERAGE(OFFSET($CX$3,0,0,'Données projet'!$E$13+1,1))-AVERAGE(OFFSET($H$3,0,0,'Données projet'!$E$13+1,1))</f>
        <v>383.46266660377637</v>
      </c>
      <c r="CZ101" s="62">
        <f t="shared" si="96"/>
        <v>373.1287543230714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2.4368610923931335</v>
      </c>
      <c r="DH101" s="23">
        <f>EXP(-LN(2)/2)*DH100+(1-EXP(-LN(2)/2))/(LN(2)/2)*DB101*DE101*VLOOKUP('Données projet'!$B$13,Paramètres!$A$1:$I$89,3,0)*0.475*44/12</f>
        <v>1.236123400535923E-9</v>
      </c>
      <c r="DI101" s="24">
        <f t="shared" si="69"/>
        <v>2.4368610936292567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>
        <f>DO101*VLOOKUP('Données projet'!$B$14,Paramètres!$A$1:$I$89,3,0)*VLOOKUP('Données projet'!$B$14,Paramètres!$A$1:$I$89,5,0)</f>
        <v>0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96.56611521638132</v>
      </c>
      <c r="DU101" s="62">
        <f t="shared" si="98"/>
        <v>465.03257878814094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21.436738262478706</v>
      </c>
      <c r="EB101" s="23">
        <f>EXP(-LN(2)/25)*EB100+(1-EXP(-LN(2)/25))/(LN(2)/25)*Calculateur!DW101*Calculateur!DY101*VLOOKUP('Données projet'!$B$14,Paramètres!$A$1:$I$89,3,0)*0.475*44/12</f>
        <v>2.7879003452752071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24.224638607753914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317.99999999999972</v>
      </c>
      <c r="EK101" s="18">
        <f>EJ101*VLOOKUP('Données projet'!$B$15,Paramètres!$A$1:$I$89,3,0)*VLOOKUP('Données projet'!$B$15,Paramètres!$A$1:$I$89,5,0)</f>
        <v>257.96159999999981</v>
      </c>
      <c r="EL101" s="14">
        <f t="shared" si="99"/>
        <v>62.287674609742425</v>
      </c>
      <c r="EM101" s="22">
        <f t="shared" si="73"/>
        <v>557.76748661196768</v>
      </c>
      <c r="EN101" s="62">
        <f t="shared" si="74"/>
        <v>851.10081994530105</v>
      </c>
      <c r="EO101" s="62">
        <f ca="1">AVERAGE(OFFSET($EN$3,0,0,'Données projet'!$E$15+1,1))-AVERAGE(OFFSET($H$3,0,0,'Données projet'!$E$15+1,1))</f>
        <v>358.75637627589799</v>
      </c>
      <c r="EP101" s="62">
        <f t="shared" si="100"/>
        <v>349.64821164483607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2.5144615270675517</v>
      </c>
      <c r="EW101" s="23">
        <f>EXP(-LN(2)/25)*EW100+(1-EXP(-LN(2)/25))/(LN(2)/25)*Calculateur!ER101*Calculateur!ET101*VLOOKUP('Données projet'!$B$15,Paramètres!$A$1:$I$89,3,0)*0.475*44/12</f>
        <v>2.3279075596761181</v>
      </c>
      <c r="EX101" s="23">
        <f>EXP(-LN(2)/2)*EX100+(1-EXP(-LN(2)/2))/(LN(2)/2)*ER101*EU101*VLOOKUP('Données projet'!$B$15,Paramètres!$A$1:$I$89,3,0)*0.475*44/12</f>
        <v>2.1224726047511883E-10</v>
      </c>
      <c r="EY101" s="24">
        <f t="shared" si="75"/>
        <v>4.8423690869559168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>
        <f>FE101*VLOOKUP('Données projet'!$B$16,Paramètres!$A$1:$I$89,3,0)*VLOOKUP('Données projet'!$B$16,Paramètres!$A$1:$I$89,5,0)</f>
        <v>0</v>
      </c>
      <c r="FG101" s="14" t="e">
        <f t="shared" si="101"/>
        <v>#NUM!</v>
      </c>
      <c r="FH101" s="22" t="e">
        <f t="shared" si="76"/>
        <v>#NUM!</v>
      </c>
      <c r="FI101" s="62" t="e">
        <f t="shared" si="77"/>
        <v>#NUM!</v>
      </c>
      <c r="FJ101" s="62">
        <f ca="1">AVERAGE(OFFSET($FI$3,0,0,'Données projet'!$E$16+1,1))-AVERAGE(OFFSET($H$3,0,0,'Données projet'!$E$16+1,1))</f>
        <v>121.28977654040114</v>
      </c>
      <c r="FK101" s="62">
        <f t="shared" si="102"/>
        <v>615.69585264342595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28.882552112751394</v>
      </c>
      <c r="FR101" s="23">
        <f>EXP(-LN(2)/25)*FR100+(1-EXP(-LN(2)/25))/(LN(2)/25)*Calculateur!FM101*Calculateur!FO101*VLOOKUP('Données projet'!$B$16,Paramètres!$A$1:$I$89,3,0)*0.475*44/12</f>
        <v>3.7562466836901223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32.63879879644152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317.99999999999972</v>
      </c>
      <c r="O102" s="14">
        <f>N102*VLOOKUP('Données projet'!$B$9,Paramètres!$A$1:$I$89,3,0)*VLOOKUP('Données projet'!$B$9,Paramètres!$A$1:$I$89,5,0)</f>
        <v>253.0007999999998</v>
      </c>
      <c r="P102" s="14">
        <f t="shared" si="87"/>
        <v>61.228070105968683</v>
      </c>
      <c r="Q102" s="22">
        <f t="shared" si="107"/>
        <v>547.28194876789507</v>
      </c>
      <c r="R102" s="62">
        <f t="shared" si="55"/>
        <v>840.61528210122833</v>
      </c>
      <c r="S102" s="62">
        <f ca="1">AVERAGE(OFFSET($R$3,0,0,'Données projet'!$E$9+1,1))-AVERAGE(OFFSET($H$3,0,0,'Données projet'!$E$9+1,1))</f>
        <v>352.5736659365665</v>
      </c>
      <c r="T102" s="62">
        <f t="shared" si="88"/>
        <v>343.77208530767069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3.4376133639642297</v>
      </c>
      <c r="AA102" s="23">
        <f>EXP(-LN(2)/25)*AA101+(1-EXP(-LN(2)/25))/(LN(2)/25)*Calculateur!V102*Calculateur!X102*VLOOKUP('Données projet'!$B$9,Paramètres!$A$1:$I$89,3,0)*0.475*44/12</f>
        <v>3.5015952740800471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6.9392086380442768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3.7243808037601412E-14</v>
      </c>
      <c r="AK102" s="14">
        <f t="shared" si="89"/>
        <v>6.2767589361185393E-13</v>
      </c>
      <c r="AL102" s="22">
        <f t="shared" si="58"/>
        <v>1.1580684803728015E-12</v>
      </c>
      <c r="AM102" s="62">
        <f t="shared" si="59"/>
        <v>293.33333333333445</v>
      </c>
      <c r="AN102" s="62">
        <f ca="1">AVERAGE(OFFSET($AM$3,0,0,'Données projet'!$E$10+1,1))-AVERAGE(OFFSET($H$3,0,0,'Données projet'!$E$10+1,1))</f>
        <v>210.08998695869161</v>
      </c>
      <c r="AO102" s="62">
        <f t="shared" si="90"/>
        <v>207.30911916430881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7.6027904432335253E-12</v>
      </c>
      <c r="AX102" s="23">
        <f t="shared" si="60"/>
        <v>7.6027904432335253E-12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5.8</v>
      </c>
      <c r="BD102" s="13">
        <f>IF('Données projet'!$A$88&gt;35,BD101+BC102-BL101,IF(A102&lt;'Données projet'!$A$88,$BA$205^A102,IF(A102='Données projet'!$A$88,'Données projet'!$B$88,BD101+BC102-BL101)))</f>
        <v>327.2</v>
      </c>
      <c r="BE102" s="14">
        <f>BD102*VLOOKUP('Données projet'!$B$11,Paramètres!$A$1:$I$89,3,0)*VLOOKUP('Données projet'!$B$11,Paramètres!$A$1:$I$89,5,0)</f>
        <v>219.48576</v>
      </c>
      <c r="BF102" s="14">
        <f t="shared" si="91"/>
        <v>54.003102979276136</v>
      </c>
      <c r="BG102" s="22">
        <f t="shared" si="61"/>
        <v>476.32643635557253</v>
      </c>
      <c r="BH102" s="62">
        <f t="shared" si="62"/>
        <v>769.65976968890584</v>
      </c>
      <c r="BI102" s="62">
        <f ca="1">AVERAGE(OFFSET($BH$3,0,0,'Données projet'!$E$11+1,1))-AVERAGE(OFFSET($H$3,0,0,'Données projet'!$E$11+1,1))</f>
        <v>335.83558218229564</v>
      </c>
      <c r="BJ102" s="62">
        <f t="shared" si="92"/>
        <v>217.08423061559648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8.6323477580044655E-10</v>
      </c>
      <c r="BS102" s="24">
        <f t="shared" si="63"/>
        <v>8.6323477580044655E-10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5.6843418860808015E-14</v>
      </c>
      <c r="BZ102" s="14">
        <f>BY102*VLOOKUP('Données projet'!$B$12,Paramètres!$A$1:$I$89,3,0)*VLOOKUP('Données projet'!$B$12,Paramètres!$A$1:$I$89,5,0)</f>
        <v>4.4337866711430253E-14</v>
      </c>
      <c r="CA102" s="14">
        <f t="shared" si="93"/>
        <v>7.3222115536967035E-13</v>
      </c>
      <c r="CB102" s="22">
        <f t="shared" si="64"/>
        <v>1.3525069634579169E-12</v>
      </c>
      <c r="CC102" s="62">
        <f t="shared" si="65"/>
        <v>293.33333333333468</v>
      </c>
      <c r="CD102" s="62">
        <f ca="1">AVERAGE(OFFSET($CC$3,0,0,'Données projet'!$E$12+1,1))-AVERAGE(OFFSET($H$3,0,0,'Données projet'!$E$12+1,1))</f>
        <v>288.82868507674738</v>
      </c>
      <c r="CE102" s="62">
        <f t="shared" si="94"/>
        <v>283.48738729114024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0.7191832468536189</v>
      </c>
      <c r="CM102" s="23">
        <f>EXP(-LN(2)/2)*CM101+(1-EXP(-LN(2)/2))/(LN(2)/2)*CG102*CJ102*VLOOKUP('Données projet'!$B$12,Paramètres!$A$1:$I$89,3,0)*0.475*44/12</f>
        <v>1.061808229775286E-10</v>
      </c>
      <c r="CN102" s="24">
        <f t="shared" si="66"/>
        <v>0.71918324695979974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317.99999999999972</v>
      </c>
      <c r="CU102" s="18">
        <f>CT102*VLOOKUP('Données projet'!$B$13,Paramètres!$A$1:$I$89,3,0)*VLOOKUP('Données projet'!$B$13,Paramètres!$A$1:$I$89,5,0)</f>
        <v>277.80479999999983</v>
      </c>
      <c r="CV102" s="14">
        <f t="shared" si="95"/>
        <v>66.50288772038418</v>
      </c>
      <c r="CW102" s="22">
        <f t="shared" si="67"/>
        <v>599.66922277966887</v>
      </c>
      <c r="CX102" s="62">
        <f t="shared" si="68"/>
        <v>893.00255611300213</v>
      </c>
      <c r="CY102" s="62">
        <f ca="1">AVERAGE(OFFSET($CX$3,0,0,'Données projet'!$E$13+1,1))-AVERAGE(OFFSET($H$3,0,0,'Données projet'!$E$13+1,1))</f>
        <v>383.46266660377637</v>
      </c>
      <c r="CZ102" s="62">
        <f t="shared" si="96"/>
        <v>373.1287543230714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2.3702249976726879</v>
      </c>
      <c r="DH102" s="23">
        <f>EXP(-LN(2)/2)*DH101+(1-EXP(-LN(2)/2))/(LN(2)/2)*DB102*DE102*VLOOKUP('Données projet'!$B$13,Paramètres!$A$1:$I$89,3,0)*0.475*44/12</f>
        <v>8.7407123890232595E-10</v>
      </c>
      <c r="DI102" s="24">
        <f t="shared" si="69"/>
        <v>2.3702249985467589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>
        <f>DO102*VLOOKUP('Données projet'!$B$14,Paramètres!$A$1:$I$89,3,0)*VLOOKUP('Données projet'!$B$14,Paramètres!$A$1:$I$89,5,0)</f>
        <v>0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96.56611521638132</v>
      </c>
      <c r="DU102" s="62">
        <f t="shared" si="98"/>
        <v>465.03257878814094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21.016376900270778</v>
      </c>
      <c r="EB102" s="23">
        <f>EXP(-LN(2)/25)*EB101+(1-EXP(-LN(2)/25))/(LN(2)/25)*Calculateur!DW102*Calculateur!DY102*VLOOKUP('Données projet'!$B$14,Paramètres!$A$1:$I$89,3,0)*0.475*44/12</f>
        <v>2.7116650637243493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23.728041963995128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317.99999999999972</v>
      </c>
      <c r="EK102" s="18">
        <f>EJ102*VLOOKUP('Données projet'!$B$15,Paramètres!$A$1:$I$89,3,0)*VLOOKUP('Données projet'!$B$15,Paramètres!$A$1:$I$89,5,0)</f>
        <v>257.96159999999981</v>
      </c>
      <c r="EL102" s="14">
        <f t="shared" si="99"/>
        <v>62.287674609742425</v>
      </c>
      <c r="EM102" s="22">
        <f t="shared" si="73"/>
        <v>557.76748661196768</v>
      </c>
      <c r="EN102" s="62">
        <f t="shared" si="74"/>
        <v>851.10081994530105</v>
      </c>
      <c r="EO102" s="62">
        <f ca="1">AVERAGE(OFFSET($EN$3,0,0,'Données projet'!$E$15+1,1))-AVERAGE(OFFSET($H$3,0,0,'Données projet'!$E$15+1,1))</f>
        <v>358.75637627589799</v>
      </c>
      <c r="EP102" s="62">
        <f t="shared" si="100"/>
        <v>349.64821164483607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2.4651544701918513</v>
      </c>
      <c r="EW102" s="23">
        <f>EXP(-LN(2)/25)*EW101+(1-EXP(-LN(2)/25))/(LN(2)/25)*Calculateur!ER102*Calculateur!ET102*VLOOKUP('Données projet'!$B$15,Paramètres!$A$1:$I$89,3,0)*0.475*44/12</f>
        <v>2.2642508050374364</v>
      </c>
      <c r="EX102" s="23">
        <f>EXP(-LN(2)/2)*EX101+(1-EXP(-LN(2)/2))/(LN(2)/2)*ER102*EU102*VLOOKUP('Données projet'!$B$15,Paramètres!$A$1:$I$89,3,0)*0.475*44/12</f>
        <v>1.5008147717022401E-10</v>
      </c>
      <c r="EY102" s="24">
        <f t="shared" si="75"/>
        <v>4.7294052753793698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>
        <f>FE102*VLOOKUP('Données projet'!$B$16,Paramètres!$A$1:$I$89,3,0)*VLOOKUP('Données projet'!$B$16,Paramètres!$A$1:$I$89,5,0)</f>
        <v>0</v>
      </c>
      <c r="FG102" s="14" t="e">
        <f t="shared" si="101"/>
        <v>#NUM!</v>
      </c>
      <c r="FH102" s="22" t="e">
        <f t="shared" si="76"/>
        <v>#NUM!</v>
      </c>
      <c r="FI102" s="62" t="e">
        <f t="shared" si="77"/>
        <v>#NUM!</v>
      </c>
      <c r="FJ102" s="62">
        <f ca="1">AVERAGE(OFFSET($FI$3,0,0,'Données projet'!$E$16+1,1))-AVERAGE(OFFSET($H$3,0,0,'Données projet'!$E$16+1,1))</f>
        <v>121.28977654040114</v>
      </c>
      <c r="FK102" s="62">
        <f t="shared" si="102"/>
        <v>615.69585264342595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28.316182882437634</v>
      </c>
      <c r="FR102" s="23">
        <f>EXP(-LN(2)/25)*FR101+(1-EXP(-LN(2)/25))/(LN(2)/25)*Calculateur!FM102*Calculateur!FO102*VLOOKUP('Données projet'!$B$16,Paramètres!$A$1:$I$89,3,0)*0.475*44/12</f>
        <v>3.6535319205921879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31.96971480302982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317.99999999999972</v>
      </c>
      <c r="O103" s="14">
        <f>N103*VLOOKUP('Données projet'!$B$9,Paramètres!$A$1:$I$89,3,0)*VLOOKUP('Données projet'!$B$9,Paramètres!$A$1:$I$89,5,0)</f>
        <v>253.0007999999998</v>
      </c>
      <c r="P103" s="14">
        <f t="shared" si="87"/>
        <v>61.228070105968683</v>
      </c>
      <c r="Q103" s="22">
        <f t="shared" si="107"/>
        <v>547.28194876789507</v>
      </c>
      <c r="R103" s="62">
        <f t="shared" si="55"/>
        <v>840.61528210122833</v>
      </c>
      <c r="S103" s="62">
        <f ca="1">AVERAGE(OFFSET($R$3,0,0,'Données projet'!$E$9+1,1))-AVERAGE(OFFSET($H$3,0,0,'Données projet'!$E$9+1,1))</f>
        <v>352.5736659365665</v>
      </c>
      <c r="T103" s="62">
        <f t="shared" si="88"/>
        <v>343.77208530767069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3.3702038626340074</v>
      </c>
      <c r="AA103" s="23">
        <f>EXP(-LN(2)/25)*AA102+(1-EXP(-LN(2)/25))/(LN(2)/25)*Calculateur!V103*Calculateur!X103*VLOOKUP('Données projet'!$B$9,Paramètres!$A$1:$I$89,3,0)*0.475*44/12</f>
        <v>3.4058439671694356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6.776047829803443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3.7243808037601412E-14</v>
      </c>
      <c r="AK103" s="14">
        <f t="shared" si="89"/>
        <v>6.2767589361185393E-13</v>
      </c>
      <c r="AL103" s="22">
        <f t="shared" si="58"/>
        <v>1.1580684803728015E-12</v>
      </c>
      <c r="AM103" s="62">
        <f t="shared" si="59"/>
        <v>293.33333333333445</v>
      </c>
      <c r="AN103" s="62">
        <f ca="1">AVERAGE(OFFSET($AM$3,0,0,'Données projet'!$E$10+1,1))-AVERAGE(OFFSET($H$3,0,0,'Données projet'!$E$10+1,1))</f>
        <v>210.08998695869161</v>
      </c>
      <c r="AO103" s="62">
        <f t="shared" si="90"/>
        <v>207.30911916430881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5.3759846783507032E-12</v>
      </c>
      <c r="AX103" s="23">
        <f t="shared" si="60"/>
        <v>5.3759846783507032E-12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333</v>
      </c>
      <c r="BB103" s="13">
        <f>VLOOKUP(A103,'Données projet'!$A$87:$I$107,9,0)</f>
        <v>5.8</v>
      </c>
      <c r="BC103" s="13">
        <f t="array" ref="BC103">INDEX(BB:BB,MIN(IF(ISNUMBER(BB103:BB299),ROW(BB103:BB299),"")))</f>
        <v>5.8</v>
      </c>
      <c r="BD103" s="13">
        <f>IF('Données projet'!$A$88&gt;35,BD102+BC103-BL102,IF(A103&lt;'Données projet'!$A$88,$BA$205^A103,IF(A103='Données projet'!$A$88,'Données projet'!$B$88,BD102+BC103-BL102)))</f>
        <v>333</v>
      </c>
      <c r="BE103" s="14">
        <f>BD103*VLOOKUP('Données projet'!$B$11,Paramètres!$A$1:$I$89,3,0)*VLOOKUP('Données projet'!$B$11,Paramètres!$A$1:$I$89,5,0)</f>
        <v>223.37640000000002</v>
      </c>
      <c r="BF103" s="14">
        <f t="shared" si="91"/>
        <v>54.848077814326416</v>
      </c>
      <c r="BG103" s="22">
        <f t="shared" si="61"/>
        <v>484.5742988599518</v>
      </c>
      <c r="BH103" s="62">
        <f t="shared" si="62"/>
        <v>777.90763219328505</v>
      </c>
      <c r="BI103" s="62">
        <f ca="1">AVERAGE(OFFSET($BH$3,0,0,'Données projet'!$E$11+1,1))-AVERAGE(OFFSET($H$3,0,0,'Données projet'!$E$11+1,1))</f>
        <v>335.83558218229564</v>
      </c>
      <c r="BJ103" s="62">
        <f t="shared" si="92"/>
        <v>217.08423061559648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27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6.1039916372454476E-10</v>
      </c>
      <c r="BS103" s="24">
        <f t="shared" si="63"/>
        <v>6.1039916372454476E-10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5.6843418860808015E-14</v>
      </c>
      <c r="BZ103" s="14">
        <f>BY103*VLOOKUP('Données projet'!$B$12,Paramètres!$A$1:$I$89,3,0)*VLOOKUP('Données projet'!$B$12,Paramètres!$A$1:$I$89,5,0)</f>
        <v>4.4337866711430253E-14</v>
      </c>
      <c r="CA103" s="14">
        <f t="shared" si="93"/>
        <v>7.3222115536967035E-13</v>
      </c>
      <c r="CB103" s="22">
        <f t="shared" si="64"/>
        <v>1.3525069634579169E-12</v>
      </c>
      <c r="CC103" s="62">
        <f t="shared" si="65"/>
        <v>293.33333333333468</v>
      </c>
      <c r="CD103" s="62">
        <f ca="1">AVERAGE(OFFSET($CC$3,0,0,'Données projet'!$E$12+1,1))-AVERAGE(OFFSET($H$3,0,0,'Données projet'!$E$12+1,1))</f>
        <v>288.82868507674738</v>
      </c>
      <c r="CE103" s="62">
        <f t="shared" si="94"/>
        <v>283.48738729114024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0.69951714314820346</v>
      </c>
      <c r="CM103" s="23">
        <f>EXP(-LN(2)/2)*CM102+(1-EXP(-LN(2)/2))/(LN(2)/2)*CG103*CJ103*VLOOKUP('Données projet'!$B$12,Paramètres!$A$1:$I$89,3,0)*0.475*44/12</f>
        <v>7.508117995937885E-11</v>
      </c>
      <c r="CN103" s="24">
        <f t="shared" si="66"/>
        <v>0.69951714322328462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317.99999999999972</v>
      </c>
      <c r="CU103" s="18">
        <f>CT103*VLOOKUP('Données projet'!$B$13,Paramètres!$A$1:$I$89,3,0)*VLOOKUP('Données projet'!$B$13,Paramètres!$A$1:$I$89,5,0)</f>
        <v>277.80479999999983</v>
      </c>
      <c r="CV103" s="14">
        <f t="shared" si="95"/>
        <v>66.50288772038418</v>
      </c>
      <c r="CW103" s="22">
        <f t="shared" si="67"/>
        <v>599.66922277966887</v>
      </c>
      <c r="CX103" s="62">
        <f t="shared" si="68"/>
        <v>893.00255611300213</v>
      </c>
      <c r="CY103" s="62">
        <f ca="1">AVERAGE(OFFSET($CX$3,0,0,'Données projet'!$E$13+1,1))-AVERAGE(OFFSET($H$3,0,0,'Données projet'!$E$13+1,1))</f>
        <v>383.46266660377637</v>
      </c>
      <c r="CZ103" s="62">
        <f t="shared" si="96"/>
        <v>373.1287543230714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2.3054110704666129</v>
      </c>
      <c r="DH103" s="23">
        <f>EXP(-LN(2)/2)*DH102+(1-EXP(-LN(2)/2))/(LN(2)/2)*DB103*DE103*VLOOKUP('Données projet'!$B$13,Paramètres!$A$1:$I$89,3,0)*0.475*44/12</f>
        <v>6.180617002679615E-10</v>
      </c>
      <c r="DI103" s="24">
        <f t="shared" si="69"/>
        <v>2.3054110710846745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>
        <f>DO103*VLOOKUP('Données projet'!$B$14,Paramètres!$A$1:$I$89,3,0)*VLOOKUP('Données projet'!$B$14,Paramètres!$A$1:$I$89,5,0)</f>
        <v>0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96.56611521638132</v>
      </c>
      <c r="DU103" s="62">
        <f t="shared" si="98"/>
        <v>465.03257878814094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20.604258567980633</v>
      </c>
      <c r="EB103" s="23">
        <f>EXP(-LN(2)/25)*EB102+(1-EXP(-LN(2)/25))/(LN(2)/25)*Calculateur!DW103*Calculateur!DY103*VLOOKUP('Données projet'!$B$14,Paramètres!$A$1:$I$89,3,0)*0.475*44/12</f>
        <v>2.6375144399565391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23.241773007937173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317.99999999999972</v>
      </c>
      <c r="EK103" s="18">
        <f>EJ103*VLOOKUP('Données projet'!$B$15,Paramètres!$A$1:$I$89,3,0)*VLOOKUP('Données projet'!$B$15,Paramètres!$A$1:$I$89,5,0)</f>
        <v>257.96159999999981</v>
      </c>
      <c r="EL103" s="14">
        <f t="shared" si="99"/>
        <v>62.287674609742425</v>
      </c>
      <c r="EM103" s="22">
        <f t="shared" si="73"/>
        <v>557.76748661196768</v>
      </c>
      <c r="EN103" s="62">
        <f t="shared" si="74"/>
        <v>851.10081994530105</v>
      </c>
      <c r="EO103" s="62">
        <f ca="1">AVERAGE(OFFSET($EN$3,0,0,'Données projet'!$E$15+1,1))-AVERAGE(OFFSET($H$3,0,0,'Données projet'!$E$15+1,1))</f>
        <v>358.75637627589799</v>
      </c>
      <c r="EP103" s="62">
        <f t="shared" si="100"/>
        <v>349.64821164483607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2.416814294627148</v>
      </c>
      <c r="EW103" s="23">
        <f>EXP(-LN(2)/25)*EW102+(1-EXP(-LN(2)/25))/(LN(2)/25)*Calculateur!ER103*Calculateur!ET103*VLOOKUP('Données projet'!$B$15,Paramètres!$A$1:$I$89,3,0)*0.475*44/12</f>
        <v>2.2023347477019128</v>
      </c>
      <c r="EX103" s="23">
        <f>EXP(-LN(2)/2)*EX102+(1-EXP(-LN(2)/2))/(LN(2)/2)*ER103*EU103*VLOOKUP('Données projet'!$B$15,Paramètres!$A$1:$I$89,3,0)*0.475*44/12</f>
        <v>1.0612363023755941E-10</v>
      </c>
      <c r="EY103" s="24">
        <f t="shared" si="75"/>
        <v>4.6191490424351853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>
        <f>FE103*VLOOKUP('Données projet'!$B$16,Paramètres!$A$1:$I$89,3,0)*VLOOKUP('Données projet'!$B$16,Paramètres!$A$1:$I$89,5,0)</f>
        <v>0</v>
      </c>
      <c r="FG103" s="14" t="e">
        <f t="shared" si="101"/>
        <v>#NUM!</v>
      </c>
      <c r="FH103" s="22" t="e">
        <f t="shared" si="76"/>
        <v>#NUM!</v>
      </c>
      <c r="FI103" s="62" t="e">
        <f t="shared" si="77"/>
        <v>#NUM!</v>
      </c>
      <c r="FJ103" s="62">
        <f ca="1">AVERAGE(OFFSET($FI$3,0,0,'Données projet'!$E$16+1,1))-AVERAGE(OFFSET($H$3,0,0,'Données projet'!$E$16+1,1))</f>
        <v>121.28977654040114</v>
      </c>
      <c r="FK103" s="62">
        <f t="shared" si="102"/>
        <v>615.69585264342595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27.760919807279205</v>
      </c>
      <c r="FR103" s="23">
        <f>EXP(-LN(2)/25)*FR102+(1-EXP(-LN(2)/25))/(LN(2)/25)*Calculateur!FM103*Calculateur!FO103*VLOOKUP('Données projet'!$B$16,Paramètres!$A$1:$I$89,3,0)*0.475*44/12</f>
        <v>3.5536258980927009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31.314545705371906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317.99999999999972</v>
      </c>
      <c r="O104" s="14">
        <f>N104*VLOOKUP('Données projet'!$B$9,Paramètres!$A$1:$I$89,3,0)*VLOOKUP('Données projet'!$B$9,Paramètres!$A$1:$I$89,5,0)</f>
        <v>253.0007999999998</v>
      </c>
      <c r="P104" s="14">
        <f t="shared" si="87"/>
        <v>61.228070105968683</v>
      </c>
      <c r="Q104" s="22">
        <f t="shared" si="107"/>
        <v>547.28194876789507</v>
      </c>
      <c r="R104" s="62">
        <f t="shared" si="55"/>
        <v>840.61528210122833</v>
      </c>
      <c r="S104" s="62">
        <f ca="1">AVERAGE(OFFSET($R$3,0,0,'Données projet'!$E$9+1,1))-AVERAGE(OFFSET($H$3,0,0,'Données projet'!$E$9+1,1))</f>
        <v>352.5736659365665</v>
      </c>
      <c r="T104" s="62">
        <f t="shared" si="88"/>
        <v>343.77208530767069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3.304116220509135</v>
      </c>
      <c r="AA104" s="23">
        <f>EXP(-LN(2)/25)*AA103+(1-EXP(-LN(2)/25))/(LN(2)/25)*Calculateur!V104*Calculateur!X104*VLOOKUP('Données projet'!$B$9,Paramètres!$A$1:$I$89,3,0)*0.475*44/12</f>
        <v>3.3127109847816372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6.6168272052907717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3.7243808037601412E-14</v>
      </c>
      <c r="AK104" s="14">
        <f t="shared" si="89"/>
        <v>6.2767589361185393E-13</v>
      </c>
      <c r="AL104" s="22">
        <f t="shared" si="58"/>
        <v>1.1580684803728015E-12</v>
      </c>
      <c r="AM104" s="62">
        <f t="shared" si="59"/>
        <v>293.33333333333445</v>
      </c>
      <c r="AN104" s="62">
        <f ca="1">AVERAGE(OFFSET($AM$3,0,0,'Données projet'!$E$10+1,1))-AVERAGE(OFFSET($H$3,0,0,'Données projet'!$E$10+1,1))</f>
        <v>210.08998695869161</v>
      </c>
      <c r="AO104" s="62">
        <f t="shared" si="90"/>
        <v>207.30911916430881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3.8013952216167626E-12</v>
      </c>
      <c r="AX104" s="23">
        <f t="shared" si="60"/>
        <v>3.8013952216167626E-12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5.4</v>
      </c>
      <c r="BD104" s="13">
        <f>IF('Données projet'!$A$88&gt;35,BD103+BC104-BL103,IF(A104&lt;'Données projet'!$A$88,$BA$205^A104,IF(A104='Données projet'!$A$88,'Données projet'!$B$88,BD103+BC104-BL103)))</f>
        <v>311.39999999999998</v>
      </c>
      <c r="BE104" s="14">
        <f>BD104*VLOOKUP('Données projet'!$B$11,Paramètres!$A$1:$I$89,3,0)*VLOOKUP('Données projet'!$B$11,Paramètres!$A$1:$I$89,5,0)</f>
        <v>208.88711999999998</v>
      </c>
      <c r="BF104" s="14">
        <f t="shared" si="91"/>
        <v>51.692318263308358</v>
      </c>
      <c r="BG104" s="22">
        <f t="shared" si="61"/>
        <v>453.84252164192867</v>
      </c>
      <c r="BH104" s="62">
        <f t="shared" si="62"/>
        <v>747.17585497526193</v>
      </c>
      <c r="BI104" s="62">
        <f ca="1">AVERAGE(OFFSET($BH$3,0,0,'Données projet'!$E$11+1,1))-AVERAGE(OFFSET($H$3,0,0,'Données projet'!$E$11+1,1))</f>
        <v>335.83558218229564</v>
      </c>
      <c r="BJ104" s="62">
        <f t="shared" si="92"/>
        <v>217.08423061559648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4.3161738790022327E-10</v>
      </c>
      <c r="BS104" s="24">
        <f t="shared" si="63"/>
        <v>4.3161738790022327E-10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5.6843418860808015E-14</v>
      </c>
      <c r="BZ104" s="14">
        <f>BY104*VLOOKUP('Données projet'!$B$12,Paramètres!$A$1:$I$89,3,0)*VLOOKUP('Données projet'!$B$12,Paramètres!$A$1:$I$89,5,0)</f>
        <v>4.4337866711430253E-14</v>
      </c>
      <c r="CA104" s="14">
        <f t="shared" si="93"/>
        <v>7.3222115536967035E-13</v>
      </c>
      <c r="CB104" s="22">
        <f t="shared" si="64"/>
        <v>1.3525069634579169E-12</v>
      </c>
      <c r="CC104" s="62">
        <f t="shared" si="65"/>
        <v>293.33333333333468</v>
      </c>
      <c r="CD104" s="62">
        <f ca="1">AVERAGE(OFFSET($CC$3,0,0,'Données projet'!$E$12+1,1))-AVERAGE(OFFSET($H$3,0,0,'Données projet'!$E$12+1,1))</f>
        <v>288.82868507674738</v>
      </c>
      <c r="CE104" s="62">
        <f t="shared" si="94"/>
        <v>283.48738729114024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0.68038881008280805</v>
      </c>
      <c r="CM104" s="23">
        <f>EXP(-LN(2)/2)*CM103+(1-EXP(-LN(2)/2))/(LN(2)/2)*CG104*CJ104*VLOOKUP('Données projet'!$B$12,Paramètres!$A$1:$I$89,3,0)*0.475*44/12</f>
        <v>5.3090411488764299E-11</v>
      </c>
      <c r="CN104" s="24">
        <f t="shared" si="66"/>
        <v>0.68038881013589847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317.99999999999972</v>
      </c>
      <c r="CU104" s="18">
        <f>CT104*VLOOKUP('Données projet'!$B$13,Paramètres!$A$1:$I$89,3,0)*VLOOKUP('Données projet'!$B$13,Paramètres!$A$1:$I$89,5,0)</f>
        <v>277.80479999999983</v>
      </c>
      <c r="CV104" s="14">
        <f t="shared" si="95"/>
        <v>66.50288772038418</v>
      </c>
      <c r="CW104" s="22">
        <f t="shared" si="67"/>
        <v>599.66922277966887</v>
      </c>
      <c r="CX104" s="62">
        <f t="shared" si="68"/>
        <v>893.00255611300213</v>
      </c>
      <c r="CY104" s="62">
        <f ca="1">AVERAGE(OFFSET($CX$3,0,0,'Données projet'!$E$13+1,1))-AVERAGE(OFFSET($H$3,0,0,'Données projet'!$E$13+1,1))</f>
        <v>383.46266660377637</v>
      </c>
      <c r="CZ104" s="62">
        <f t="shared" si="96"/>
        <v>373.1287543230714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2.242369483508404</v>
      </c>
      <c r="DH104" s="23">
        <f>EXP(-LN(2)/2)*DH103+(1-EXP(-LN(2)/2))/(LN(2)/2)*DB104*DE104*VLOOKUP('Données projet'!$B$13,Paramètres!$A$1:$I$89,3,0)*0.475*44/12</f>
        <v>4.3703561945116298E-10</v>
      </c>
      <c r="DI104" s="24">
        <f t="shared" si="69"/>
        <v>2.2423694839454398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>
        <f>DO104*VLOOKUP('Données projet'!$B$14,Paramètres!$A$1:$I$89,3,0)*VLOOKUP('Données projet'!$B$14,Paramètres!$A$1:$I$89,5,0)</f>
        <v>0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96.56611521638132</v>
      </c>
      <c r="DU104" s="62">
        <f t="shared" si="98"/>
        <v>465.03257878814094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20.200221624819335</v>
      </c>
      <c r="EB104" s="23">
        <f>EXP(-LN(2)/25)*EB103+(1-EXP(-LN(2)/25))/(LN(2)/25)*Calculateur!DW104*Calculateur!DY104*VLOOKUP('Données projet'!$B$14,Paramètres!$A$1:$I$89,3,0)*0.475*44/12</f>
        <v>2.5653914688950712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22.765613093714407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317.99999999999972</v>
      </c>
      <c r="EK104" s="18">
        <f>EJ104*VLOOKUP('Données projet'!$B$15,Paramètres!$A$1:$I$89,3,0)*VLOOKUP('Données projet'!$B$15,Paramètres!$A$1:$I$89,5,0)</f>
        <v>257.96159999999981</v>
      </c>
      <c r="EL104" s="14">
        <f t="shared" si="99"/>
        <v>62.287674609742425</v>
      </c>
      <c r="EM104" s="22">
        <f t="shared" si="73"/>
        <v>557.76748661196768</v>
      </c>
      <c r="EN104" s="62">
        <f t="shared" si="74"/>
        <v>851.10081994530105</v>
      </c>
      <c r="EO104" s="62">
        <f ca="1">AVERAGE(OFFSET($EN$3,0,0,'Données projet'!$E$15+1,1))-AVERAGE(OFFSET($H$3,0,0,'Données projet'!$E$15+1,1))</f>
        <v>358.75637627589799</v>
      </c>
      <c r="EP104" s="62">
        <f t="shared" si="100"/>
        <v>349.64821164483607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2.3694220404206732</v>
      </c>
      <c r="EW104" s="23">
        <f>EXP(-LN(2)/25)*EW103+(1-EXP(-LN(2)/25))/(LN(2)/25)*Calculateur!ER104*Calculateur!ET104*VLOOKUP('Données projet'!$B$15,Paramètres!$A$1:$I$89,3,0)*0.475*44/12</f>
        <v>2.1421117882102529</v>
      </c>
      <c r="EX104" s="23">
        <f>EXP(-LN(2)/2)*EX103+(1-EXP(-LN(2)/2))/(LN(2)/2)*ER104*EU104*VLOOKUP('Données projet'!$B$15,Paramètres!$A$1:$I$89,3,0)*0.475*44/12</f>
        <v>7.5040738585112003E-11</v>
      </c>
      <c r="EY104" s="24">
        <f t="shared" si="75"/>
        <v>4.5115338287059661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>
        <f>FE104*VLOOKUP('Données projet'!$B$16,Paramètres!$A$1:$I$89,3,0)*VLOOKUP('Données projet'!$B$16,Paramètres!$A$1:$I$89,5,0)</f>
        <v>0</v>
      </c>
      <c r="FG104" s="14" t="e">
        <f t="shared" si="101"/>
        <v>#NUM!</v>
      </c>
      <c r="FH104" s="22" t="e">
        <f t="shared" si="76"/>
        <v>#NUM!</v>
      </c>
      <c r="FI104" s="62" t="e">
        <f t="shared" si="77"/>
        <v>#NUM!</v>
      </c>
      <c r="FJ104" s="62">
        <f ca="1">AVERAGE(OFFSET($FI$3,0,0,'Données projet'!$E$16+1,1))-AVERAGE(OFFSET($H$3,0,0,'Données projet'!$E$16+1,1))</f>
        <v>121.28977654040114</v>
      </c>
      <c r="FK104" s="62">
        <f t="shared" si="102"/>
        <v>615.69585264342595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27.216545102347599</v>
      </c>
      <c r="FR104" s="23">
        <f>EXP(-LN(2)/25)*FR103+(1-EXP(-LN(2)/25))/(LN(2)/25)*Calculateur!FM104*Calculateur!FO104*VLOOKUP('Données projet'!$B$16,Paramètres!$A$1:$I$89,3,0)*0.475*44/12</f>
        <v>3.4564518110322919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30.67299691337989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317.99999999999972</v>
      </c>
      <c r="O105" s="14">
        <f>N105*VLOOKUP('Données projet'!$B$9,Paramètres!$A$1:$I$89,3,0)*VLOOKUP('Données projet'!$B$9,Paramètres!$A$1:$I$89,5,0)</f>
        <v>253.0007999999998</v>
      </c>
      <c r="P105" s="14">
        <f t="shared" si="87"/>
        <v>61.228070105968683</v>
      </c>
      <c r="Q105" s="22">
        <f t="shared" si="107"/>
        <v>547.28194876789507</v>
      </c>
      <c r="R105" s="62">
        <f t="shared" si="55"/>
        <v>840.61528210122833</v>
      </c>
      <c r="S105" s="62">
        <f ca="1">AVERAGE(OFFSET($R$3,0,0,'Données projet'!$E$9+1,1))-AVERAGE(OFFSET($H$3,0,0,'Données projet'!$E$9+1,1))</f>
        <v>352.5736659365665</v>
      </c>
      <c r="T105" s="62">
        <f t="shared" si="88"/>
        <v>343.77208530767069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3.2393245167368501</v>
      </c>
      <c r="AA105" s="23">
        <f>EXP(-LN(2)/25)*AA104+(1-EXP(-LN(2)/25))/(LN(2)/25)*Calculateur!V105*Calculateur!X105*VLOOKUP('Données projet'!$B$9,Paramètres!$A$1:$I$89,3,0)*0.475*44/12</f>
        <v>3.222124728694884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6.4614492454317336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3.7243808037601412E-14</v>
      </c>
      <c r="AK105" s="14">
        <f t="shared" si="89"/>
        <v>6.2767589361185393E-13</v>
      </c>
      <c r="AL105" s="22">
        <f t="shared" si="58"/>
        <v>1.1580684803728015E-12</v>
      </c>
      <c r="AM105" s="62">
        <f t="shared" si="59"/>
        <v>293.33333333333445</v>
      </c>
      <c r="AN105" s="62">
        <f ca="1">AVERAGE(OFFSET($AM$3,0,0,'Données projet'!$E$10+1,1))-AVERAGE(OFFSET($H$3,0,0,'Données projet'!$E$10+1,1))</f>
        <v>210.08998695869161</v>
      </c>
      <c r="AO105" s="62">
        <f t="shared" si="90"/>
        <v>207.30911916430881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2.6879923391753516E-12</v>
      </c>
      <c r="AX105" s="23">
        <f t="shared" si="60"/>
        <v>2.6879923391753516E-12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5.4</v>
      </c>
      <c r="BD105" s="13">
        <f>IF('Données projet'!$A$88&gt;35,BD104+BC105-BL104,IF(A105&lt;'Données projet'!$A$88,$BA$205^A105,IF(A105='Données projet'!$A$88,'Données projet'!$B$88,BD104+BC105-BL104)))</f>
        <v>316.79999999999995</v>
      </c>
      <c r="BE105" s="14">
        <f>BD105*VLOOKUP('Données projet'!$B$11,Paramètres!$A$1:$I$89,3,0)*VLOOKUP('Données projet'!$B$11,Paramètres!$A$1:$I$89,5,0)</f>
        <v>212.50943999999998</v>
      </c>
      <c r="BF105" s="14">
        <f t="shared" si="91"/>
        <v>52.483581779454731</v>
      </c>
      <c r="BG105" s="22">
        <f t="shared" si="61"/>
        <v>461.52951293255023</v>
      </c>
      <c r="BH105" s="62">
        <f t="shared" si="62"/>
        <v>754.86284626588349</v>
      </c>
      <c r="BI105" s="62">
        <f ca="1">AVERAGE(OFFSET($BH$3,0,0,'Données projet'!$E$11+1,1))-AVERAGE(OFFSET($H$3,0,0,'Données projet'!$E$11+1,1))</f>
        <v>335.83558218229564</v>
      </c>
      <c r="BJ105" s="62">
        <f t="shared" si="92"/>
        <v>217.08423061559648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3.0519958186227238E-10</v>
      </c>
      <c r="BS105" s="24">
        <f t="shared" si="63"/>
        <v>3.0519958186227238E-10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5.6843418860808015E-14</v>
      </c>
      <c r="BZ105" s="14">
        <f>BY105*VLOOKUP('Données projet'!$B$12,Paramètres!$A$1:$I$89,3,0)*VLOOKUP('Données projet'!$B$12,Paramètres!$A$1:$I$89,5,0)</f>
        <v>4.4337866711430253E-14</v>
      </c>
      <c r="CA105" s="14">
        <f t="shared" si="93"/>
        <v>7.3222115536967035E-13</v>
      </c>
      <c r="CB105" s="22">
        <f t="shared" si="64"/>
        <v>1.3525069634579169E-12</v>
      </c>
      <c r="CC105" s="62">
        <f t="shared" si="65"/>
        <v>293.33333333333468</v>
      </c>
      <c r="CD105" s="62">
        <f ca="1">AVERAGE(OFFSET($CC$3,0,0,'Données projet'!$E$12+1,1))-AVERAGE(OFFSET($H$3,0,0,'Données projet'!$E$12+1,1))</f>
        <v>288.82868507674738</v>
      </c>
      <c r="CE105" s="62">
        <f t="shared" si="94"/>
        <v>283.48738729114024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0.66178354229100123</v>
      </c>
      <c r="CM105" s="23">
        <f>EXP(-LN(2)/2)*CM104+(1-EXP(-LN(2)/2))/(LN(2)/2)*CG105*CJ105*VLOOKUP('Données projet'!$B$12,Paramètres!$A$1:$I$89,3,0)*0.475*44/12</f>
        <v>3.7540589979689425E-11</v>
      </c>
      <c r="CN105" s="24">
        <f t="shared" si="66"/>
        <v>0.66178354232854186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317.99999999999972</v>
      </c>
      <c r="CU105" s="18">
        <f>CT105*VLOOKUP('Données projet'!$B$13,Paramètres!$A$1:$I$89,3,0)*VLOOKUP('Données projet'!$B$13,Paramètres!$A$1:$I$89,5,0)</f>
        <v>277.80479999999983</v>
      </c>
      <c r="CV105" s="14">
        <f t="shared" si="95"/>
        <v>66.50288772038418</v>
      </c>
      <c r="CW105" s="22">
        <f t="shared" si="67"/>
        <v>599.66922277966887</v>
      </c>
      <c r="CX105" s="62">
        <f t="shared" si="68"/>
        <v>893.00255611300213</v>
      </c>
      <c r="CY105" s="62">
        <f ca="1">AVERAGE(OFFSET($CX$3,0,0,'Données projet'!$E$13+1,1))-AVERAGE(OFFSET($H$3,0,0,'Données projet'!$E$13+1,1))</f>
        <v>383.46266660377637</v>
      </c>
      <c r="CZ105" s="62">
        <f t="shared" si="96"/>
        <v>373.1287543230714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2.1810517720607807</v>
      </c>
      <c r="DH105" s="23">
        <f>EXP(-LN(2)/2)*DH104+(1-EXP(-LN(2)/2))/(LN(2)/2)*DB105*DE105*VLOOKUP('Données projet'!$B$13,Paramètres!$A$1:$I$89,3,0)*0.475*44/12</f>
        <v>3.0903085013398075E-10</v>
      </c>
      <c r="DI105" s="24">
        <f t="shared" si="69"/>
        <v>2.1810517723698117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>
        <f>DO105*VLOOKUP('Données projet'!$B$14,Paramètres!$A$1:$I$89,3,0)*VLOOKUP('Données projet'!$B$14,Paramètres!$A$1:$I$89,5,0)</f>
        <v>0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96.56611521638132</v>
      </c>
      <c r="DU105" s="62">
        <f t="shared" si="98"/>
        <v>465.03257878814094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19.80410759967523</v>
      </c>
      <c r="EB105" s="23">
        <f>EXP(-LN(2)/25)*EB104+(1-EXP(-LN(2)/25))/(LN(2)/25)*Calculateur!DW105*Calculateur!DY105*VLOOKUP('Données projet'!$B$14,Paramètres!$A$1:$I$89,3,0)*0.475*44/12</f>
        <v>2.4952407042700613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22.29934830394529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317.99999999999972</v>
      </c>
      <c r="EK105" s="18">
        <f>EJ105*VLOOKUP('Données projet'!$B$15,Paramètres!$A$1:$I$89,3,0)*VLOOKUP('Données projet'!$B$15,Paramètres!$A$1:$I$89,5,0)</f>
        <v>257.96159999999981</v>
      </c>
      <c r="EL105" s="14">
        <f t="shared" si="99"/>
        <v>62.287674609742425</v>
      </c>
      <c r="EM105" s="22">
        <f t="shared" si="73"/>
        <v>557.76748661196768</v>
      </c>
      <c r="EN105" s="62">
        <f t="shared" si="74"/>
        <v>851.10081994530105</v>
      </c>
      <c r="EO105" s="62">
        <f ca="1">AVERAGE(OFFSET($EN$3,0,0,'Données projet'!$E$15+1,1))-AVERAGE(OFFSET($H$3,0,0,'Données projet'!$E$15+1,1))</f>
        <v>358.75637627589799</v>
      </c>
      <c r="EP105" s="62">
        <f t="shared" si="100"/>
        <v>349.64821164483607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2.3229591194127663</v>
      </c>
      <c r="EW105" s="23">
        <f>EXP(-LN(2)/25)*EW104+(1-EXP(-LN(2)/25))/(LN(2)/25)*Calculateur!ER105*Calculateur!ET105*VLOOKUP('Données projet'!$B$15,Paramètres!$A$1:$I$89,3,0)*0.475*44/12</f>
        <v>2.0835356287128803</v>
      </c>
      <c r="EX105" s="23">
        <f>EXP(-LN(2)/2)*EX104+(1-EXP(-LN(2)/2))/(LN(2)/2)*ER105*EU105*VLOOKUP('Données projet'!$B$15,Paramètres!$A$1:$I$89,3,0)*0.475*44/12</f>
        <v>5.3061815118779707E-11</v>
      </c>
      <c r="EY105" s="24">
        <f t="shared" si="75"/>
        <v>4.4064947481787087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>
        <f>FE105*VLOOKUP('Données projet'!$B$16,Paramètres!$A$1:$I$89,3,0)*VLOOKUP('Données projet'!$B$16,Paramètres!$A$1:$I$89,5,0)</f>
        <v>0</v>
      </c>
      <c r="FG105" s="14" t="e">
        <f t="shared" si="101"/>
        <v>#NUM!</v>
      </c>
      <c r="FH105" s="22" t="e">
        <f t="shared" si="76"/>
        <v>#NUM!</v>
      </c>
      <c r="FI105" s="62" t="e">
        <f t="shared" si="77"/>
        <v>#NUM!</v>
      </c>
      <c r="FJ105" s="62">
        <f ca="1">AVERAGE(OFFSET($FI$3,0,0,'Données projet'!$E$16+1,1))-AVERAGE(OFFSET($H$3,0,0,'Données projet'!$E$16+1,1))</f>
        <v>121.28977654040114</v>
      </c>
      <c r="FK105" s="62">
        <f t="shared" si="102"/>
        <v>615.69585264342595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26.682845253343917</v>
      </c>
      <c r="FR105" s="23">
        <f>EXP(-LN(2)/25)*FR104+(1-EXP(-LN(2)/25))/(LN(2)/25)*Calculateur!FM105*Calculateur!FO105*VLOOKUP('Données projet'!$B$16,Paramètres!$A$1:$I$89,3,0)*0.475*44/12</f>
        <v>3.3619349544927131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30.044780207836631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317.99999999999972</v>
      </c>
      <c r="O106" s="14">
        <f>N106*VLOOKUP('Données projet'!$B$9,Paramètres!$A$1:$I$89,3,0)*VLOOKUP('Données projet'!$B$9,Paramètres!$A$1:$I$89,5,0)</f>
        <v>253.0007999999998</v>
      </c>
      <c r="P106" s="14">
        <f t="shared" si="87"/>
        <v>61.228070105968683</v>
      </c>
      <c r="Q106" s="22">
        <f t="shared" si="107"/>
        <v>547.28194876789507</v>
      </c>
      <c r="R106" s="62">
        <f t="shared" si="55"/>
        <v>840.61528210122833</v>
      </c>
      <c r="S106" s="62">
        <f ca="1">AVERAGE(OFFSET($R$3,0,0,'Données projet'!$E$9+1,1))-AVERAGE(OFFSET($H$3,0,0,'Données projet'!$E$9+1,1))</f>
        <v>352.5736659365665</v>
      </c>
      <c r="T106" s="62">
        <f t="shared" si="88"/>
        <v>343.77208530767069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3.1758033387565021</v>
      </c>
      <c r="AA106" s="23">
        <f>EXP(-LN(2)/25)*AA105+(1-EXP(-LN(2)/25))/(LN(2)/25)*Calculateur!V106*Calculateur!X106*VLOOKUP('Données projet'!$B$9,Paramètres!$A$1:$I$89,3,0)*0.475*44/12</f>
        <v>3.1340155585445473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6.3098188973010494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3.7243808037601412E-14</v>
      </c>
      <c r="AK106" s="14">
        <f t="shared" si="89"/>
        <v>6.2767589361185393E-13</v>
      </c>
      <c r="AL106" s="22">
        <f t="shared" si="58"/>
        <v>1.1580684803728015E-12</v>
      </c>
      <c r="AM106" s="62">
        <f t="shared" si="59"/>
        <v>293.33333333333445</v>
      </c>
      <c r="AN106" s="62">
        <f ca="1">AVERAGE(OFFSET($AM$3,0,0,'Données projet'!$E$10+1,1))-AVERAGE(OFFSET($H$3,0,0,'Données projet'!$E$10+1,1))</f>
        <v>210.08998695869161</v>
      </c>
      <c r="AO106" s="62">
        <f t="shared" si="90"/>
        <v>207.30911916430881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1.9006976108083813E-12</v>
      </c>
      <c r="AX106" s="23">
        <f t="shared" si="60"/>
        <v>1.9006976108083813E-12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5.4</v>
      </c>
      <c r="BD106" s="13">
        <f>IF('Données projet'!$A$88&gt;35,BD105+BC106-BL105,IF(A106&lt;'Données projet'!$A$88,$BA$205^A106,IF(A106='Données projet'!$A$88,'Données projet'!$B$88,BD105+BC106-BL105)))</f>
        <v>322.19999999999993</v>
      </c>
      <c r="BE106" s="14">
        <f>BD106*VLOOKUP('Données projet'!$B$11,Paramètres!$A$1:$I$89,3,0)*VLOOKUP('Données projet'!$B$11,Paramètres!$A$1:$I$89,5,0)</f>
        <v>216.13175999999996</v>
      </c>
      <c r="BF106" s="14">
        <f t="shared" si="91"/>
        <v>53.273276832974595</v>
      </c>
      <c r="BG106" s="22">
        <f t="shared" si="61"/>
        <v>469.21377248409726</v>
      </c>
      <c r="BH106" s="62">
        <f t="shared" si="62"/>
        <v>762.54710581743052</v>
      </c>
      <c r="BI106" s="62">
        <f ca="1">AVERAGE(OFFSET($BH$3,0,0,'Données projet'!$E$11+1,1))-AVERAGE(OFFSET($H$3,0,0,'Données projet'!$E$11+1,1))</f>
        <v>335.83558218229564</v>
      </c>
      <c r="BJ106" s="62">
        <f t="shared" si="92"/>
        <v>217.08423061559648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2.1580869395011164E-10</v>
      </c>
      <c r="BS106" s="24">
        <f t="shared" si="63"/>
        <v>2.1580869395011164E-10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5.6843418860808015E-14</v>
      </c>
      <c r="BZ106" s="14">
        <f>BY106*VLOOKUP('Données projet'!$B$12,Paramètres!$A$1:$I$89,3,0)*VLOOKUP('Données projet'!$B$12,Paramètres!$A$1:$I$89,5,0)</f>
        <v>4.4337866711430253E-14</v>
      </c>
      <c r="CA106" s="14">
        <f t="shared" si="93"/>
        <v>7.3222115536967035E-13</v>
      </c>
      <c r="CB106" s="22">
        <f t="shared" si="64"/>
        <v>1.3525069634579169E-12</v>
      </c>
      <c r="CC106" s="62">
        <f t="shared" si="65"/>
        <v>293.33333333333468</v>
      </c>
      <c r="CD106" s="62">
        <f ca="1">AVERAGE(OFFSET($CC$3,0,0,'Données projet'!$E$12+1,1))-AVERAGE(OFFSET($H$3,0,0,'Données projet'!$E$12+1,1))</f>
        <v>288.82868507674738</v>
      </c>
      <c r="CE106" s="62">
        <f t="shared" si="94"/>
        <v>283.48738729114024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0.64368703652536985</v>
      </c>
      <c r="CM106" s="23">
        <f>EXP(-LN(2)/2)*CM105+(1-EXP(-LN(2)/2))/(LN(2)/2)*CG106*CJ106*VLOOKUP('Données projet'!$B$12,Paramètres!$A$1:$I$89,3,0)*0.475*44/12</f>
        <v>2.6545205744382149E-11</v>
      </c>
      <c r="CN106" s="24">
        <f t="shared" si="66"/>
        <v>0.64368703655191506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317.99999999999972</v>
      </c>
      <c r="CU106" s="18">
        <f>CT106*VLOOKUP('Données projet'!$B$13,Paramètres!$A$1:$I$89,3,0)*VLOOKUP('Données projet'!$B$13,Paramètres!$A$1:$I$89,5,0)</f>
        <v>277.80479999999983</v>
      </c>
      <c r="CV106" s="14">
        <f t="shared" si="95"/>
        <v>66.50288772038418</v>
      </c>
      <c r="CW106" s="22">
        <f t="shared" si="67"/>
        <v>599.66922277966887</v>
      </c>
      <c r="CX106" s="62">
        <f t="shared" si="68"/>
        <v>893.00255611300213</v>
      </c>
      <c r="CY106" s="62">
        <f ca="1">AVERAGE(OFFSET($CX$3,0,0,'Données projet'!$E$13+1,1))-AVERAGE(OFFSET($H$3,0,0,'Données projet'!$E$13+1,1))</f>
        <v>383.46266660377637</v>
      </c>
      <c r="CZ106" s="62">
        <f t="shared" si="96"/>
        <v>373.1287543230714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2.1214107966572509</v>
      </c>
      <c r="DH106" s="23">
        <f>EXP(-LN(2)/2)*DH105+(1-EXP(-LN(2)/2))/(LN(2)/2)*DB106*DE106*VLOOKUP('Données projet'!$B$13,Paramètres!$A$1:$I$89,3,0)*0.475*44/12</f>
        <v>2.1851780972558149E-10</v>
      </c>
      <c r="DI106" s="24">
        <f t="shared" si="69"/>
        <v>2.1214107968757685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>
        <f>DO106*VLOOKUP('Données projet'!$B$14,Paramètres!$A$1:$I$89,3,0)*VLOOKUP('Données projet'!$B$14,Paramètres!$A$1:$I$89,5,0)</f>
        <v>0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96.56611521638132</v>
      </c>
      <c r="DU106" s="62">
        <f t="shared" si="98"/>
        <v>465.03257878814094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19.415761128958501</v>
      </c>
      <c r="EB106" s="23">
        <f>EXP(-LN(2)/25)*EB105+(1-EXP(-LN(2)/25))/(LN(2)/25)*Calculateur!DW106*Calculateur!DY106*VLOOKUP('Données projet'!$B$14,Paramètres!$A$1:$I$89,3,0)*0.475*44/12</f>
        <v>2.4270082159927906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21.842769344951293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317.99999999999972</v>
      </c>
      <c r="EK106" s="18">
        <f>EJ106*VLOOKUP('Données projet'!$B$15,Paramètres!$A$1:$I$89,3,0)*VLOOKUP('Données projet'!$B$15,Paramètres!$A$1:$I$89,5,0)</f>
        <v>257.96159999999981</v>
      </c>
      <c r="EL106" s="14">
        <f t="shared" si="99"/>
        <v>62.287674609742425</v>
      </c>
      <c r="EM106" s="22">
        <f t="shared" si="73"/>
        <v>557.76748661196768</v>
      </c>
      <c r="EN106" s="62">
        <f t="shared" si="74"/>
        <v>851.10081994530105</v>
      </c>
      <c r="EO106" s="62">
        <f ca="1">AVERAGE(OFFSET($EN$3,0,0,'Données projet'!$E$15+1,1))-AVERAGE(OFFSET($H$3,0,0,'Données projet'!$E$15+1,1))</f>
        <v>358.75637627589799</v>
      </c>
      <c r="EP106" s="62">
        <f t="shared" si="100"/>
        <v>349.64821164483607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2.2774073079462411</v>
      </c>
      <c r="EW106" s="23">
        <f>EXP(-LN(2)/25)*EW105+(1-EXP(-LN(2)/25))/(LN(2)/25)*Calculateur!ER106*Calculateur!ET106*VLOOKUP('Données projet'!$B$15,Paramètres!$A$1:$I$89,3,0)*0.475*44/12</f>
        <v>2.0265612373773498</v>
      </c>
      <c r="EX106" s="23">
        <f>EXP(-LN(2)/2)*EX105+(1-EXP(-LN(2)/2))/(LN(2)/2)*ER106*EU106*VLOOKUP('Données projet'!$B$15,Paramètres!$A$1:$I$89,3,0)*0.475*44/12</f>
        <v>3.7520369292556001E-11</v>
      </c>
      <c r="EY106" s="24">
        <f t="shared" si="75"/>
        <v>4.3039685453611112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>
        <f>FE106*VLOOKUP('Données projet'!$B$16,Paramètres!$A$1:$I$89,3,0)*VLOOKUP('Données projet'!$B$16,Paramètres!$A$1:$I$89,5,0)</f>
        <v>0</v>
      </c>
      <c r="FG106" s="14" t="e">
        <f t="shared" si="101"/>
        <v>#NUM!</v>
      </c>
      <c r="FH106" s="22" t="e">
        <f t="shared" si="76"/>
        <v>#NUM!</v>
      </c>
      <c r="FI106" s="62" t="e">
        <f t="shared" si="77"/>
        <v>#NUM!</v>
      </c>
      <c r="FJ106" s="62">
        <f ca="1">AVERAGE(OFFSET($FI$3,0,0,'Données projet'!$E$16+1,1))-AVERAGE(OFFSET($H$3,0,0,'Données projet'!$E$16+1,1))</f>
        <v>121.28977654040114</v>
      </c>
      <c r="FK106" s="62">
        <f t="shared" si="102"/>
        <v>615.69585264342595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26.159610932854431</v>
      </c>
      <c r="FR106" s="23">
        <f>EXP(-LN(2)/25)*FR105+(1-EXP(-LN(2)/25))/(LN(2)/25)*Calculateur!FM106*Calculateur!FO106*VLOOKUP('Données projet'!$B$16,Paramètres!$A$1:$I$89,3,0)*0.475*44/12</f>
        <v>3.2700026663656345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29.429613599220065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317.99999999999972</v>
      </c>
      <c r="O107" s="14">
        <f>N107*VLOOKUP('Données projet'!$B$9,Paramètres!$A$1:$I$89,3,0)*VLOOKUP('Données projet'!$B$9,Paramètres!$A$1:$I$89,5,0)</f>
        <v>253.0007999999998</v>
      </c>
      <c r="P107" s="14">
        <f t="shared" si="87"/>
        <v>61.228070105968683</v>
      </c>
      <c r="Q107" s="22">
        <f t="shared" si="107"/>
        <v>547.28194876789507</v>
      </c>
      <c r="R107" s="62">
        <f t="shared" si="55"/>
        <v>840.61528210122833</v>
      </c>
      <c r="S107" s="62">
        <f ca="1">AVERAGE(OFFSET($R$3,0,0,'Données projet'!$E$9+1,1))-AVERAGE(OFFSET($H$3,0,0,'Données projet'!$E$9+1,1))</f>
        <v>352.5736659365665</v>
      </c>
      <c r="T107" s="62">
        <f t="shared" si="88"/>
        <v>343.77208530767069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3.1135277723322559</v>
      </c>
      <c r="AA107" s="23">
        <f>EXP(-LN(2)/25)*AA106+(1-EXP(-LN(2)/25))/(LN(2)/25)*Calculateur!V107*Calculateur!X107*VLOOKUP('Données projet'!$B$9,Paramètres!$A$1:$I$89,3,0)*0.475*44/12</f>
        <v>3.0483157382854311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6.161843510617687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3.7243808037601412E-14</v>
      </c>
      <c r="AK107" s="14">
        <f t="shared" si="89"/>
        <v>6.2767589361185393E-13</v>
      </c>
      <c r="AL107" s="22">
        <f t="shared" si="58"/>
        <v>1.1580684803728015E-12</v>
      </c>
      <c r="AM107" s="62">
        <f t="shared" si="59"/>
        <v>293.33333333333445</v>
      </c>
      <c r="AN107" s="62">
        <f ca="1">AVERAGE(OFFSET($AM$3,0,0,'Données projet'!$E$10+1,1))-AVERAGE(OFFSET($H$3,0,0,'Données projet'!$E$10+1,1))</f>
        <v>210.08998695869161</v>
      </c>
      <c r="AO107" s="62">
        <f t="shared" si="90"/>
        <v>207.30911916430881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1.3439961695876758E-12</v>
      </c>
      <c r="AX107" s="23">
        <f t="shared" si="60"/>
        <v>1.3439961695876758E-12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5.4</v>
      </c>
      <c r="BD107" s="13">
        <f>IF('Données projet'!$A$88&gt;35,BD106+BC107-BL106,IF(A107&lt;'Données projet'!$A$88,$BA$205^A107,IF(A107='Données projet'!$A$88,'Données projet'!$B$88,BD106+BC107-BL106)))</f>
        <v>327.59999999999991</v>
      </c>
      <c r="BE107" s="14">
        <f>BD107*VLOOKUP('Données projet'!$B$11,Paramètres!$A$1:$I$89,3,0)*VLOOKUP('Données projet'!$B$11,Paramètres!$A$1:$I$89,5,0)</f>
        <v>219.75407999999996</v>
      </c>
      <c r="BF107" s="14">
        <f t="shared" si="91"/>
        <v>54.061432744926762</v>
      </c>
      <c r="BG107" s="22">
        <f t="shared" si="61"/>
        <v>476.89535136408062</v>
      </c>
      <c r="BH107" s="62">
        <f t="shared" si="62"/>
        <v>770.22868469741388</v>
      </c>
      <c r="BI107" s="62">
        <f ca="1">AVERAGE(OFFSET($BH$3,0,0,'Données projet'!$E$11+1,1))-AVERAGE(OFFSET($H$3,0,0,'Données projet'!$E$11+1,1))</f>
        <v>335.83558218229564</v>
      </c>
      <c r="BJ107" s="62">
        <f t="shared" si="92"/>
        <v>217.08423061559648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1.5259979093113619E-10</v>
      </c>
      <c r="BS107" s="24">
        <f t="shared" si="63"/>
        <v>1.5259979093113619E-10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5.6843418860808015E-14</v>
      </c>
      <c r="BZ107" s="14">
        <f>BY107*VLOOKUP('Données projet'!$B$12,Paramètres!$A$1:$I$89,3,0)*VLOOKUP('Données projet'!$B$12,Paramètres!$A$1:$I$89,5,0)</f>
        <v>4.4337866711430253E-14</v>
      </c>
      <c r="CA107" s="14">
        <f t="shared" si="93"/>
        <v>7.3222115536967035E-13</v>
      </c>
      <c r="CB107" s="22">
        <f t="shared" si="64"/>
        <v>1.3525069634579169E-12</v>
      </c>
      <c r="CC107" s="62">
        <f t="shared" si="65"/>
        <v>293.33333333333468</v>
      </c>
      <c r="CD107" s="62">
        <f ca="1">AVERAGE(OFFSET($CC$3,0,0,'Données projet'!$E$12+1,1))-AVERAGE(OFFSET($H$3,0,0,'Données projet'!$E$12+1,1))</f>
        <v>288.82868507674738</v>
      </c>
      <c r="CE107" s="62">
        <f t="shared" si="94"/>
        <v>283.48738729114024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0.6260853806615535</v>
      </c>
      <c r="CM107" s="23">
        <f>EXP(-LN(2)/2)*CM106+(1-EXP(-LN(2)/2))/(LN(2)/2)*CG107*CJ107*VLOOKUP('Données projet'!$B$12,Paramètres!$A$1:$I$89,3,0)*0.475*44/12</f>
        <v>1.8770294989844713E-11</v>
      </c>
      <c r="CN107" s="24">
        <f t="shared" si="66"/>
        <v>0.62608538068032382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317.99999999999972</v>
      </c>
      <c r="CU107" s="18">
        <f>CT107*VLOOKUP('Données projet'!$B$13,Paramètres!$A$1:$I$89,3,0)*VLOOKUP('Données projet'!$B$13,Paramètres!$A$1:$I$89,5,0)</f>
        <v>277.80479999999983</v>
      </c>
      <c r="CV107" s="14">
        <f t="shared" si="95"/>
        <v>66.50288772038418</v>
      </c>
      <c r="CW107" s="22">
        <f t="shared" si="67"/>
        <v>599.66922277966887</v>
      </c>
      <c r="CX107" s="62">
        <f t="shared" si="68"/>
        <v>893.00255611300213</v>
      </c>
      <c r="CY107" s="62">
        <f ca="1">AVERAGE(OFFSET($CX$3,0,0,'Données projet'!$E$13+1,1))-AVERAGE(OFFSET($H$3,0,0,'Données projet'!$E$13+1,1))</f>
        <v>383.46266660377637</v>
      </c>
      <c r="CZ107" s="62">
        <f t="shared" si="96"/>
        <v>373.1287543230714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2.0634007068625131</v>
      </c>
      <c r="DH107" s="23">
        <f>EXP(-LN(2)/2)*DH106+(1-EXP(-LN(2)/2))/(LN(2)/2)*DB107*DE107*VLOOKUP('Données projet'!$B$13,Paramètres!$A$1:$I$89,3,0)*0.475*44/12</f>
        <v>1.5451542506699037E-10</v>
      </c>
      <c r="DI107" s="24">
        <f t="shared" si="69"/>
        <v>2.0634007070170286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>
        <f>DO107*VLOOKUP('Données projet'!$B$14,Paramètres!$A$1:$I$89,3,0)*VLOOKUP('Données projet'!$B$14,Paramètres!$A$1:$I$89,5,0)</f>
        <v>0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96.56611521638132</v>
      </c>
      <c r="DU107" s="62">
        <f t="shared" si="98"/>
        <v>465.03257878814094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19.035029895664568</v>
      </c>
      <c r="EB107" s="23">
        <f>EXP(-LN(2)/25)*EB106+(1-EXP(-LN(2)/25))/(LN(2)/25)*Calculateur!DW107*Calculateur!DY107*VLOOKUP('Données projet'!$B$14,Paramètres!$A$1:$I$89,3,0)*0.475*44/12</f>
        <v>2.3606415486956527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21.395671444360222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317.99999999999972</v>
      </c>
      <c r="EK107" s="18">
        <f>EJ107*VLOOKUP('Données projet'!$B$15,Paramètres!$A$1:$I$89,3,0)*VLOOKUP('Données projet'!$B$15,Paramètres!$A$1:$I$89,5,0)</f>
        <v>257.96159999999981</v>
      </c>
      <c r="EL107" s="14">
        <f t="shared" si="99"/>
        <v>62.287674609742425</v>
      </c>
      <c r="EM107" s="22">
        <f t="shared" si="73"/>
        <v>557.76748661196768</v>
      </c>
      <c r="EN107" s="62">
        <f t="shared" si="74"/>
        <v>851.10081994530105</v>
      </c>
      <c r="EO107" s="62">
        <f ca="1">AVERAGE(OFFSET($EN$3,0,0,'Données projet'!$E$15+1,1))-AVERAGE(OFFSET($H$3,0,0,'Données projet'!$E$15+1,1))</f>
        <v>358.75637627589799</v>
      </c>
      <c r="EP107" s="62">
        <f t="shared" si="100"/>
        <v>349.64821164483607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2.2327487397187129</v>
      </c>
      <c r="EW107" s="23">
        <f>EXP(-LN(2)/25)*EW106+(1-EXP(-LN(2)/25))/(LN(2)/25)*Calculateur!ER107*Calculateur!ET107*VLOOKUP('Données projet'!$B$15,Paramètres!$A$1:$I$89,3,0)*0.475*44/12</f>
        <v>1.9711448137690426</v>
      </c>
      <c r="EX107" s="23">
        <f>EXP(-LN(2)/2)*EX106+(1-EXP(-LN(2)/2))/(LN(2)/2)*ER107*EU107*VLOOKUP('Données projet'!$B$15,Paramètres!$A$1:$I$89,3,0)*0.475*44/12</f>
        <v>2.6530907559389854E-11</v>
      </c>
      <c r="EY107" s="24">
        <f t="shared" si="75"/>
        <v>4.2038935535142867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>
        <f>FE107*VLOOKUP('Données projet'!$B$16,Paramètres!$A$1:$I$89,3,0)*VLOOKUP('Données projet'!$B$16,Paramètres!$A$1:$I$89,5,0)</f>
        <v>0</v>
      </c>
      <c r="FG107" s="14" t="e">
        <f t="shared" si="101"/>
        <v>#NUM!</v>
      </c>
      <c r="FH107" s="22" t="e">
        <f t="shared" si="76"/>
        <v>#NUM!</v>
      </c>
      <c r="FI107" s="62" t="e">
        <f t="shared" si="77"/>
        <v>#NUM!</v>
      </c>
      <c r="FJ107" s="62">
        <f ca="1">AVERAGE(OFFSET($FI$3,0,0,'Données projet'!$E$16+1,1))-AVERAGE(OFFSET($H$3,0,0,'Données projet'!$E$16+1,1))</f>
        <v>121.28977654040114</v>
      </c>
      <c r="FK107" s="62">
        <f t="shared" si="102"/>
        <v>615.69585264342595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25.646636918248323</v>
      </c>
      <c r="FR107" s="23">
        <f>EXP(-LN(2)/25)*FR106+(1-EXP(-LN(2)/25))/(LN(2)/25)*Calculateur!FM107*Calculateur!FO107*VLOOKUP('Données projet'!$B$16,Paramètres!$A$1:$I$89,3,0)*0.475*44/12</f>
        <v>3.1805842714918997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28.827221189740222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317.99999999999972</v>
      </c>
      <c r="O108" s="14">
        <f>N108*VLOOKUP('Données projet'!$B$9,Paramètres!$A$1:$I$89,3,0)*VLOOKUP('Données projet'!$B$9,Paramètres!$A$1:$I$89,5,0)</f>
        <v>253.0007999999998</v>
      </c>
      <c r="P108" s="14">
        <f t="shared" si="87"/>
        <v>61.228070105968683</v>
      </c>
      <c r="Q108" s="22">
        <f t="shared" si="107"/>
        <v>547.28194876789507</v>
      </c>
      <c r="R108" s="62">
        <f t="shared" si="55"/>
        <v>840.61528210122833</v>
      </c>
      <c r="S108" s="62">
        <f ca="1">AVERAGE(OFFSET($R$3,0,0,'Données projet'!$E$9+1,1))-AVERAGE(OFFSET($H$3,0,0,'Données projet'!$E$9+1,1))</f>
        <v>352.5736659365665</v>
      </c>
      <c r="T108" s="62">
        <f t="shared" si="88"/>
        <v>343.77208530767069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3.0524733917812443</v>
      </c>
      <c r="AA108" s="23">
        <f>EXP(-LN(2)/25)*AA107+(1-EXP(-LN(2)/25))/(LN(2)/25)*Calculateur!V108*Calculateur!X108*VLOOKUP('Données projet'!$B$9,Paramètres!$A$1:$I$89,3,0)*0.475*44/12</f>
        <v>2.9649593841180581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6.0174327758993025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3.7243808037601412E-14</v>
      </c>
      <c r="AK108" s="14">
        <f t="shared" si="89"/>
        <v>6.2767589361185393E-13</v>
      </c>
      <c r="AL108" s="22">
        <f t="shared" si="58"/>
        <v>1.1580684803728015E-12</v>
      </c>
      <c r="AM108" s="62">
        <f t="shared" si="59"/>
        <v>293.33333333333445</v>
      </c>
      <c r="AN108" s="62">
        <f ca="1">AVERAGE(OFFSET($AM$3,0,0,'Données projet'!$E$10+1,1))-AVERAGE(OFFSET($H$3,0,0,'Données projet'!$E$10+1,1))</f>
        <v>210.08998695869161</v>
      </c>
      <c r="AO108" s="62">
        <f t="shared" si="90"/>
        <v>207.30911916430881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9.5034880540419066E-13</v>
      </c>
      <c r="AX108" s="23">
        <f t="shared" si="60"/>
        <v>9.5034880540419066E-13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333</v>
      </c>
      <c r="BB108" s="13">
        <f>VLOOKUP(A108,'Données projet'!$A$87:$I$107,9,0)</f>
        <v>5.4</v>
      </c>
      <c r="BC108" s="13">
        <f t="array" ref="BC108">INDEX(BB:BB,MIN(IF(ISNUMBER(BB108:BB304),ROW(BB108:BB304),"")))</f>
        <v>5.4</v>
      </c>
      <c r="BD108" s="13">
        <f>IF('Données projet'!$A$88&gt;35,BD107+BC108-BL107,IF(A108&lt;'Données projet'!$A$88,$BA$205^A108,IF(A108='Données projet'!$A$88,'Données projet'!$B$88,BD107+BC108-BL107)))</f>
        <v>332.99999999999989</v>
      </c>
      <c r="BE108" s="14">
        <f>BD108*VLOOKUP('Données projet'!$B$11,Paramètres!$A$1:$I$89,3,0)*VLOOKUP('Données projet'!$B$11,Paramètres!$A$1:$I$89,5,0)</f>
        <v>223.3763999999999</v>
      </c>
      <c r="BF108" s="14">
        <f t="shared" si="91"/>
        <v>54.848077814326416</v>
      </c>
      <c r="BG108" s="22">
        <f t="shared" si="61"/>
        <v>484.57429885995163</v>
      </c>
      <c r="BH108" s="62">
        <f t="shared" si="62"/>
        <v>777.90763219328494</v>
      </c>
      <c r="BI108" s="62">
        <f ca="1">AVERAGE(OFFSET($BH$3,0,0,'Données projet'!$E$11+1,1))-AVERAGE(OFFSET($H$3,0,0,'Données projet'!$E$11+1,1))</f>
        <v>335.83558218229564</v>
      </c>
      <c r="BJ108" s="62">
        <f t="shared" si="92"/>
        <v>217.08423061559648</v>
      </c>
      <c r="BK108" s="16">
        <f>IF(ISNA(VLOOKUP(A108,'Données projet'!$A$87:$I$107,3,0)),0,VLOOKUP(A108,'Données projet'!$A$87:$I$107,3,0))</f>
        <v>18</v>
      </c>
      <c r="BL108" s="16">
        <f>IF(ISNA(VLOOKUP(A108,'Données projet'!$A$87:$I$107,4,0)),0,VLOOKUP(A108,'Données projet'!$A$87:$I$107,4,0))</f>
        <v>26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1.0790434697505582E-10</v>
      </c>
      <c r="BS108" s="24">
        <f t="shared" si="63"/>
        <v>1.0790434697505582E-10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5.6843418860808015E-14</v>
      </c>
      <c r="BZ108" s="14">
        <f>BY108*VLOOKUP('Données projet'!$B$12,Paramètres!$A$1:$I$89,3,0)*VLOOKUP('Données projet'!$B$12,Paramètres!$A$1:$I$89,5,0)</f>
        <v>4.4337866711430253E-14</v>
      </c>
      <c r="CA108" s="14">
        <f t="shared" si="93"/>
        <v>7.3222115536967035E-13</v>
      </c>
      <c r="CB108" s="22">
        <f t="shared" si="64"/>
        <v>1.3525069634579169E-12</v>
      </c>
      <c r="CC108" s="62">
        <f t="shared" si="65"/>
        <v>293.33333333333468</v>
      </c>
      <c r="CD108" s="62">
        <f ca="1">AVERAGE(OFFSET($CC$3,0,0,'Données projet'!$E$12+1,1))-AVERAGE(OFFSET($H$3,0,0,'Données projet'!$E$12+1,1))</f>
        <v>288.82868507674738</v>
      </c>
      <c r="CE108" s="62">
        <f t="shared" si="94"/>
        <v>283.48738729114024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0.60896504300296406</v>
      </c>
      <c r="CM108" s="23">
        <f>EXP(-LN(2)/2)*CM107+(1-EXP(-LN(2)/2))/(LN(2)/2)*CG108*CJ108*VLOOKUP('Données projet'!$B$12,Paramètres!$A$1:$I$89,3,0)*0.475*44/12</f>
        <v>1.3272602872191075E-11</v>
      </c>
      <c r="CN108" s="24">
        <f t="shared" si="66"/>
        <v>0.60896504301623666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317.99999999999972</v>
      </c>
      <c r="CU108" s="18">
        <f>CT108*VLOOKUP('Données projet'!$B$13,Paramètres!$A$1:$I$89,3,0)*VLOOKUP('Données projet'!$B$13,Paramètres!$A$1:$I$89,5,0)</f>
        <v>277.80479999999983</v>
      </c>
      <c r="CV108" s="14">
        <f t="shared" si="95"/>
        <v>66.50288772038418</v>
      </c>
      <c r="CW108" s="22">
        <f t="shared" si="67"/>
        <v>599.66922277966887</v>
      </c>
      <c r="CX108" s="62">
        <f t="shared" si="68"/>
        <v>893.00255611300213</v>
      </c>
      <c r="CY108" s="62">
        <f ca="1">AVERAGE(OFFSET($CX$3,0,0,'Données projet'!$E$13+1,1))-AVERAGE(OFFSET($H$3,0,0,'Données projet'!$E$13+1,1))</f>
        <v>383.46266660377637</v>
      </c>
      <c r="CZ108" s="62">
        <f t="shared" si="96"/>
        <v>373.1287543230714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2.0069769060238305</v>
      </c>
      <c r="DH108" s="23">
        <f>EXP(-LN(2)/2)*DH107+(1-EXP(-LN(2)/2))/(LN(2)/2)*DB108*DE108*VLOOKUP('Données projet'!$B$13,Paramètres!$A$1:$I$89,3,0)*0.475*44/12</f>
        <v>1.0925890486279074E-10</v>
      </c>
      <c r="DI108" s="24">
        <f t="shared" si="69"/>
        <v>2.0069769061330893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>
        <f>DO108*VLOOKUP('Données projet'!$B$14,Paramètres!$A$1:$I$89,3,0)*VLOOKUP('Données projet'!$B$14,Paramètres!$A$1:$I$89,5,0)</f>
        <v>0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96.56611521638132</v>
      </c>
      <c r="DU108" s="62">
        <f t="shared" si="98"/>
        <v>465.03257878814094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18.661764569632407</v>
      </c>
      <c r="EB108" s="23">
        <f>EXP(-LN(2)/25)*EB107+(1-EXP(-LN(2)/25))/(LN(2)/25)*Calculateur!DW108*Calculateur!DY108*VLOOKUP('Données projet'!$B$14,Paramètres!$A$1:$I$89,3,0)*0.475*44/12</f>
        <v>2.2960896814058263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20.957854251038235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317.99999999999972</v>
      </c>
      <c r="EK108" s="18">
        <f>EJ108*VLOOKUP('Données projet'!$B$15,Paramètres!$A$1:$I$89,3,0)*VLOOKUP('Données projet'!$B$15,Paramètres!$A$1:$I$89,5,0)</f>
        <v>257.96159999999981</v>
      </c>
      <c r="EL108" s="14">
        <f t="shared" si="99"/>
        <v>62.287674609742425</v>
      </c>
      <c r="EM108" s="22">
        <f t="shared" si="73"/>
        <v>557.76748661196768</v>
      </c>
      <c r="EN108" s="62">
        <f t="shared" si="74"/>
        <v>851.10081994530105</v>
      </c>
      <c r="EO108" s="62">
        <f ca="1">AVERAGE(OFFSET($EN$3,0,0,'Données projet'!$E$15+1,1))-AVERAGE(OFFSET($H$3,0,0,'Données projet'!$E$15+1,1))</f>
        <v>358.75637627589799</v>
      </c>
      <c r="EP108" s="62">
        <f t="shared" si="100"/>
        <v>349.64821164483607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2.1889658987750895</v>
      </c>
      <c r="EW108" s="23">
        <f>EXP(-LN(2)/25)*EW107+(1-EXP(-LN(2)/25))/(LN(2)/25)*Calculateur!ER108*Calculateur!ET108*VLOOKUP('Données projet'!$B$15,Paramètres!$A$1:$I$89,3,0)*0.475*44/12</f>
        <v>1.9172437551785275</v>
      </c>
      <c r="EX108" s="23">
        <f>EXP(-LN(2)/2)*EX107+(1-EXP(-LN(2)/2))/(LN(2)/2)*ER108*EU108*VLOOKUP('Données projet'!$B$15,Paramètres!$A$1:$I$89,3,0)*0.475*44/12</f>
        <v>1.8760184646278001E-11</v>
      </c>
      <c r="EY108" s="24">
        <f t="shared" si="75"/>
        <v>4.1062096539723774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>
        <f>FE108*VLOOKUP('Données projet'!$B$16,Paramètres!$A$1:$I$89,3,0)*VLOOKUP('Données projet'!$B$16,Paramètres!$A$1:$I$89,5,0)</f>
        <v>0</v>
      </c>
      <c r="FG108" s="14" t="e">
        <f t="shared" si="101"/>
        <v>#NUM!</v>
      </c>
      <c r="FH108" s="22" t="e">
        <f t="shared" si="76"/>
        <v>#NUM!</v>
      </c>
      <c r="FI108" s="62" t="e">
        <f t="shared" si="77"/>
        <v>#NUM!</v>
      </c>
      <c r="FJ108" s="62">
        <f ca="1">AVERAGE(OFFSET($FI$3,0,0,'Données projet'!$E$16+1,1))-AVERAGE(OFFSET($H$3,0,0,'Données projet'!$E$16+1,1))</f>
        <v>121.28977654040114</v>
      </c>
      <c r="FK108" s="62">
        <f t="shared" si="102"/>
        <v>615.69585264342595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25.143722011185385</v>
      </c>
      <c r="FR108" s="23">
        <f>EXP(-LN(2)/25)*FR107+(1-EXP(-LN(2)/25))/(LN(2)/25)*Calculateur!FM108*Calculateur!FO108*VLOOKUP('Données projet'!$B$16,Paramètres!$A$1:$I$89,3,0)*0.475*44/12</f>
        <v>3.0936110273282962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28.237333038513682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317.99999999999972</v>
      </c>
      <c r="O109" s="14">
        <f>N109*VLOOKUP('Données projet'!$B$9,Paramètres!$A$1:$I$89,3,0)*VLOOKUP('Données projet'!$B$9,Paramètres!$A$1:$I$89,5,0)</f>
        <v>253.0007999999998</v>
      </c>
      <c r="P109" s="14">
        <f t="shared" si="87"/>
        <v>61.228070105968683</v>
      </c>
      <c r="Q109" s="22">
        <f t="shared" si="107"/>
        <v>547.28194876789507</v>
      </c>
      <c r="R109" s="62">
        <f t="shared" si="55"/>
        <v>840.61528210122833</v>
      </c>
      <c r="S109" s="62">
        <f ca="1">AVERAGE(OFFSET($R$3,0,0,'Données projet'!$E$9+1,1))-AVERAGE(OFFSET($H$3,0,0,'Données projet'!$E$9+1,1))</f>
        <v>352.5736659365665</v>
      </c>
      <c r="T109" s="62">
        <f t="shared" si="88"/>
        <v>343.77208530767069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2.9926162503933433</v>
      </c>
      <c r="AA109" s="23">
        <f>EXP(-LN(2)/25)*AA108+(1-EXP(-LN(2)/25))/(LN(2)/25)*Calculateur!V109*Calculateur!X109*VLOOKUP('Données projet'!$B$9,Paramètres!$A$1:$I$89,3,0)*0.475*44/12</f>
        <v>2.8838824138389123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5.8764986642322556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3.7243808037601412E-14</v>
      </c>
      <c r="AK109" s="14">
        <f t="shared" si="89"/>
        <v>6.2767589361185393E-13</v>
      </c>
      <c r="AL109" s="22">
        <f t="shared" si="58"/>
        <v>1.1580684803728015E-12</v>
      </c>
      <c r="AM109" s="62">
        <f t="shared" si="59"/>
        <v>293.33333333333445</v>
      </c>
      <c r="AN109" s="62">
        <f ca="1">AVERAGE(OFFSET($AM$3,0,0,'Données projet'!$E$10+1,1))-AVERAGE(OFFSET($H$3,0,0,'Données projet'!$E$10+1,1))</f>
        <v>210.08998695869161</v>
      </c>
      <c r="AO109" s="62">
        <f t="shared" si="90"/>
        <v>207.30911916430881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6.719980847938379E-13</v>
      </c>
      <c r="AX109" s="23">
        <f t="shared" si="60"/>
        <v>6.719980847938379E-13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</v>
      </c>
      <c r="BD109" s="13">
        <f>IF('Données projet'!$A$88&gt;35,BD108+BC109-BL108,IF(A109&lt;'Données projet'!$A$88,$BA$205^A109,IF(A109='Données projet'!$A$88,'Données projet'!$B$88,BD108+BC109-BL108)))</f>
        <v>311.99999999999989</v>
      </c>
      <c r="BE109" s="14">
        <f>BD109*VLOOKUP('Données projet'!$B$11,Paramètres!$A$1:$I$89,3,0)*VLOOKUP('Données projet'!$B$11,Paramètres!$A$1:$I$89,5,0)</f>
        <v>209.28959999999992</v>
      </c>
      <c r="BF109" s="14">
        <f t="shared" si="91"/>
        <v>51.780314822292169</v>
      </c>
      <c r="BG109" s="22">
        <f t="shared" si="61"/>
        <v>454.69676831549208</v>
      </c>
      <c r="BH109" s="62">
        <f t="shared" si="62"/>
        <v>748.03010164882539</v>
      </c>
      <c r="BI109" s="62">
        <f ca="1">AVERAGE(OFFSET($BH$3,0,0,'Données projet'!$E$11+1,1))-AVERAGE(OFFSET($H$3,0,0,'Données projet'!$E$11+1,1))</f>
        <v>335.83558218229564</v>
      </c>
      <c r="BJ109" s="62">
        <f t="shared" si="92"/>
        <v>217.08423061559648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7.6299895465568095E-11</v>
      </c>
      <c r="BS109" s="24">
        <f t="shared" si="63"/>
        <v>7.6299895465568095E-11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5.6843418860808015E-14</v>
      </c>
      <c r="BZ109" s="14">
        <f>BY109*VLOOKUP('Données projet'!$B$12,Paramètres!$A$1:$I$89,3,0)*VLOOKUP('Données projet'!$B$12,Paramètres!$A$1:$I$89,5,0)</f>
        <v>4.4337866711430253E-14</v>
      </c>
      <c r="CA109" s="14">
        <f t="shared" si="93"/>
        <v>7.3222115536967035E-13</v>
      </c>
      <c r="CB109" s="22">
        <f t="shared" si="64"/>
        <v>1.3525069634579169E-12</v>
      </c>
      <c r="CC109" s="62">
        <f t="shared" si="65"/>
        <v>293.33333333333468</v>
      </c>
      <c r="CD109" s="62">
        <f ca="1">AVERAGE(OFFSET($CC$3,0,0,'Données projet'!$E$12+1,1))-AVERAGE(OFFSET($H$3,0,0,'Données projet'!$E$12+1,1))</f>
        <v>288.82868507674738</v>
      </c>
      <c r="CE109" s="62">
        <f t="shared" si="94"/>
        <v>283.48738729114024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0.59231286187796817</v>
      </c>
      <c r="CM109" s="23">
        <f>EXP(-LN(2)/2)*CM108+(1-EXP(-LN(2)/2))/(LN(2)/2)*CG109*CJ109*VLOOKUP('Données projet'!$B$12,Paramètres!$A$1:$I$89,3,0)*0.475*44/12</f>
        <v>9.3851474949223563E-12</v>
      </c>
      <c r="CN109" s="24">
        <f t="shared" si="66"/>
        <v>0.59231286188735333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317.99999999999972</v>
      </c>
      <c r="CU109" s="18">
        <f>CT109*VLOOKUP('Données projet'!$B$13,Paramètres!$A$1:$I$89,3,0)*VLOOKUP('Données projet'!$B$13,Paramètres!$A$1:$I$89,5,0)</f>
        <v>277.80479999999983</v>
      </c>
      <c r="CV109" s="14">
        <f t="shared" si="95"/>
        <v>66.50288772038418</v>
      </c>
      <c r="CW109" s="22">
        <f t="shared" si="67"/>
        <v>599.66922277966887</v>
      </c>
      <c r="CX109" s="62">
        <f t="shared" si="68"/>
        <v>893.00255611300213</v>
      </c>
      <c r="CY109" s="62">
        <f ca="1">AVERAGE(OFFSET($CX$3,0,0,'Données projet'!$E$13+1,1))-AVERAGE(OFFSET($H$3,0,0,'Données projet'!$E$13+1,1))</f>
        <v>383.46266660377637</v>
      </c>
      <c r="CZ109" s="62">
        <f t="shared" si="96"/>
        <v>373.1287543230714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1.9520960169862804</v>
      </c>
      <c r="DH109" s="23">
        <f>EXP(-LN(2)/2)*DH108+(1-EXP(-LN(2)/2))/(LN(2)/2)*DB109*DE109*VLOOKUP('Données projet'!$B$13,Paramètres!$A$1:$I$89,3,0)*0.475*44/12</f>
        <v>7.7257712533495187E-11</v>
      </c>
      <c r="DI109" s="24">
        <f t="shared" si="69"/>
        <v>1.9520960170635382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>
        <f>DO109*VLOOKUP('Données projet'!$B$14,Paramètres!$A$1:$I$89,3,0)*VLOOKUP('Données projet'!$B$14,Paramètres!$A$1:$I$89,5,0)</f>
        <v>0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96.56611521638132</v>
      </c>
      <c r="DU109" s="62">
        <f t="shared" si="98"/>
        <v>465.03257878814094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18.295818748974369</v>
      </c>
      <c r="EB109" s="23">
        <f>EXP(-LN(2)/25)*EB108+(1-EXP(-LN(2)/25))/(LN(2)/25)*Calculateur!DW109*Calculateur!DY109*VLOOKUP('Données projet'!$B$14,Paramètres!$A$1:$I$89,3,0)*0.475*44/12</f>
        <v>2.2333029883216753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20.529121737296045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317.99999999999972</v>
      </c>
      <c r="EK109" s="18">
        <f>EJ109*VLOOKUP('Données projet'!$B$15,Paramètres!$A$1:$I$89,3,0)*VLOOKUP('Données projet'!$B$15,Paramètres!$A$1:$I$89,5,0)</f>
        <v>257.96159999999981</v>
      </c>
      <c r="EL109" s="14">
        <f t="shared" si="99"/>
        <v>62.287674609742425</v>
      </c>
      <c r="EM109" s="22">
        <f t="shared" si="73"/>
        <v>557.76748661196768</v>
      </c>
      <c r="EN109" s="62">
        <f t="shared" si="74"/>
        <v>851.10081994530105</v>
      </c>
      <c r="EO109" s="62">
        <f ca="1">AVERAGE(OFFSET($EN$3,0,0,'Données projet'!$E$15+1,1))-AVERAGE(OFFSET($H$3,0,0,'Données projet'!$E$15+1,1))</f>
        <v>358.75637627589799</v>
      </c>
      <c r="EP109" s="62">
        <f t="shared" si="100"/>
        <v>349.64821164483607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2.1460416126374744</v>
      </c>
      <c r="EW109" s="23">
        <f>EXP(-LN(2)/25)*EW108+(1-EXP(-LN(2)/25))/(LN(2)/25)*Calculateur!ER109*Calculateur!ET109*VLOOKUP('Données projet'!$B$15,Paramètres!$A$1:$I$89,3,0)*0.475*44/12</f>
        <v>1.8648166238697035</v>
      </c>
      <c r="EX109" s="23">
        <f>EXP(-LN(2)/2)*EX108+(1-EXP(-LN(2)/2))/(LN(2)/2)*ER109*EU109*VLOOKUP('Données projet'!$B$15,Paramètres!$A$1:$I$89,3,0)*0.475*44/12</f>
        <v>1.3265453779694927E-11</v>
      </c>
      <c r="EY109" s="24">
        <f t="shared" si="75"/>
        <v>4.0108582365204439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>
        <f>FE109*VLOOKUP('Données projet'!$B$16,Paramètres!$A$1:$I$89,3,0)*VLOOKUP('Données projet'!$B$16,Paramètres!$A$1:$I$89,5,0)</f>
        <v>0</v>
      </c>
      <c r="FG109" s="14" t="e">
        <f t="shared" si="101"/>
        <v>#NUM!</v>
      </c>
      <c r="FH109" s="22" t="e">
        <f t="shared" si="76"/>
        <v>#NUM!</v>
      </c>
      <c r="FI109" s="62" t="e">
        <f t="shared" si="77"/>
        <v>#NUM!</v>
      </c>
      <c r="FJ109" s="62">
        <f ca="1">AVERAGE(OFFSET($FI$3,0,0,'Données projet'!$E$16+1,1))-AVERAGE(OFFSET($H$3,0,0,'Données projet'!$E$16+1,1))</f>
        <v>121.28977654040114</v>
      </c>
      <c r="FK109" s="62">
        <f t="shared" si="102"/>
        <v>615.69585264342595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24.650668958702148</v>
      </c>
      <c r="FR109" s="23">
        <f>EXP(-LN(2)/25)*FR108+(1-EXP(-LN(2)/25))/(LN(2)/25)*Calculateur!FM109*Calculateur!FO109*VLOOKUP('Données projet'!$B$16,Paramètres!$A$1:$I$89,3,0)*0.475*44/12</f>
        <v>3.0090160711000706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27.659685029802219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317.99999999999972</v>
      </c>
      <c r="O110" s="14">
        <f>N110*VLOOKUP('Données projet'!$B$9,Paramètres!$A$1:$I$89,3,0)*VLOOKUP('Données projet'!$B$9,Paramètres!$A$1:$I$89,5,0)</f>
        <v>253.0007999999998</v>
      </c>
      <c r="P110" s="14">
        <f t="shared" si="87"/>
        <v>61.228070105968683</v>
      </c>
      <c r="Q110" s="22">
        <f t="shared" si="107"/>
        <v>547.28194876789507</v>
      </c>
      <c r="R110" s="62">
        <f t="shared" si="55"/>
        <v>840.61528210122833</v>
      </c>
      <c r="S110" s="62">
        <f ca="1">AVERAGE(OFFSET($R$3,0,0,'Données projet'!$E$9+1,1))-AVERAGE(OFFSET($H$3,0,0,'Données projet'!$E$9+1,1))</f>
        <v>352.5736659365665</v>
      </c>
      <c r="T110" s="62">
        <f t="shared" si="88"/>
        <v>343.77208530767069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2.9339328710388077</v>
      </c>
      <c r="AA110" s="23">
        <f>EXP(-LN(2)/25)*AA109+(1-EXP(-LN(2)/25))/(LN(2)/25)*Calculateur!V110*Calculateur!X110*VLOOKUP('Données projet'!$B$9,Paramètres!$A$1:$I$89,3,0)*0.475*44/12</f>
        <v>2.8050224975757021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5.7389553686145103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3.7243808037601412E-14</v>
      </c>
      <c r="AK110" s="14">
        <f t="shared" si="89"/>
        <v>6.2767589361185393E-13</v>
      </c>
      <c r="AL110" s="22">
        <f t="shared" si="58"/>
        <v>1.1580684803728015E-12</v>
      </c>
      <c r="AM110" s="62">
        <f t="shared" si="59"/>
        <v>293.33333333333445</v>
      </c>
      <c r="AN110" s="62">
        <f ca="1">AVERAGE(OFFSET($AM$3,0,0,'Données projet'!$E$10+1,1))-AVERAGE(OFFSET($H$3,0,0,'Données projet'!$E$10+1,1))</f>
        <v>210.08998695869161</v>
      </c>
      <c r="AO110" s="62">
        <f t="shared" si="90"/>
        <v>207.30911916430881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4.7517440270209533E-13</v>
      </c>
      <c r="AX110" s="23">
        <f t="shared" si="60"/>
        <v>4.7517440270209533E-13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</v>
      </c>
      <c r="BD110" s="13">
        <f>IF('Données projet'!$A$88&gt;35,BD109+BC110-BL109,IF(A110&lt;'Données projet'!$A$88,$BA$205^A110,IF(A110='Données projet'!$A$88,'Données projet'!$B$88,BD109+BC110-BL109)))</f>
        <v>316.99999999999989</v>
      </c>
      <c r="BE110" s="14">
        <f>BD110*VLOOKUP('Données projet'!$B$11,Paramètres!$A$1:$I$89,3,0)*VLOOKUP('Données projet'!$B$11,Paramètres!$A$1:$I$89,5,0)</f>
        <v>212.64359999999994</v>
      </c>
      <c r="BF110" s="14">
        <f t="shared" si="91"/>
        <v>52.512857530306484</v>
      </c>
      <c r="BG110" s="22">
        <f t="shared" si="61"/>
        <v>461.81416353195027</v>
      </c>
      <c r="BH110" s="62">
        <f t="shared" si="62"/>
        <v>755.14749686528353</v>
      </c>
      <c r="BI110" s="62">
        <f ca="1">AVERAGE(OFFSET($BH$3,0,0,'Données projet'!$E$11+1,1))-AVERAGE(OFFSET($H$3,0,0,'Données projet'!$E$11+1,1))</f>
        <v>335.83558218229564</v>
      </c>
      <c r="BJ110" s="62">
        <f t="shared" si="92"/>
        <v>217.08423061559648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5.3952173487527909E-11</v>
      </c>
      <c r="BS110" s="24">
        <f t="shared" si="63"/>
        <v>5.3952173487527909E-11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5.6843418860808015E-14</v>
      </c>
      <c r="BZ110" s="14">
        <f>BY110*VLOOKUP('Données projet'!$B$12,Paramètres!$A$1:$I$89,3,0)*VLOOKUP('Données projet'!$B$12,Paramètres!$A$1:$I$89,5,0)</f>
        <v>4.4337866711430253E-14</v>
      </c>
      <c r="CA110" s="14">
        <f t="shared" si="93"/>
        <v>7.3222115536967035E-13</v>
      </c>
      <c r="CB110" s="22">
        <f t="shared" si="64"/>
        <v>1.3525069634579169E-12</v>
      </c>
      <c r="CC110" s="62">
        <f t="shared" si="65"/>
        <v>293.33333333333468</v>
      </c>
      <c r="CD110" s="62">
        <f ca="1">AVERAGE(OFFSET($CC$3,0,0,'Données projet'!$E$12+1,1))-AVERAGE(OFFSET($H$3,0,0,'Données projet'!$E$12+1,1))</f>
        <v>288.82868507674738</v>
      </c>
      <c r="CE110" s="62">
        <f t="shared" si="94"/>
        <v>283.48738729114024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0.57611603552153545</v>
      </c>
      <c r="CM110" s="23">
        <f>EXP(-LN(2)/2)*CM109+(1-EXP(-LN(2)/2))/(LN(2)/2)*CG110*CJ110*VLOOKUP('Données projet'!$B$12,Paramètres!$A$1:$I$89,3,0)*0.475*44/12</f>
        <v>6.6363014360955373E-12</v>
      </c>
      <c r="CN110" s="24">
        <f t="shared" si="66"/>
        <v>0.5761160355281717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317.99999999999972</v>
      </c>
      <c r="CU110" s="18">
        <f>CT110*VLOOKUP('Données projet'!$B$13,Paramètres!$A$1:$I$89,3,0)*VLOOKUP('Données projet'!$B$13,Paramètres!$A$1:$I$89,5,0)</f>
        <v>277.80479999999983</v>
      </c>
      <c r="CV110" s="14">
        <f t="shared" si="95"/>
        <v>66.50288772038418</v>
      </c>
      <c r="CW110" s="22">
        <f t="shared" si="67"/>
        <v>599.66922277966887</v>
      </c>
      <c r="CX110" s="62">
        <f t="shared" si="68"/>
        <v>893.00255611300213</v>
      </c>
      <c r="CY110" s="62">
        <f ca="1">AVERAGE(OFFSET($CX$3,0,0,'Données projet'!$E$13+1,1))-AVERAGE(OFFSET($H$3,0,0,'Données projet'!$E$13+1,1))</f>
        <v>383.46266660377637</v>
      </c>
      <c r="CZ110" s="62">
        <f t="shared" si="96"/>
        <v>373.1287543230714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1.8987158487455227</v>
      </c>
      <c r="DH110" s="23">
        <f>EXP(-LN(2)/2)*DH109+(1-EXP(-LN(2)/2))/(LN(2)/2)*DB110*DE110*VLOOKUP('Données projet'!$B$13,Paramètres!$A$1:$I$89,3,0)*0.475*44/12</f>
        <v>5.4629452431395372E-11</v>
      </c>
      <c r="DI110" s="24">
        <f t="shared" si="69"/>
        <v>1.8987158488001521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>
        <f>DO110*VLOOKUP('Données projet'!$B$14,Paramètres!$A$1:$I$89,3,0)*VLOOKUP('Données projet'!$B$14,Paramètres!$A$1:$I$89,5,0)</f>
        <v>0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96.56611521638132</v>
      </c>
      <c r="DU110" s="62">
        <f t="shared" si="98"/>
        <v>465.03257878814094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17.937048902654524</v>
      </c>
      <c r="EB110" s="23">
        <f>EXP(-LN(2)/25)*EB109+(1-EXP(-LN(2)/25))/(LN(2)/25)*Calculateur!DW110*Calculateur!DY110*VLOOKUP('Données projet'!$B$14,Paramètres!$A$1:$I$89,3,0)*0.475*44/12</f>
        <v>2.1722332006617191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20.109282103316243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317.99999999999972</v>
      </c>
      <c r="EK110" s="18">
        <f>EJ110*VLOOKUP('Données projet'!$B$15,Paramètres!$A$1:$I$89,3,0)*VLOOKUP('Données projet'!$B$15,Paramètres!$A$1:$I$89,5,0)</f>
        <v>257.96159999999981</v>
      </c>
      <c r="EL110" s="14">
        <f t="shared" si="99"/>
        <v>62.287674609742425</v>
      </c>
      <c r="EM110" s="22">
        <f t="shared" si="73"/>
        <v>557.76748661196768</v>
      </c>
      <c r="EN110" s="62">
        <f t="shared" si="74"/>
        <v>851.10081994530105</v>
      </c>
      <c r="EO110" s="62">
        <f ca="1">AVERAGE(OFFSET($EN$3,0,0,'Données projet'!$E$15+1,1))-AVERAGE(OFFSET($H$3,0,0,'Données projet'!$E$15+1,1))</f>
        <v>358.75637627589799</v>
      </c>
      <c r="EP110" s="62">
        <f t="shared" si="100"/>
        <v>349.64821164483607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2.1039590455697885</v>
      </c>
      <c r="EW110" s="23">
        <f>EXP(-LN(2)/25)*EW109+(1-EXP(-LN(2)/25))/(LN(2)/25)*Calculateur!ER110*Calculateur!ET110*VLOOKUP('Données projet'!$B$15,Paramètres!$A$1:$I$89,3,0)*0.475*44/12</f>
        <v>1.8138231152235422</v>
      </c>
      <c r="EX110" s="23">
        <f>EXP(-LN(2)/2)*EX109+(1-EXP(-LN(2)/2))/(LN(2)/2)*ER110*EU110*VLOOKUP('Données projet'!$B$15,Paramètres!$A$1:$I$89,3,0)*0.475*44/12</f>
        <v>9.3800923231390003E-12</v>
      </c>
      <c r="EY110" s="24">
        <f t="shared" si="75"/>
        <v>3.9177821608027106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>
        <f>FE110*VLOOKUP('Données projet'!$B$16,Paramètres!$A$1:$I$89,3,0)*VLOOKUP('Données projet'!$B$16,Paramètres!$A$1:$I$89,5,0)</f>
        <v>0</v>
      </c>
      <c r="FG110" s="14" t="e">
        <f t="shared" si="101"/>
        <v>#NUM!</v>
      </c>
      <c r="FH110" s="22" t="e">
        <f t="shared" si="76"/>
        <v>#NUM!</v>
      </c>
      <c r="FI110" s="62" t="e">
        <f t="shared" si="77"/>
        <v>#NUM!</v>
      </c>
      <c r="FJ110" s="62">
        <f ca="1">AVERAGE(OFFSET($FI$3,0,0,'Données projet'!$E$16+1,1))-AVERAGE(OFFSET($H$3,0,0,'Données projet'!$E$16+1,1))</f>
        <v>121.28977654040114</v>
      </c>
      <c r="FK110" s="62">
        <f t="shared" si="102"/>
        <v>615.69585264342595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24.167284375845441</v>
      </c>
      <c r="FR110" s="23">
        <f>EXP(-LN(2)/25)*FR109+(1-EXP(-LN(2)/25))/(LN(2)/25)*Calculateur!FM110*Calculateur!FO110*VLOOKUP('Données projet'!$B$16,Paramètres!$A$1:$I$89,3,0)*0.475*44/12</f>
        <v>2.9267343683985612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27.094018744244003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317.99999999999972</v>
      </c>
      <c r="O111" s="14">
        <f>N111*VLOOKUP('Données projet'!$B$9,Paramètres!$A$1:$I$89,3,0)*VLOOKUP('Données projet'!$B$9,Paramètres!$A$1:$I$89,5,0)</f>
        <v>253.0007999999998</v>
      </c>
      <c r="P111" s="14">
        <f t="shared" si="87"/>
        <v>61.228070105968683</v>
      </c>
      <c r="Q111" s="22">
        <f t="shared" si="107"/>
        <v>547.28194876789507</v>
      </c>
      <c r="R111" s="62">
        <f t="shared" si="55"/>
        <v>840.61528210122833</v>
      </c>
      <c r="S111" s="62">
        <f ca="1">AVERAGE(OFFSET($R$3,0,0,'Données projet'!$E$9+1,1))-AVERAGE(OFFSET($H$3,0,0,'Données projet'!$E$9+1,1))</f>
        <v>352.5736659365665</v>
      </c>
      <c r="T111" s="62">
        <f t="shared" si="88"/>
        <v>343.77208530767069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2.8764002369600874</v>
      </c>
      <c r="AA111" s="23">
        <f>EXP(-LN(2)/25)*AA110+(1-EXP(-LN(2)/25))/(LN(2)/25)*Calculateur!V111*Calculateur!X111*VLOOKUP('Données projet'!$B$9,Paramètres!$A$1:$I$89,3,0)*0.475*44/12</f>
        <v>2.7283190098697725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5.6047192468298599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3.7243808037601412E-14</v>
      </c>
      <c r="AK111" s="14">
        <f t="shared" si="89"/>
        <v>6.2767589361185393E-13</v>
      </c>
      <c r="AL111" s="22">
        <f t="shared" si="58"/>
        <v>1.1580684803728015E-12</v>
      </c>
      <c r="AM111" s="62">
        <f t="shared" si="59"/>
        <v>293.33333333333445</v>
      </c>
      <c r="AN111" s="62">
        <f ca="1">AVERAGE(OFFSET($AM$3,0,0,'Données projet'!$E$10+1,1))-AVERAGE(OFFSET($H$3,0,0,'Données projet'!$E$10+1,1))</f>
        <v>210.08998695869161</v>
      </c>
      <c r="AO111" s="62">
        <f t="shared" si="90"/>
        <v>207.30911916430881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3.3599904239691895E-13</v>
      </c>
      <c r="AX111" s="23">
        <f t="shared" si="60"/>
        <v>3.3599904239691895E-13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</v>
      </c>
      <c r="BD111" s="13">
        <f>IF('Données projet'!$A$88&gt;35,BD110+BC111-BL110,IF(A111&lt;'Données projet'!$A$88,$BA$205^A111,IF(A111='Données projet'!$A$88,'Données projet'!$B$88,BD110+BC111-BL110)))</f>
        <v>321.99999999999989</v>
      </c>
      <c r="BE111" s="14">
        <f>BD111*VLOOKUP('Données projet'!$B$11,Paramètres!$A$1:$I$89,3,0)*VLOOKUP('Données projet'!$B$11,Paramètres!$A$1:$I$89,5,0)</f>
        <v>215.99759999999992</v>
      </c>
      <c r="BF111" s="14">
        <f t="shared" si="91"/>
        <v>53.244056492586679</v>
      </c>
      <c r="BG111" s="22">
        <f t="shared" si="61"/>
        <v>468.92921839125489</v>
      </c>
      <c r="BH111" s="62">
        <f t="shared" si="62"/>
        <v>762.26255172458821</v>
      </c>
      <c r="BI111" s="62">
        <f ca="1">AVERAGE(OFFSET($BH$3,0,0,'Données projet'!$E$11+1,1))-AVERAGE(OFFSET($H$3,0,0,'Données projet'!$E$11+1,1))</f>
        <v>335.83558218229564</v>
      </c>
      <c r="BJ111" s="62">
        <f t="shared" si="92"/>
        <v>217.08423061559648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3.8149947732784048E-11</v>
      </c>
      <c r="BS111" s="24">
        <f t="shared" si="63"/>
        <v>3.8149947732784048E-11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5.6843418860808015E-14</v>
      </c>
      <c r="BZ111" s="14">
        <f>BY111*VLOOKUP('Données projet'!$B$12,Paramètres!$A$1:$I$89,3,0)*VLOOKUP('Données projet'!$B$12,Paramètres!$A$1:$I$89,5,0)</f>
        <v>4.4337866711430253E-14</v>
      </c>
      <c r="CA111" s="14">
        <f t="shared" si="93"/>
        <v>7.3222115536967035E-13</v>
      </c>
      <c r="CB111" s="22">
        <f t="shared" si="64"/>
        <v>1.3525069634579169E-12</v>
      </c>
      <c r="CC111" s="62">
        <f t="shared" si="65"/>
        <v>293.33333333333468</v>
      </c>
      <c r="CD111" s="62">
        <f ca="1">AVERAGE(OFFSET($CC$3,0,0,'Données projet'!$E$12+1,1))-AVERAGE(OFFSET($H$3,0,0,'Données projet'!$E$12+1,1))</f>
        <v>288.82868507674738</v>
      </c>
      <c r="CE111" s="62">
        <f t="shared" si="94"/>
        <v>283.48738729114024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0.56036211223357346</v>
      </c>
      <c r="CM111" s="23">
        <f>EXP(-LN(2)/2)*CM110+(1-EXP(-LN(2)/2))/(LN(2)/2)*CG111*CJ111*VLOOKUP('Données projet'!$B$12,Paramètres!$A$1:$I$89,3,0)*0.475*44/12</f>
        <v>4.6925737474611781E-12</v>
      </c>
      <c r="CN111" s="24">
        <f t="shared" si="66"/>
        <v>0.56036211223826604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317.99999999999972</v>
      </c>
      <c r="CU111" s="18">
        <f>CT111*VLOOKUP('Données projet'!$B$13,Paramètres!$A$1:$I$89,3,0)*VLOOKUP('Données projet'!$B$13,Paramètres!$A$1:$I$89,5,0)</f>
        <v>277.80479999999983</v>
      </c>
      <c r="CV111" s="14">
        <f t="shared" si="95"/>
        <v>66.50288772038418</v>
      </c>
      <c r="CW111" s="22">
        <f t="shared" si="67"/>
        <v>599.66922277966887</v>
      </c>
      <c r="CX111" s="62">
        <f t="shared" si="68"/>
        <v>893.00255611300213</v>
      </c>
      <c r="CY111" s="62">
        <f ca="1">AVERAGE(OFFSET($CX$3,0,0,'Données projet'!$E$13+1,1))-AVERAGE(OFFSET($H$3,0,0,'Données projet'!$E$13+1,1))</f>
        <v>383.46266660377637</v>
      </c>
      <c r="CZ111" s="62">
        <f t="shared" si="96"/>
        <v>373.1287543230714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1.8467953640124495</v>
      </c>
      <c r="DH111" s="23">
        <f>EXP(-LN(2)/2)*DH110+(1-EXP(-LN(2)/2))/(LN(2)/2)*DB111*DE111*VLOOKUP('Données projet'!$B$13,Paramètres!$A$1:$I$89,3,0)*0.475*44/12</f>
        <v>3.8628856266747594E-11</v>
      </c>
      <c r="DI111" s="24">
        <f t="shared" si="69"/>
        <v>1.8467953640510784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>
        <f>DO111*VLOOKUP('Données projet'!$B$14,Paramètres!$A$1:$I$89,3,0)*VLOOKUP('Données projet'!$B$14,Paramètres!$A$1:$I$89,5,0)</f>
        <v>0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96.56611521638132</v>
      </c>
      <c r="DU111" s="62">
        <f t="shared" si="98"/>
        <v>465.03257878814094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17.585314314193013</v>
      </c>
      <c r="EB111" s="23">
        <f>EXP(-LN(2)/25)*EB110+(1-EXP(-LN(2)/25))/(LN(2)/25)*Calculateur!DW111*Calculateur!DY111*VLOOKUP('Données projet'!$B$14,Paramètres!$A$1:$I$89,3,0)*0.475*44/12</f>
        <v>2.1128333695568449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19.698147683749859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317.99999999999972</v>
      </c>
      <c r="EK111" s="18">
        <f>EJ111*VLOOKUP('Données projet'!$B$15,Paramètres!$A$1:$I$89,3,0)*VLOOKUP('Données projet'!$B$15,Paramètres!$A$1:$I$89,5,0)</f>
        <v>257.96159999999981</v>
      </c>
      <c r="EL111" s="14">
        <f t="shared" si="99"/>
        <v>62.287674609742425</v>
      </c>
      <c r="EM111" s="22">
        <f t="shared" si="73"/>
        <v>557.76748661196768</v>
      </c>
      <c r="EN111" s="62">
        <f t="shared" si="74"/>
        <v>851.10081994530105</v>
      </c>
      <c r="EO111" s="62">
        <f ca="1">AVERAGE(OFFSET($EN$3,0,0,'Données projet'!$E$15+1,1))-AVERAGE(OFFSET($H$3,0,0,'Données projet'!$E$15+1,1))</f>
        <v>358.75637627589799</v>
      </c>
      <c r="EP111" s="62">
        <f t="shared" si="100"/>
        <v>349.64821164483607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2.0627016919744685</v>
      </c>
      <c r="EW111" s="23">
        <f>EXP(-LN(2)/25)*EW110+(1-EXP(-LN(2)/25))/(LN(2)/25)*Calculateur!ER111*Calculateur!ET111*VLOOKUP('Données projet'!$B$15,Paramètres!$A$1:$I$89,3,0)*0.475*44/12</f>
        <v>1.7642240267529423</v>
      </c>
      <c r="EX111" s="23">
        <f>EXP(-LN(2)/2)*EX110+(1-EXP(-LN(2)/2))/(LN(2)/2)*ER111*EU111*VLOOKUP('Données projet'!$B$15,Paramètres!$A$1:$I$89,3,0)*0.475*44/12</f>
        <v>6.6327268898474634E-12</v>
      </c>
      <c r="EY111" s="24">
        <f t="shared" si="75"/>
        <v>3.826925718734044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>
        <f>FE111*VLOOKUP('Données projet'!$B$16,Paramètres!$A$1:$I$89,3,0)*VLOOKUP('Données projet'!$B$16,Paramètres!$A$1:$I$89,5,0)</f>
        <v>0</v>
      </c>
      <c r="FG111" s="14" t="e">
        <f t="shared" si="101"/>
        <v>#NUM!</v>
      </c>
      <c r="FH111" s="22" t="e">
        <f t="shared" si="76"/>
        <v>#NUM!</v>
      </c>
      <c r="FI111" s="62" t="e">
        <f t="shared" si="77"/>
        <v>#NUM!</v>
      </c>
      <c r="FJ111" s="62">
        <f ca="1">AVERAGE(OFFSET($FI$3,0,0,'Données projet'!$E$16+1,1))-AVERAGE(OFFSET($H$3,0,0,'Données projet'!$E$16+1,1))</f>
        <v>121.28977654040114</v>
      </c>
      <c r="FK111" s="62">
        <f t="shared" si="102"/>
        <v>615.69585264342595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23.693378669823069</v>
      </c>
      <c r="FR111" s="23">
        <f>EXP(-LN(2)/25)*FR110+(1-EXP(-LN(2)/25))/(LN(2)/25)*Calculateur!FM111*Calculateur!FO111*VLOOKUP('Données projet'!$B$16,Paramètres!$A$1:$I$89,3,0)*0.475*44/12</f>
        <v>2.846702663184431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26.5400813330075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317.99999999999972</v>
      </c>
      <c r="O112" s="14">
        <f>N112*VLOOKUP('Données projet'!$B$9,Paramètres!$A$1:$I$89,3,0)*VLOOKUP('Données projet'!$B$9,Paramètres!$A$1:$I$89,5,0)</f>
        <v>253.0007999999998</v>
      </c>
      <c r="P112" s="14">
        <f t="shared" si="87"/>
        <v>61.228070105968683</v>
      </c>
      <c r="Q112" s="22">
        <f t="shared" si="107"/>
        <v>547.28194876789507</v>
      </c>
      <c r="R112" s="62">
        <f t="shared" si="55"/>
        <v>840.61528210122833</v>
      </c>
      <c r="S112" s="62">
        <f ca="1">AVERAGE(OFFSET($R$3,0,0,'Données projet'!$E$9+1,1))-AVERAGE(OFFSET($H$3,0,0,'Données projet'!$E$9+1,1))</f>
        <v>352.5736659365665</v>
      </c>
      <c r="T112" s="62">
        <f t="shared" si="88"/>
        <v>343.77208530767069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2.819995782744209</v>
      </c>
      <c r="AA112" s="23">
        <f>EXP(-LN(2)/25)*AA111+(1-EXP(-LN(2)/25))/(LN(2)/25)*Calculateur!V112*Calculateur!X112*VLOOKUP('Données projet'!$B$9,Paramètres!$A$1:$I$89,3,0)*0.475*44/12</f>
        <v>2.6537129830688224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5.473708765813031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3.7243808037601412E-14</v>
      </c>
      <c r="AK112" s="14">
        <f t="shared" si="89"/>
        <v>6.2767589361185393E-13</v>
      </c>
      <c r="AL112" s="22">
        <f t="shared" si="58"/>
        <v>1.1580684803728015E-12</v>
      </c>
      <c r="AM112" s="62">
        <f t="shared" si="59"/>
        <v>293.33333333333445</v>
      </c>
      <c r="AN112" s="62">
        <f ca="1">AVERAGE(OFFSET($AM$3,0,0,'Données projet'!$E$10+1,1))-AVERAGE(OFFSET($H$3,0,0,'Données projet'!$E$10+1,1))</f>
        <v>210.08998695869161</v>
      </c>
      <c r="AO112" s="62">
        <f t="shared" si="90"/>
        <v>207.30911916430881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2.3758720135104767E-13</v>
      </c>
      <c r="AX112" s="23">
        <f t="shared" si="60"/>
        <v>2.3758720135104767E-13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</v>
      </c>
      <c r="BD112" s="13">
        <f>IF('Données projet'!$A$88&gt;35,BD111+BC112-BL111,IF(A112&lt;'Données projet'!$A$88,$BA$205^A112,IF(A112='Données projet'!$A$88,'Données projet'!$B$88,BD111+BC112-BL111)))</f>
        <v>326.99999999999989</v>
      </c>
      <c r="BE112" s="14">
        <f>BD112*VLOOKUP('Données projet'!$B$11,Paramètres!$A$1:$I$89,3,0)*VLOOKUP('Données projet'!$B$11,Paramètres!$A$1:$I$89,5,0)</f>
        <v>219.35159999999993</v>
      </c>
      <c r="BF112" s="14">
        <f t="shared" si="91"/>
        <v>53.973934984352134</v>
      </c>
      <c r="BG112" s="22">
        <f t="shared" si="61"/>
        <v>476.0419734310799</v>
      </c>
      <c r="BH112" s="62">
        <f t="shared" si="62"/>
        <v>769.37530676441315</v>
      </c>
      <c r="BI112" s="62">
        <f ca="1">AVERAGE(OFFSET($BH$3,0,0,'Données projet'!$E$11+1,1))-AVERAGE(OFFSET($H$3,0,0,'Données projet'!$E$11+1,1))</f>
        <v>335.83558218229564</v>
      </c>
      <c r="BJ112" s="62">
        <f t="shared" si="92"/>
        <v>217.08423061559648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2.6976086743763955E-11</v>
      </c>
      <c r="BS112" s="24">
        <f t="shared" si="63"/>
        <v>2.6976086743763955E-11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5.6843418860808015E-14</v>
      </c>
      <c r="BZ112" s="14">
        <f>BY112*VLOOKUP('Données projet'!$B$12,Paramètres!$A$1:$I$89,3,0)*VLOOKUP('Données projet'!$B$12,Paramètres!$A$1:$I$89,5,0)</f>
        <v>4.4337866711430253E-14</v>
      </c>
      <c r="CA112" s="14">
        <f t="shared" si="93"/>
        <v>7.3222115536967035E-13</v>
      </c>
      <c r="CB112" s="22">
        <f t="shared" si="64"/>
        <v>1.3525069634579169E-12</v>
      </c>
      <c r="CC112" s="62">
        <f t="shared" si="65"/>
        <v>293.33333333333468</v>
      </c>
      <c r="CD112" s="62">
        <f ca="1">AVERAGE(OFFSET($CC$3,0,0,'Données projet'!$E$12+1,1))-AVERAGE(OFFSET($H$3,0,0,'Données projet'!$E$12+1,1))</f>
        <v>288.82868507674738</v>
      </c>
      <c r="CE112" s="62">
        <f t="shared" si="94"/>
        <v>283.48738729114024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0.54503898080638369</v>
      </c>
      <c r="CM112" s="23">
        <f>EXP(-LN(2)/2)*CM111+(1-EXP(-LN(2)/2))/(LN(2)/2)*CG112*CJ112*VLOOKUP('Données projet'!$B$12,Paramètres!$A$1:$I$89,3,0)*0.475*44/12</f>
        <v>3.3181507180477687E-12</v>
      </c>
      <c r="CN112" s="24">
        <f t="shared" si="66"/>
        <v>0.54503898080970181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317.99999999999972</v>
      </c>
      <c r="CU112" s="18">
        <f>CT112*VLOOKUP('Données projet'!$B$13,Paramètres!$A$1:$I$89,3,0)*VLOOKUP('Données projet'!$B$13,Paramètres!$A$1:$I$89,5,0)</f>
        <v>277.80479999999983</v>
      </c>
      <c r="CV112" s="14">
        <f t="shared" si="95"/>
        <v>66.50288772038418</v>
      </c>
      <c r="CW112" s="22">
        <f t="shared" si="67"/>
        <v>599.66922277966887</v>
      </c>
      <c r="CX112" s="62">
        <f t="shared" si="68"/>
        <v>893.00255611300213</v>
      </c>
      <c r="CY112" s="62">
        <f ca="1">AVERAGE(OFFSET($CX$3,0,0,'Données projet'!$E$13+1,1))-AVERAGE(OFFSET($H$3,0,0,'Données projet'!$E$13+1,1))</f>
        <v>383.46266660377637</v>
      </c>
      <c r="CZ112" s="62">
        <f t="shared" si="96"/>
        <v>373.1287543230714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1.7962946476647819</v>
      </c>
      <c r="DH112" s="23">
        <f>EXP(-LN(2)/2)*DH111+(1-EXP(-LN(2)/2))/(LN(2)/2)*DB112*DE112*VLOOKUP('Données projet'!$B$13,Paramètres!$A$1:$I$89,3,0)*0.475*44/12</f>
        <v>2.7314726215697686E-11</v>
      </c>
      <c r="DI112" s="24">
        <f t="shared" si="69"/>
        <v>1.7962946476920967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>
        <f>DO112*VLOOKUP('Données projet'!$B$14,Paramètres!$A$1:$I$89,3,0)*VLOOKUP('Données projet'!$B$14,Paramètres!$A$1:$I$89,5,0)</f>
        <v>0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96.56611521638132</v>
      </c>
      <c r="DU112" s="62">
        <f t="shared" si="98"/>
        <v>465.03257878814094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17.240477026474316</v>
      </c>
      <c r="EB112" s="23">
        <f>EXP(-LN(2)/25)*EB111+(1-EXP(-LN(2)/25))/(LN(2)/25)*Calculateur!DW112*Calculateur!DY112*VLOOKUP('Données projet'!$B$14,Paramètres!$A$1:$I$89,3,0)*0.475*44/12</f>
        <v>2.0550578299572351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19.295534856431551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317.99999999999972</v>
      </c>
      <c r="EK112" s="18">
        <f>EJ112*VLOOKUP('Données projet'!$B$15,Paramètres!$A$1:$I$89,3,0)*VLOOKUP('Données projet'!$B$15,Paramètres!$A$1:$I$89,5,0)</f>
        <v>257.96159999999981</v>
      </c>
      <c r="EL112" s="14">
        <f t="shared" si="99"/>
        <v>62.287674609742425</v>
      </c>
      <c r="EM112" s="22">
        <f t="shared" si="73"/>
        <v>557.76748661196768</v>
      </c>
      <c r="EN112" s="62">
        <f t="shared" si="74"/>
        <v>851.10081994530105</v>
      </c>
      <c r="EO112" s="62">
        <f ca="1">AVERAGE(OFFSET($EN$3,0,0,'Données projet'!$E$15+1,1))-AVERAGE(OFFSET($H$3,0,0,'Données projet'!$E$15+1,1))</f>
        <v>358.75637627589799</v>
      </c>
      <c r="EP112" s="62">
        <f t="shared" si="100"/>
        <v>349.64821164483607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2.0222533699186518</v>
      </c>
      <c r="EW112" s="23">
        <f>EXP(-LN(2)/25)*EW111+(1-EXP(-LN(2)/25))/(LN(2)/25)*Calculateur!ER112*Calculateur!ET112*VLOOKUP('Données projet'!$B$15,Paramètres!$A$1:$I$89,3,0)*0.475*44/12</f>
        <v>1.7159812279648738</v>
      </c>
      <c r="EX112" s="23">
        <f>EXP(-LN(2)/2)*EX111+(1-EXP(-LN(2)/2))/(LN(2)/2)*ER112*EU112*VLOOKUP('Données projet'!$B$15,Paramètres!$A$1:$I$89,3,0)*0.475*44/12</f>
        <v>4.6900461615695002E-12</v>
      </c>
      <c r="EY112" s="24">
        <f t="shared" si="75"/>
        <v>3.7382345978882157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>
        <f>FE112*VLOOKUP('Données projet'!$B$16,Paramètres!$A$1:$I$89,3,0)*VLOOKUP('Données projet'!$B$16,Paramètres!$A$1:$I$89,5,0)</f>
        <v>0</v>
      </c>
      <c r="FG112" s="14" t="e">
        <f t="shared" si="101"/>
        <v>#NUM!</v>
      </c>
      <c r="FH112" s="22" t="e">
        <f t="shared" si="76"/>
        <v>#NUM!</v>
      </c>
      <c r="FI112" s="62" t="e">
        <f t="shared" si="77"/>
        <v>#NUM!</v>
      </c>
      <c r="FJ112" s="62">
        <f ca="1">AVERAGE(OFFSET($FI$3,0,0,'Données projet'!$E$16+1,1))-AVERAGE(OFFSET($H$3,0,0,'Données projet'!$E$16+1,1))</f>
        <v>121.28977654040114</v>
      </c>
      <c r="FK112" s="62">
        <f t="shared" si="102"/>
        <v>615.69585264342595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23.228765965641855</v>
      </c>
      <c r="FR112" s="23">
        <f>EXP(-LN(2)/25)*FR111+(1-EXP(-LN(2)/25))/(LN(2)/25)*Calculateur!FM112*Calculateur!FO112*VLOOKUP('Données projet'!$B$16,Paramètres!$A$1:$I$89,3,0)*0.475*44/12</f>
        <v>2.7688594291580659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25.997625394799922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317.99999999999972</v>
      </c>
      <c r="O113" s="14">
        <f>N113*VLOOKUP('Données projet'!$B$9,Paramètres!$A$1:$I$89,3,0)*VLOOKUP('Données projet'!$B$9,Paramètres!$A$1:$I$89,5,0)</f>
        <v>253.0007999999998</v>
      </c>
      <c r="P113" s="14">
        <f t="shared" si="87"/>
        <v>61.228070105968683</v>
      </c>
      <c r="Q113" s="22">
        <f t="shared" si="107"/>
        <v>547.28194876789507</v>
      </c>
      <c r="R113" s="62">
        <f t="shared" si="55"/>
        <v>840.61528210122833</v>
      </c>
      <c r="S113" s="62">
        <f ca="1">AVERAGE(OFFSET($R$3,0,0,'Données projet'!$E$9+1,1))-AVERAGE(OFFSET($H$3,0,0,'Données projet'!$E$9+1,1))</f>
        <v>352.5736659365665</v>
      </c>
      <c r="T113" s="62">
        <f t="shared" si="88"/>
        <v>343.77208530767069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2.7646973854721839</v>
      </c>
      <c r="AA113" s="23">
        <f>EXP(-LN(2)/25)*AA112+(1-EXP(-LN(2)/25))/(LN(2)/25)*Calculateur!V113*Calculateur!X113*VLOOKUP('Données projet'!$B$9,Paramètres!$A$1:$I$89,3,0)*0.475*44/12</f>
        <v>2.581147061994105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5.3458444474662894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3.7243808037601412E-14</v>
      </c>
      <c r="AK113" s="14">
        <f t="shared" si="89"/>
        <v>6.2767589361185393E-13</v>
      </c>
      <c r="AL113" s="22">
        <f t="shared" si="58"/>
        <v>1.1580684803728015E-12</v>
      </c>
      <c r="AM113" s="62">
        <f t="shared" si="59"/>
        <v>293.33333333333445</v>
      </c>
      <c r="AN113" s="62">
        <f ca="1">AVERAGE(OFFSET($AM$3,0,0,'Données projet'!$E$10+1,1))-AVERAGE(OFFSET($H$3,0,0,'Données projet'!$E$10+1,1))</f>
        <v>210.08998695869161</v>
      </c>
      <c r="AO113" s="62">
        <f t="shared" si="90"/>
        <v>207.30911916430881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1.6799952119845948E-13</v>
      </c>
      <c r="AX113" s="23">
        <f t="shared" si="60"/>
        <v>1.6799952119845948E-13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332</v>
      </c>
      <c r="BB113" s="13">
        <f>VLOOKUP(A113,'Données projet'!$A$87:$I$107,9,0)</f>
        <v>5</v>
      </c>
      <c r="BC113" s="13">
        <f t="array" ref="BC113">INDEX(BB:BB,MIN(IF(ISNUMBER(BB113:BB309),ROW(BB113:BB309),"")))</f>
        <v>5</v>
      </c>
      <c r="BD113" s="13">
        <f>IF('Données projet'!$A$88&gt;35,BD112+BC113-BL112,IF(A113&lt;'Données projet'!$A$88,$BA$205^A113,IF(A113='Données projet'!$A$88,'Données projet'!$B$88,BD112+BC113-BL112)))</f>
        <v>331.99999999999989</v>
      </c>
      <c r="BE113" s="14">
        <f>BD113*VLOOKUP('Données projet'!$B$11,Paramètres!$A$1:$I$89,3,0)*VLOOKUP('Données projet'!$B$11,Paramètres!$A$1:$I$89,5,0)</f>
        <v>222.70559999999995</v>
      </c>
      <c r="BF113" s="14">
        <f t="shared" si="91"/>
        <v>54.702515528198902</v>
      </c>
      <c r="BG113" s="22">
        <f t="shared" si="61"/>
        <v>483.15246787827965</v>
      </c>
      <c r="BH113" s="62">
        <f t="shared" si="62"/>
        <v>776.48580121161297</v>
      </c>
      <c r="BI113" s="62">
        <f ca="1">AVERAGE(OFFSET($BH$3,0,0,'Données projet'!$E$11+1,1))-AVERAGE(OFFSET($H$3,0,0,'Données projet'!$E$11+1,1))</f>
        <v>335.83558218229564</v>
      </c>
      <c r="BJ113" s="62">
        <f t="shared" si="92"/>
        <v>217.08423061559648</v>
      </c>
      <c r="BK113" s="16">
        <f>IF(ISNA(VLOOKUP(A113,'Données projet'!$A$87:$I$107,3,0)),0,VLOOKUP(A113,'Données projet'!$A$87:$I$107,3,0))</f>
        <v>19</v>
      </c>
      <c r="BL113" s="16">
        <f>IF(ISNA(VLOOKUP(A113,'Données projet'!$A$87:$I$107,4,0)),0,VLOOKUP(A113,'Données projet'!$A$87:$I$107,4,0))</f>
        <v>25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1.9074973866392024E-11</v>
      </c>
      <c r="BS113" s="24">
        <f t="shared" si="63"/>
        <v>1.9074973866392024E-11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5.6843418860808015E-14</v>
      </c>
      <c r="BZ113" s="14">
        <f>BY113*VLOOKUP('Données projet'!$B$12,Paramètres!$A$1:$I$89,3,0)*VLOOKUP('Données projet'!$B$12,Paramètres!$A$1:$I$89,5,0)</f>
        <v>4.4337866711430253E-14</v>
      </c>
      <c r="CA113" s="14">
        <f t="shared" si="93"/>
        <v>7.3222115536967035E-13</v>
      </c>
      <c r="CB113" s="22">
        <f t="shared" si="64"/>
        <v>1.3525069634579169E-12</v>
      </c>
      <c r="CC113" s="62">
        <f t="shared" si="65"/>
        <v>293.33333333333468</v>
      </c>
      <c r="CD113" s="62">
        <f ca="1">AVERAGE(OFFSET($CC$3,0,0,'Données projet'!$E$12+1,1))-AVERAGE(OFFSET($H$3,0,0,'Données projet'!$E$12+1,1))</f>
        <v>288.82868507674738</v>
      </c>
      <c r="CE113" s="62">
        <f t="shared" si="94"/>
        <v>283.48738729114024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0.53013486121387887</v>
      </c>
      <c r="CM113" s="23">
        <f>EXP(-LN(2)/2)*CM112+(1-EXP(-LN(2)/2))/(LN(2)/2)*CG113*CJ113*VLOOKUP('Données projet'!$B$12,Paramètres!$A$1:$I$89,3,0)*0.475*44/12</f>
        <v>2.3462868737305891E-12</v>
      </c>
      <c r="CN113" s="24">
        <f t="shared" si="66"/>
        <v>0.53013486121622511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317.99999999999972</v>
      </c>
      <c r="CU113" s="18">
        <f>CT113*VLOOKUP('Données projet'!$B$13,Paramètres!$A$1:$I$89,3,0)*VLOOKUP('Données projet'!$B$13,Paramètres!$A$1:$I$89,5,0)</f>
        <v>277.80479999999983</v>
      </c>
      <c r="CV113" s="14">
        <f t="shared" si="95"/>
        <v>66.50288772038418</v>
      </c>
      <c r="CW113" s="22">
        <f t="shared" si="67"/>
        <v>599.66922277966887</v>
      </c>
      <c r="CX113" s="62">
        <f t="shared" si="68"/>
        <v>893.00255611300213</v>
      </c>
      <c r="CY113" s="62">
        <f ca="1">AVERAGE(OFFSET($CX$3,0,0,'Données projet'!$E$13+1,1))-AVERAGE(OFFSET($H$3,0,0,'Données projet'!$E$13+1,1))</f>
        <v>383.46266660377637</v>
      </c>
      <c r="CZ113" s="62">
        <f t="shared" si="96"/>
        <v>373.1287543230714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1.7471748760613584</v>
      </c>
      <c r="DH113" s="23">
        <f>EXP(-LN(2)/2)*DH112+(1-EXP(-LN(2)/2))/(LN(2)/2)*DB113*DE113*VLOOKUP('Données projet'!$B$13,Paramètres!$A$1:$I$89,3,0)*0.475*44/12</f>
        <v>1.9314428133373797E-11</v>
      </c>
      <c r="DI113" s="24">
        <f t="shared" si="69"/>
        <v>1.7471748760806727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>
        <f>DO113*VLOOKUP('Données projet'!$B$14,Paramètres!$A$1:$I$89,3,0)*VLOOKUP('Données projet'!$B$14,Paramètres!$A$1:$I$89,5,0)</f>
        <v>0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96.56611521638132</v>
      </c>
      <c r="DU113" s="62">
        <f t="shared" si="98"/>
        <v>465.03257878814094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16.902401787637807</v>
      </c>
      <c r="EB113" s="23">
        <f>EXP(-LN(2)/25)*EB112+(1-EXP(-LN(2)/25))/(LN(2)/25)*Calculateur!DW113*Calculateur!DY113*VLOOKUP('Données projet'!$B$14,Paramètres!$A$1:$I$89,3,0)*0.475*44/12</f>
        <v>1.9988621655262602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18.901263953164069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317.99999999999972</v>
      </c>
      <c r="EK113" s="18">
        <f>EJ113*VLOOKUP('Données projet'!$B$15,Paramètres!$A$1:$I$89,3,0)*VLOOKUP('Données projet'!$B$15,Paramètres!$A$1:$I$89,5,0)</f>
        <v>257.96159999999981</v>
      </c>
      <c r="EL113" s="14">
        <f t="shared" si="99"/>
        <v>62.287674609742425</v>
      </c>
      <c r="EM113" s="22">
        <f t="shared" si="73"/>
        <v>557.76748661196768</v>
      </c>
      <c r="EN113" s="62">
        <f t="shared" si="74"/>
        <v>851.10081994530105</v>
      </c>
      <c r="EO113" s="62">
        <f ca="1">AVERAGE(OFFSET($EN$3,0,0,'Données projet'!$E$15+1,1))-AVERAGE(OFFSET($H$3,0,0,'Données projet'!$E$15+1,1))</f>
        <v>358.75637627589799</v>
      </c>
      <c r="EP113" s="62">
        <f t="shared" si="100"/>
        <v>349.64821164483607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1.9825982147873094</v>
      </c>
      <c r="EW113" s="23">
        <f>EXP(-LN(2)/25)*EW112+(1-EXP(-LN(2)/25))/(LN(2)/25)*Calculateur!ER113*Calculateur!ET113*VLOOKUP('Données projet'!$B$15,Paramètres!$A$1:$I$89,3,0)*0.475*44/12</f>
        <v>1.6690576310466436</v>
      </c>
      <c r="EX113" s="23">
        <f>EXP(-LN(2)/2)*EX112+(1-EXP(-LN(2)/2))/(LN(2)/2)*ER113*EU113*VLOOKUP('Données projet'!$B$15,Paramètres!$A$1:$I$89,3,0)*0.475*44/12</f>
        <v>3.3163634449237317E-12</v>
      </c>
      <c r="EY113" s="24">
        <f t="shared" si="75"/>
        <v>3.6516558458372694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>
        <f>FE113*VLOOKUP('Données projet'!$B$16,Paramètres!$A$1:$I$89,3,0)*VLOOKUP('Données projet'!$B$16,Paramètres!$A$1:$I$89,5,0)</f>
        <v>0</v>
      </c>
      <c r="FG113" s="14" t="e">
        <f t="shared" si="101"/>
        <v>#NUM!</v>
      </c>
      <c r="FH113" s="22" t="e">
        <f t="shared" si="76"/>
        <v>#NUM!</v>
      </c>
      <c r="FI113" s="62" t="e">
        <f t="shared" si="77"/>
        <v>#NUM!</v>
      </c>
      <c r="FJ113" s="62">
        <f ca="1">AVERAGE(OFFSET($FI$3,0,0,'Données projet'!$E$16+1,1))-AVERAGE(OFFSET($H$3,0,0,'Données projet'!$E$16+1,1))</f>
        <v>121.28977654040114</v>
      </c>
      <c r="FK113" s="62">
        <f t="shared" si="102"/>
        <v>615.69585264342595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22.773264033203869</v>
      </c>
      <c r="FR113" s="23">
        <f>EXP(-LN(2)/25)*FR112+(1-EXP(-LN(2)/25))/(LN(2)/25)*Calculateur!FM113*Calculateur!FO113*VLOOKUP('Données projet'!$B$16,Paramètres!$A$1:$I$89,3,0)*0.475*44/12</f>
        <v>2.6931448224597494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25.466408855663619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317.99999999999972</v>
      </c>
      <c r="O114" s="14">
        <f>N114*VLOOKUP('Données projet'!$B$9,Paramètres!$A$1:$I$89,3,0)*VLOOKUP('Données projet'!$B$9,Paramètres!$A$1:$I$89,5,0)</f>
        <v>253.0007999999998</v>
      </c>
      <c r="P114" s="14">
        <f t="shared" si="87"/>
        <v>61.228070105968683</v>
      </c>
      <c r="Q114" s="22">
        <f t="shared" si="107"/>
        <v>547.28194876789507</v>
      </c>
      <c r="R114" s="62">
        <f t="shared" si="55"/>
        <v>840.61528210122833</v>
      </c>
      <c r="S114" s="62">
        <f ca="1">AVERAGE(OFFSET($R$3,0,0,'Données projet'!$E$9+1,1))-AVERAGE(OFFSET($H$3,0,0,'Données projet'!$E$9+1,1))</f>
        <v>352.5736659365665</v>
      </c>
      <c r="T114" s="62">
        <f t="shared" si="88"/>
        <v>343.77208530767069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2.7104833560419714</v>
      </c>
      <c r="AA114" s="23">
        <f>EXP(-LN(2)/25)*AA113+(1-EXP(-LN(2)/25))/(LN(2)/25)*Calculateur!V114*Calculateur!X114*VLOOKUP('Données projet'!$B$9,Paramètres!$A$1:$I$89,3,0)*0.475*44/12</f>
        <v>2.5105654598472515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5.2210488158892225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3.7243808037601412E-14</v>
      </c>
      <c r="AK114" s="14">
        <f t="shared" si="89"/>
        <v>6.2767589361185393E-13</v>
      </c>
      <c r="AL114" s="22">
        <f t="shared" si="58"/>
        <v>1.1580684803728015E-12</v>
      </c>
      <c r="AM114" s="62">
        <f t="shared" si="59"/>
        <v>293.33333333333445</v>
      </c>
      <c r="AN114" s="62">
        <f ca="1">AVERAGE(OFFSET($AM$3,0,0,'Données projet'!$E$10+1,1))-AVERAGE(OFFSET($H$3,0,0,'Données projet'!$E$10+1,1))</f>
        <v>210.08998695869161</v>
      </c>
      <c r="AO114" s="62">
        <f t="shared" si="90"/>
        <v>207.30911916430881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1.1879360067552383E-13</v>
      </c>
      <c r="AX114" s="23">
        <f t="shared" si="60"/>
        <v>1.1879360067552383E-13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4.5999999999999996</v>
      </c>
      <c r="BD114" s="13">
        <f>IF('Données projet'!$A$88&gt;35,BD113+BC114-BL113,IF(A114&lt;'Données projet'!$A$88,$BA$205^A114,IF(A114='Données projet'!$A$88,'Données projet'!$B$88,BD113+BC114-BL113)))</f>
        <v>311.59999999999991</v>
      </c>
      <c r="BE114" s="14">
        <f>BD114*VLOOKUP('Données projet'!$B$11,Paramètres!$A$1:$I$89,3,0)*VLOOKUP('Données projet'!$B$11,Paramètres!$A$1:$I$89,5,0)</f>
        <v>209.02127999999996</v>
      </c>
      <c r="BF114" s="14">
        <f t="shared" si="91"/>
        <v>51.72165264063711</v>
      </c>
      <c r="BG114" s="22">
        <f t="shared" si="61"/>
        <v>454.12727434910954</v>
      </c>
      <c r="BH114" s="62">
        <f t="shared" si="62"/>
        <v>747.46060768244286</v>
      </c>
      <c r="BI114" s="62">
        <f ca="1">AVERAGE(OFFSET($BH$3,0,0,'Données projet'!$E$11+1,1))-AVERAGE(OFFSET($H$3,0,0,'Données projet'!$E$11+1,1))</f>
        <v>335.83558218229564</v>
      </c>
      <c r="BJ114" s="62">
        <f t="shared" si="92"/>
        <v>217.08423061559648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1.3488043371881977E-11</v>
      </c>
      <c r="BS114" s="24">
        <f t="shared" si="63"/>
        <v>1.3488043371881977E-11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5.6843418860808015E-14</v>
      </c>
      <c r="BZ114" s="14">
        <f>BY114*VLOOKUP('Données projet'!$B$12,Paramètres!$A$1:$I$89,3,0)*VLOOKUP('Données projet'!$B$12,Paramètres!$A$1:$I$89,5,0)</f>
        <v>4.4337866711430253E-14</v>
      </c>
      <c r="CA114" s="14">
        <f t="shared" si="93"/>
        <v>7.3222115536967035E-13</v>
      </c>
      <c r="CB114" s="22">
        <f t="shared" si="64"/>
        <v>1.3525069634579169E-12</v>
      </c>
      <c r="CC114" s="62">
        <f t="shared" si="65"/>
        <v>293.33333333333468</v>
      </c>
      <c r="CD114" s="62">
        <f ca="1">AVERAGE(OFFSET($CC$3,0,0,'Données projet'!$E$12+1,1))-AVERAGE(OFFSET($H$3,0,0,'Données projet'!$E$12+1,1))</f>
        <v>288.82868507674738</v>
      </c>
      <c r="CE114" s="62">
        <f t="shared" si="94"/>
        <v>283.48738729114024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0.51563829555540464</v>
      </c>
      <c r="CM114" s="23">
        <f>EXP(-LN(2)/2)*CM113+(1-EXP(-LN(2)/2))/(LN(2)/2)*CG114*CJ114*VLOOKUP('Données projet'!$B$12,Paramètres!$A$1:$I$89,3,0)*0.475*44/12</f>
        <v>1.6590753590238843E-12</v>
      </c>
      <c r="CN114" s="24">
        <f t="shared" si="66"/>
        <v>0.51563829555706375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317.99999999999972</v>
      </c>
      <c r="CU114" s="18">
        <f>CT114*VLOOKUP('Données projet'!$B$13,Paramètres!$A$1:$I$89,3,0)*VLOOKUP('Données projet'!$B$13,Paramètres!$A$1:$I$89,5,0)</f>
        <v>277.80479999999983</v>
      </c>
      <c r="CV114" s="14">
        <f t="shared" si="95"/>
        <v>66.50288772038418</v>
      </c>
      <c r="CW114" s="22">
        <f t="shared" si="67"/>
        <v>599.66922277966887</v>
      </c>
      <c r="CX114" s="62">
        <f t="shared" si="68"/>
        <v>893.00255611300213</v>
      </c>
      <c r="CY114" s="62">
        <f ca="1">AVERAGE(OFFSET($CX$3,0,0,'Données projet'!$E$13+1,1))-AVERAGE(OFFSET($H$3,0,0,'Données projet'!$E$13+1,1))</f>
        <v>383.46266660377637</v>
      </c>
      <c r="CZ114" s="62">
        <f t="shared" si="96"/>
        <v>373.1287543230714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1.6993982871955271</v>
      </c>
      <c r="DH114" s="23">
        <f>EXP(-LN(2)/2)*DH113+(1-EXP(-LN(2)/2))/(LN(2)/2)*DB114*DE114*VLOOKUP('Données projet'!$B$13,Paramètres!$A$1:$I$89,3,0)*0.475*44/12</f>
        <v>1.3657363107848843E-11</v>
      </c>
      <c r="DI114" s="24">
        <f t="shared" si="69"/>
        <v>1.6993982872091844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>
        <f>DO114*VLOOKUP('Données projet'!$B$14,Paramètres!$A$1:$I$89,3,0)*VLOOKUP('Données projet'!$B$14,Paramètres!$A$1:$I$89,5,0)</f>
        <v>0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96.56611521638132</v>
      </c>
      <c r="DU114" s="62">
        <f t="shared" si="98"/>
        <v>465.03257878814094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16.570955998029348</v>
      </c>
      <c r="EB114" s="23">
        <f>EXP(-LN(2)/25)*EB113+(1-EXP(-LN(2)/25))/(LN(2)/25)*Calculateur!DW114*Calculateur!DY114*VLOOKUP('Données projet'!$B$14,Paramètres!$A$1:$I$89,3,0)*0.475*44/12</f>
        <v>1.9442031744943518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18.515159172523699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317.99999999999972</v>
      </c>
      <c r="EK114" s="18">
        <f>EJ114*VLOOKUP('Données projet'!$B$15,Paramètres!$A$1:$I$89,3,0)*VLOOKUP('Données projet'!$B$15,Paramètres!$A$1:$I$89,5,0)</f>
        <v>257.96159999999981</v>
      </c>
      <c r="EL114" s="14">
        <f t="shared" si="99"/>
        <v>62.287674609742425</v>
      </c>
      <c r="EM114" s="22">
        <f t="shared" si="73"/>
        <v>557.76748661196768</v>
      </c>
      <c r="EN114" s="62">
        <f t="shared" si="74"/>
        <v>851.10081994530105</v>
      </c>
      <c r="EO114" s="62">
        <f ca="1">AVERAGE(OFFSET($EN$3,0,0,'Données projet'!$E$15+1,1))-AVERAGE(OFFSET($H$3,0,0,'Données projet'!$E$15+1,1))</f>
        <v>358.75637627589799</v>
      </c>
      <c r="EP114" s="62">
        <f t="shared" si="100"/>
        <v>349.64821164483607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1.9437206730608363</v>
      </c>
      <c r="EW114" s="23">
        <f>EXP(-LN(2)/25)*EW113+(1-EXP(-LN(2)/25))/(LN(2)/25)*Calculateur!ER114*Calculateur!ET114*VLOOKUP('Données projet'!$B$15,Paramètres!$A$1:$I$89,3,0)*0.475*44/12</f>
        <v>1.623417162353747</v>
      </c>
      <c r="EX114" s="23">
        <f>EXP(-LN(2)/2)*EX113+(1-EXP(-LN(2)/2))/(LN(2)/2)*ER114*EU114*VLOOKUP('Données projet'!$B$15,Paramètres!$A$1:$I$89,3,0)*0.475*44/12</f>
        <v>2.3450230807847501E-12</v>
      </c>
      <c r="EY114" s="24">
        <f t="shared" si="75"/>
        <v>3.5671378354169287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>
        <f>FE114*VLOOKUP('Données projet'!$B$16,Paramètres!$A$1:$I$89,3,0)*VLOOKUP('Données projet'!$B$16,Paramètres!$A$1:$I$89,5,0)</f>
        <v>0</v>
      </c>
      <c r="FG114" s="14" t="e">
        <f t="shared" si="101"/>
        <v>#NUM!</v>
      </c>
      <c r="FH114" s="22" t="e">
        <f t="shared" si="76"/>
        <v>#NUM!</v>
      </c>
      <c r="FI114" s="62" t="e">
        <f t="shared" si="77"/>
        <v>#NUM!</v>
      </c>
      <c r="FJ114" s="62">
        <f ca="1">AVERAGE(OFFSET($FI$3,0,0,'Données projet'!$E$16+1,1))-AVERAGE(OFFSET($H$3,0,0,'Données projet'!$E$16+1,1))</f>
        <v>121.28977654040114</v>
      </c>
      <c r="FK114" s="62">
        <f t="shared" si="102"/>
        <v>615.69585264342595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22.326694215832248</v>
      </c>
      <c r="FR114" s="23">
        <f>EXP(-LN(2)/25)*FR113+(1-EXP(-LN(2)/25))/(LN(2)/25)*Calculateur!FM114*Calculateur!FO114*VLOOKUP('Données projet'!$B$16,Paramètres!$A$1:$I$89,3,0)*0.475*44/12</f>
        <v>2.6195006356632566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24.946194851495505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317.99999999999972</v>
      </c>
      <c r="O115" s="14">
        <f>N115*VLOOKUP('Données projet'!$B$9,Paramètres!$A$1:$I$89,3,0)*VLOOKUP('Données projet'!$B$9,Paramètres!$A$1:$I$89,5,0)</f>
        <v>253.0007999999998</v>
      </c>
      <c r="P115" s="14">
        <f t="shared" si="87"/>
        <v>61.228070105968683</v>
      </c>
      <c r="Q115" s="22">
        <f t="shared" si="107"/>
        <v>547.28194876789507</v>
      </c>
      <c r="R115" s="62">
        <f t="shared" si="55"/>
        <v>840.61528210122833</v>
      </c>
      <c r="S115" s="62">
        <f ca="1">AVERAGE(OFFSET($R$3,0,0,'Données projet'!$E$9+1,1))-AVERAGE(OFFSET($H$3,0,0,'Données projet'!$E$9+1,1))</f>
        <v>352.5736659365665</v>
      </c>
      <c r="T115" s="62">
        <f t="shared" si="88"/>
        <v>343.77208530767069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2.6573324306615924</v>
      </c>
      <c r="AA115" s="23">
        <f>EXP(-LN(2)/25)*AA114+(1-EXP(-LN(2)/25))/(LN(2)/25)*Calculateur!V115*Calculateur!X115*VLOOKUP('Données projet'!$B$9,Paramètres!$A$1:$I$89,3,0)*0.475*44/12</f>
        <v>2.4419139153228291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5.0992463459844215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3.7243808037601412E-14</v>
      </c>
      <c r="AK115" s="14">
        <f t="shared" si="89"/>
        <v>6.2767589361185393E-13</v>
      </c>
      <c r="AL115" s="22">
        <f t="shared" si="58"/>
        <v>1.1580684803728015E-12</v>
      </c>
      <c r="AM115" s="62">
        <f t="shared" si="59"/>
        <v>293.33333333333445</v>
      </c>
      <c r="AN115" s="62">
        <f ca="1">AVERAGE(OFFSET($AM$3,0,0,'Données projet'!$E$10+1,1))-AVERAGE(OFFSET($H$3,0,0,'Données projet'!$E$10+1,1))</f>
        <v>210.08998695869161</v>
      </c>
      <c r="AO115" s="62">
        <f t="shared" si="90"/>
        <v>207.30911916430881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8.3999760599229738E-14</v>
      </c>
      <c r="AX115" s="23">
        <f t="shared" si="60"/>
        <v>8.3999760599229738E-14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4.5999999999999996</v>
      </c>
      <c r="BD115" s="13">
        <f>IF('Données projet'!$A$88&gt;35,BD114+BC115-BL114,IF(A115&lt;'Données projet'!$A$88,$BA$205^A115,IF(A115='Données projet'!$A$88,'Données projet'!$B$88,BD114+BC115-BL114)))</f>
        <v>316.19999999999993</v>
      </c>
      <c r="BE115" s="14">
        <f>BD115*VLOOKUP('Données projet'!$B$11,Paramètres!$A$1:$I$89,3,0)*VLOOKUP('Données projet'!$B$11,Paramètres!$A$1:$I$89,5,0)</f>
        <v>212.10695999999999</v>
      </c>
      <c r="BF115" s="14">
        <f t="shared" si="91"/>
        <v>52.395741612408244</v>
      </c>
      <c r="BG115" s="22">
        <f t="shared" si="61"/>
        <v>460.67553864161101</v>
      </c>
      <c r="BH115" s="62">
        <f t="shared" si="62"/>
        <v>754.00887197494433</v>
      </c>
      <c r="BI115" s="62">
        <f ca="1">AVERAGE(OFFSET($BH$3,0,0,'Données projet'!$E$11+1,1))-AVERAGE(OFFSET($H$3,0,0,'Données projet'!$E$11+1,1))</f>
        <v>335.83558218229564</v>
      </c>
      <c r="BJ115" s="62">
        <f t="shared" si="92"/>
        <v>217.08423061559648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9.5374869331960119E-12</v>
      </c>
      <c r="BS115" s="24">
        <f t="shared" si="63"/>
        <v>9.5374869331960119E-12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5.6843418860808015E-14</v>
      </c>
      <c r="BZ115" s="14">
        <f>BY115*VLOOKUP('Données projet'!$B$12,Paramètres!$A$1:$I$89,3,0)*VLOOKUP('Données projet'!$B$12,Paramètres!$A$1:$I$89,5,0)</f>
        <v>4.4337866711430253E-14</v>
      </c>
      <c r="CA115" s="14">
        <f t="shared" si="93"/>
        <v>7.3222115536967035E-13</v>
      </c>
      <c r="CB115" s="22">
        <f t="shared" si="64"/>
        <v>1.3525069634579169E-12</v>
      </c>
      <c r="CC115" s="62">
        <f t="shared" si="65"/>
        <v>293.33333333333468</v>
      </c>
      <c r="CD115" s="62">
        <f ca="1">AVERAGE(OFFSET($CC$3,0,0,'Données projet'!$E$12+1,1))-AVERAGE(OFFSET($H$3,0,0,'Données projet'!$E$12+1,1))</f>
        <v>288.82868507674738</v>
      </c>
      <c r="CE115" s="62">
        <f t="shared" si="94"/>
        <v>283.48738729114024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0.50153813924720259</v>
      </c>
      <c r="CM115" s="23">
        <f>EXP(-LN(2)/2)*CM114+(1-EXP(-LN(2)/2))/(LN(2)/2)*CG115*CJ115*VLOOKUP('Données projet'!$B$12,Paramètres!$A$1:$I$89,3,0)*0.475*44/12</f>
        <v>1.1731434368652945E-12</v>
      </c>
      <c r="CN115" s="24">
        <f t="shared" si="66"/>
        <v>0.50153813924837576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317.99999999999972</v>
      </c>
      <c r="CU115" s="18">
        <f>CT115*VLOOKUP('Données projet'!$B$13,Paramètres!$A$1:$I$89,3,0)*VLOOKUP('Données projet'!$B$13,Paramètres!$A$1:$I$89,5,0)</f>
        <v>277.80479999999983</v>
      </c>
      <c r="CV115" s="14">
        <f t="shared" si="95"/>
        <v>66.50288772038418</v>
      </c>
      <c r="CW115" s="22">
        <f t="shared" si="67"/>
        <v>599.66922277966887</v>
      </c>
      <c r="CX115" s="62">
        <f t="shared" si="68"/>
        <v>893.00255611300213</v>
      </c>
      <c r="CY115" s="62">
        <f ca="1">AVERAGE(OFFSET($CX$3,0,0,'Données projet'!$E$13+1,1))-AVERAGE(OFFSET($H$3,0,0,'Données projet'!$E$13+1,1))</f>
        <v>383.46266660377637</v>
      </c>
      <c r="CZ115" s="62">
        <f t="shared" si="96"/>
        <v>373.1287543230714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1.6529281516646934</v>
      </c>
      <c r="DH115" s="23">
        <f>EXP(-LN(2)/2)*DH114+(1-EXP(-LN(2)/2))/(LN(2)/2)*DB115*DE115*VLOOKUP('Données projet'!$B$13,Paramètres!$A$1:$I$89,3,0)*0.475*44/12</f>
        <v>9.6572140666868984E-12</v>
      </c>
      <c r="DI115" s="24">
        <f t="shared" si="69"/>
        <v>1.6529281516743506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>
        <f>DO115*VLOOKUP('Données projet'!$B$14,Paramètres!$A$1:$I$89,3,0)*VLOOKUP('Données projet'!$B$14,Paramètres!$A$1:$I$89,5,0)</f>
        <v>0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96.56611521638132</v>
      </c>
      <c r="DU115" s="62">
        <f t="shared" si="98"/>
        <v>465.03257878814094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16.246009658193138</v>
      </c>
      <c r="EB115" s="23">
        <f>EXP(-LN(2)/25)*EB114+(1-EXP(-LN(2)/25))/(LN(2)/25)*Calculateur!DW115*Calculateur!DY115*VLOOKUP('Données projet'!$B$14,Paramètres!$A$1:$I$89,3,0)*0.475*44/12</f>
        <v>1.8910388364466022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18.137048494639739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317.99999999999972</v>
      </c>
      <c r="EK115" s="18">
        <f>EJ115*VLOOKUP('Données projet'!$B$15,Paramètres!$A$1:$I$89,3,0)*VLOOKUP('Données projet'!$B$15,Paramètres!$A$1:$I$89,5,0)</f>
        <v>257.96159999999981</v>
      </c>
      <c r="EL115" s="14">
        <f t="shared" si="99"/>
        <v>62.287674609742425</v>
      </c>
      <c r="EM115" s="22">
        <f t="shared" si="73"/>
        <v>557.76748661196768</v>
      </c>
      <c r="EN115" s="62">
        <f t="shared" si="74"/>
        <v>851.10081994530105</v>
      </c>
      <c r="EO115" s="62">
        <f ca="1">AVERAGE(OFFSET($EN$3,0,0,'Données projet'!$E$15+1,1))-AVERAGE(OFFSET($H$3,0,0,'Données projet'!$E$15+1,1))</f>
        <v>358.75637627589799</v>
      </c>
      <c r="EP115" s="62">
        <f t="shared" si="100"/>
        <v>349.64821164483607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1.9056054962146602</v>
      </c>
      <c r="EW115" s="23">
        <f>EXP(-LN(2)/25)*EW114+(1-EXP(-LN(2)/25))/(LN(2)/25)*Calculateur!ER115*Calculateur!ET115*VLOOKUP('Données projet'!$B$15,Paramètres!$A$1:$I$89,3,0)*0.475*44/12</f>
        <v>1.5790247346773856</v>
      </c>
      <c r="EX115" s="23">
        <f>EXP(-LN(2)/2)*EX114+(1-EXP(-LN(2)/2))/(LN(2)/2)*ER115*EU115*VLOOKUP('Données projet'!$B$15,Paramètres!$A$1:$I$89,3,0)*0.475*44/12</f>
        <v>1.6581817224618659E-12</v>
      </c>
      <c r="EY115" s="24">
        <f t="shared" si="75"/>
        <v>3.4846302308937043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>
        <f>FE115*VLOOKUP('Données projet'!$B$16,Paramètres!$A$1:$I$89,3,0)*VLOOKUP('Données projet'!$B$16,Paramètres!$A$1:$I$89,5,0)</f>
        <v>0</v>
      </c>
      <c r="FG115" s="14" t="e">
        <f t="shared" si="101"/>
        <v>#NUM!</v>
      </c>
      <c r="FH115" s="22" t="e">
        <f t="shared" si="76"/>
        <v>#NUM!</v>
      </c>
      <c r="FI115" s="62" t="e">
        <f t="shared" si="77"/>
        <v>#NUM!</v>
      </c>
      <c r="FJ115" s="62">
        <f ca="1">AVERAGE(OFFSET($FI$3,0,0,'Données projet'!$E$16+1,1))-AVERAGE(OFFSET($H$3,0,0,'Données projet'!$E$16+1,1))</f>
        <v>121.28977654040114</v>
      </c>
      <c r="FK115" s="62">
        <f t="shared" si="102"/>
        <v>615.69585264342595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21.888881360198589</v>
      </c>
      <c r="FR115" s="23">
        <f>EXP(-LN(2)/25)*FR114+(1-EXP(-LN(2)/25))/(LN(2)/25)*Calculateur!FM115*Calculateur!FO115*VLOOKUP('Données projet'!$B$16,Paramètres!$A$1:$I$89,3,0)*0.475*44/12</f>
        <v>2.5478702530274933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24.436751613226082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317.99999999999972</v>
      </c>
      <c r="O116" s="14">
        <f>N116*VLOOKUP('Données projet'!$B$9,Paramètres!$A$1:$I$89,3,0)*VLOOKUP('Données projet'!$B$9,Paramètres!$A$1:$I$89,5,0)</f>
        <v>253.0007999999998</v>
      </c>
      <c r="P116" s="14">
        <f t="shared" si="87"/>
        <v>61.228070105968683</v>
      </c>
      <c r="Q116" s="22">
        <f t="shared" si="107"/>
        <v>547.28194876789507</v>
      </c>
      <c r="R116" s="62">
        <f t="shared" si="55"/>
        <v>840.61528210122833</v>
      </c>
      <c r="S116" s="62">
        <f ca="1">AVERAGE(OFFSET($R$3,0,0,'Données projet'!$E$9+1,1))-AVERAGE(OFFSET($H$3,0,0,'Données projet'!$E$9+1,1))</f>
        <v>352.5736659365665</v>
      </c>
      <c r="T116" s="62">
        <f t="shared" si="88"/>
        <v>343.77208530767069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2.6052237625090595</v>
      </c>
      <c r="AA116" s="23">
        <f>EXP(-LN(2)/25)*AA115+(1-EXP(-LN(2)/25))/(LN(2)/25)*Calculateur!V116*Calculateur!X116*VLOOKUP('Données projet'!$B$9,Paramètres!$A$1:$I$89,3,0)*0.475*44/12</f>
        <v>2.3751396508936544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4.9803634134027135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3.7243808037601412E-14</v>
      </c>
      <c r="AK116" s="14">
        <f t="shared" si="89"/>
        <v>6.2767589361185393E-13</v>
      </c>
      <c r="AL116" s="22">
        <f t="shared" si="58"/>
        <v>1.1580684803728015E-12</v>
      </c>
      <c r="AM116" s="62">
        <f t="shared" si="59"/>
        <v>293.33333333333445</v>
      </c>
      <c r="AN116" s="62">
        <f ca="1">AVERAGE(OFFSET($AM$3,0,0,'Données projet'!$E$10+1,1))-AVERAGE(OFFSET($H$3,0,0,'Données projet'!$E$10+1,1))</f>
        <v>210.08998695869161</v>
      </c>
      <c r="AO116" s="62">
        <f t="shared" si="90"/>
        <v>207.30911916430881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5.9396800337761916E-14</v>
      </c>
      <c r="AX116" s="23">
        <f t="shared" si="60"/>
        <v>5.9396800337761916E-14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4.5999999999999996</v>
      </c>
      <c r="BD116" s="13">
        <f>IF('Données projet'!$A$88&gt;35,BD115+BC116-BL115,IF(A116&lt;'Données projet'!$A$88,$BA$205^A116,IF(A116='Données projet'!$A$88,'Données projet'!$B$88,BD115+BC116-BL115)))</f>
        <v>320.79999999999995</v>
      </c>
      <c r="BE116" s="14">
        <f>BD116*VLOOKUP('Données projet'!$B$11,Paramètres!$A$1:$I$89,3,0)*VLOOKUP('Données projet'!$B$11,Paramètres!$A$1:$I$89,5,0)</f>
        <v>215.19263999999998</v>
      </c>
      <c r="BF116" s="14">
        <f t="shared" si="91"/>
        <v>53.068690033178463</v>
      </c>
      <c r="BG116" s="22">
        <f t="shared" si="61"/>
        <v>467.22181647445245</v>
      </c>
      <c r="BH116" s="62">
        <f t="shared" si="62"/>
        <v>760.55514980778571</v>
      </c>
      <c r="BI116" s="62">
        <f ca="1">AVERAGE(OFFSET($BH$3,0,0,'Données projet'!$E$11+1,1))-AVERAGE(OFFSET($H$3,0,0,'Données projet'!$E$11+1,1))</f>
        <v>335.83558218229564</v>
      </c>
      <c r="BJ116" s="62">
        <f t="shared" si="92"/>
        <v>217.08423061559648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6.7440216859409886E-12</v>
      </c>
      <c r="BS116" s="24">
        <f t="shared" si="63"/>
        <v>6.7440216859409886E-12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5.6843418860808015E-14</v>
      </c>
      <c r="BZ116" s="14">
        <f>BY116*VLOOKUP('Données projet'!$B$12,Paramètres!$A$1:$I$89,3,0)*VLOOKUP('Données projet'!$B$12,Paramètres!$A$1:$I$89,5,0)</f>
        <v>4.4337866711430253E-14</v>
      </c>
      <c r="CA116" s="14">
        <f t="shared" si="93"/>
        <v>7.3222115536967035E-13</v>
      </c>
      <c r="CB116" s="22">
        <f t="shared" si="64"/>
        <v>1.3525069634579169E-12</v>
      </c>
      <c r="CC116" s="62">
        <f t="shared" si="65"/>
        <v>293.33333333333468</v>
      </c>
      <c r="CD116" s="62">
        <f ca="1">AVERAGE(OFFSET($CC$3,0,0,'Données projet'!$E$12+1,1))-AVERAGE(OFFSET($H$3,0,0,'Données projet'!$E$12+1,1))</f>
        <v>288.82868507674738</v>
      </c>
      <c r="CE116" s="62">
        <f t="shared" si="94"/>
        <v>283.48738729114024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0.48782355245474335</v>
      </c>
      <c r="CM116" s="23">
        <f>EXP(-LN(2)/2)*CM115+(1-EXP(-LN(2)/2))/(LN(2)/2)*CG116*CJ116*VLOOKUP('Données projet'!$B$12,Paramètres!$A$1:$I$89,3,0)*0.475*44/12</f>
        <v>8.2953767951194216E-13</v>
      </c>
      <c r="CN116" s="24">
        <f t="shared" si="66"/>
        <v>0.48782355245557291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317.99999999999972</v>
      </c>
      <c r="CU116" s="18">
        <f>CT116*VLOOKUP('Données projet'!$B$13,Paramètres!$A$1:$I$89,3,0)*VLOOKUP('Données projet'!$B$13,Paramètres!$A$1:$I$89,5,0)</f>
        <v>277.80479999999983</v>
      </c>
      <c r="CV116" s="14">
        <f t="shared" si="95"/>
        <v>66.50288772038418</v>
      </c>
      <c r="CW116" s="22">
        <f t="shared" si="67"/>
        <v>599.66922277966887</v>
      </c>
      <c r="CX116" s="62">
        <f t="shared" si="68"/>
        <v>893.00255611300213</v>
      </c>
      <c r="CY116" s="62">
        <f ca="1">AVERAGE(OFFSET($CX$3,0,0,'Données projet'!$E$13+1,1))-AVERAGE(OFFSET($H$3,0,0,'Données projet'!$E$13+1,1))</f>
        <v>383.46266660377637</v>
      </c>
      <c r="CZ116" s="62">
        <f t="shared" si="96"/>
        <v>373.1287543230714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1.6077287444337087</v>
      </c>
      <c r="DH116" s="23">
        <f>EXP(-LN(2)/2)*DH115+(1-EXP(-LN(2)/2))/(LN(2)/2)*DB116*DE116*VLOOKUP('Données projet'!$B$13,Paramètres!$A$1:$I$89,3,0)*0.475*44/12</f>
        <v>6.8286815539244215E-12</v>
      </c>
      <c r="DI116" s="24">
        <f t="shared" si="69"/>
        <v>1.6077287444405375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>
        <f>DO116*VLOOKUP('Données projet'!$B$14,Paramètres!$A$1:$I$89,3,0)*VLOOKUP('Données projet'!$B$14,Paramètres!$A$1:$I$89,5,0)</f>
        <v>0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96.56611521638132</v>
      </c>
      <c r="DU116" s="62">
        <f t="shared" si="98"/>
        <v>465.03257878814094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15.927435317883422</v>
      </c>
      <c r="EB116" s="23">
        <f>EXP(-LN(2)/25)*EB115+(1-EXP(-LN(2)/25))/(LN(2)/25)*Calculateur!DW116*Calculateur!DY116*VLOOKUP('Données projet'!$B$14,Paramètres!$A$1:$I$89,3,0)*0.475*44/12</f>
        <v>1.8393282800185595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17.766763597901981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317.99999999999972</v>
      </c>
      <c r="EK116" s="18">
        <f>EJ116*VLOOKUP('Données projet'!$B$15,Paramètres!$A$1:$I$89,3,0)*VLOOKUP('Données projet'!$B$15,Paramètres!$A$1:$I$89,5,0)</f>
        <v>257.96159999999981</v>
      </c>
      <c r="EL116" s="14">
        <f t="shared" si="99"/>
        <v>62.287674609742425</v>
      </c>
      <c r="EM116" s="22">
        <f t="shared" si="73"/>
        <v>557.76748661196768</v>
      </c>
      <c r="EN116" s="62">
        <f t="shared" si="74"/>
        <v>851.10081994530105</v>
      </c>
      <c r="EO116" s="62">
        <f ca="1">AVERAGE(OFFSET($EN$3,0,0,'Données projet'!$E$15+1,1))-AVERAGE(OFFSET($H$3,0,0,'Données projet'!$E$15+1,1))</f>
        <v>358.75637627589799</v>
      </c>
      <c r="EP116" s="62">
        <f t="shared" si="100"/>
        <v>349.64821164483607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1.8682377347384753</v>
      </c>
      <c r="EW116" s="23">
        <f>EXP(-LN(2)/25)*EW115+(1-EXP(-LN(2)/25))/(LN(2)/25)*Calculateur!ER116*Calculateur!ET116*VLOOKUP('Données projet'!$B$15,Paramètres!$A$1:$I$89,3,0)*0.475*44/12</f>
        <v>1.5358462202703307</v>
      </c>
      <c r="EX116" s="23">
        <f>EXP(-LN(2)/2)*EX115+(1-EXP(-LN(2)/2))/(LN(2)/2)*ER116*EU116*VLOOKUP('Données projet'!$B$15,Paramètres!$A$1:$I$89,3,0)*0.475*44/12</f>
        <v>1.172511540392375E-12</v>
      </c>
      <c r="EY116" s="24">
        <f t="shared" si="75"/>
        <v>3.4040839550099786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>
        <f>FE116*VLOOKUP('Données projet'!$B$16,Paramètres!$A$1:$I$89,3,0)*VLOOKUP('Données projet'!$B$16,Paramètres!$A$1:$I$89,5,0)</f>
        <v>0</v>
      </c>
      <c r="FG116" s="14" t="e">
        <f t="shared" si="101"/>
        <v>#NUM!</v>
      </c>
      <c r="FH116" s="22" t="e">
        <f t="shared" si="76"/>
        <v>#NUM!</v>
      </c>
      <c r="FI116" s="62" t="e">
        <f t="shared" si="77"/>
        <v>#NUM!</v>
      </c>
      <c r="FJ116" s="62">
        <f ca="1">AVERAGE(OFFSET($FI$3,0,0,'Données projet'!$E$16+1,1))-AVERAGE(OFFSET($H$3,0,0,'Données projet'!$E$16+1,1))</f>
        <v>121.28977654040114</v>
      </c>
      <c r="FK116" s="62">
        <f t="shared" si="102"/>
        <v>615.69585264342595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21.459653747624433</v>
      </c>
      <c r="FR116" s="23">
        <f>EXP(-LN(2)/25)*FR115+(1-EXP(-LN(2)/25))/(LN(2)/25)*Calculateur!FM116*Calculateur!FO116*VLOOKUP('Données projet'!$B$16,Paramètres!$A$1:$I$89,3,0)*0.475*44/12</f>
        <v>2.478198606971783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23.937852354596217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317.99999999999972</v>
      </c>
      <c r="O117" s="14">
        <f>N117*VLOOKUP('Données projet'!$B$9,Paramètres!$A$1:$I$89,3,0)*VLOOKUP('Données projet'!$B$9,Paramètres!$A$1:$I$89,5,0)</f>
        <v>253.0007999999998</v>
      </c>
      <c r="P117" s="14">
        <f t="shared" si="87"/>
        <v>61.228070105968683</v>
      </c>
      <c r="Q117" s="22">
        <f t="shared" si="107"/>
        <v>547.28194876789507</v>
      </c>
      <c r="R117" s="62">
        <f t="shared" si="55"/>
        <v>840.61528210122833</v>
      </c>
      <c r="S117" s="62">
        <f ca="1">AVERAGE(OFFSET($R$3,0,0,'Données projet'!$E$9+1,1))-AVERAGE(OFFSET($H$3,0,0,'Données projet'!$E$9+1,1))</f>
        <v>352.5736659365665</v>
      </c>
      <c r="T117" s="62">
        <f t="shared" si="88"/>
        <v>343.77208530767069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2.5541369135558485</v>
      </c>
      <c r="AA117" s="23">
        <f>EXP(-LN(2)/25)*AA116+(1-EXP(-LN(2)/25))/(LN(2)/25)*Calculateur!V117*Calculateur!X117*VLOOKUP('Données projet'!$B$9,Paramètres!$A$1:$I$89,3,0)*0.475*44/12</f>
        <v>2.3101913322368017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4.8643282457926507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3.7243808037601412E-14</v>
      </c>
      <c r="AK117" s="14">
        <f t="shared" si="89"/>
        <v>6.2767589361185393E-13</v>
      </c>
      <c r="AL117" s="22">
        <f t="shared" si="58"/>
        <v>1.1580684803728015E-12</v>
      </c>
      <c r="AM117" s="62">
        <f t="shared" si="59"/>
        <v>293.33333333333445</v>
      </c>
      <c r="AN117" s="62">
        <f ca="1">AVERAGE(OFFSET($AM$3,0,0,'Données projet'!$E$10+1,1))-AVERAGE(OFFSET($H$3,0,0,'Données projet'!$E$10+1,1))</f>
        <v>210.08998695869161</v>
      </c>
      <c r="AO117" s="62">
        <f t="shared" si="90"/>
        <v>207.30911916430881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4.1999880299614869E-14</v>
      </c>
      <c r="AX117" s="23">
        <f t="shared" si="60"/>
        <v>4.1999880299614869E-14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4.5999999999999996</v>
      </c>
      <c r="BD117" s="13">
        <f>IF('Données projet'!$A$88&gt;35,BD116+BC117-BL116,IF(A117&lt;'Données projet'!$A$88,$BA$205^A117,IF(A117='Données projet'!$A$88,'Données projet'!$B$88,BD116+BC117-BL116)))</f>
        <v>325.39999999999998</v>
      </c>
      <c r="BE117" s="14">
        <f>BD117*VLOOKUP('Données projet'!$B$11,Paramètres!$A$1:$I$89,3,0)*VLOOKUP('Données projet'!$B$11,Paramètres!$A$1:$I$89,5,0)</f>
        <v>218.27832000000001</v>
      </c>
      <c r="BF117" s="14">
        <f t="shared" si="91"/>
        <v>53.740516147179761</v>
      </c>
      <c r="BG117" s="22">
        <f t="shared" si="61"/>
        <v>473.76613962300468</v>
      </c>
      <c r="BH117" s="62">
        <f t="shared" si="62"/>
        <v>767.09947295633799</v>
      </c>
      <c r="BI117" s="62">
        <f ca="1">AVERAGE(OFFSET($BH$3,0,0,'Données projet'!$E$11+1,1))-AVERAGE(OFFSET($H$3,0,0,'Données projet'!$E$11+1,1))</f>
        <v>335.83558218229564</v>
      </c>
      <c r="BJ117" s="62">
        <f t="shared" si="92"/>
        <v>217.08423061559648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4.7687434665980059E-12</v>
      </c>
      <c r="BS117" s="24">
        <f t="shared" si="63"/>
        <v>4.7687434665980059E-12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5.6843418860808015E-14</v>
      </c>
      <c r="BZ117" s="14">
        <f>BY117*VLOOKUP('Données projet'!$B$12,Paramètres!$A$1:$I$89,3,0)*VLOOKUP('Données projet'!$B$12,Paramètres!$A$1:$I$89,5,0)</f>
        <v>4.4337866711430253E-14</v>
      </c>
      <c r="CA117" s="14">
        <f t="shared" si="93"/>
        <v>7.3222115536967035E-13</v>
      </c>
      <c r="CB117" s="22">
        <f t="shared" si="64"/>
        <v>1.3525069634579169E-12</v>
      </c>
      <c r="CC117" s="62">
        <f t="shared" si="65"/>
        <v>293.33333333333468</v>
      </c>
      <c r="CD117" s="62">
        <f ca="1">AVERAGE(OFFSET($CC$3,0,0,'Données projet'!$E$12+1,1))-AVERAGE(OFFSET($H$3,0,0,'Données projet'!$E$12+1,1))</f>
        <v>288.82868507674738</v>
      </c>
      <c r="CE117" s="62">
        <f t="shared" si="94"/>
        <v>283.48738729114024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0.47448399175934269</v>
      </c>
      <c r="CM117" s="23">
        <f>EXP(-LN(2)/2)*CM116+(1-EXP(-LN(2)/2))/(LN(2)/2)*CG117*CJ117*VLOOKUP('Données projet'!$B$12,Paramètres!$A$1:$I$89,3,0)*0.475*44/12</f>
        <v>5.8657171843264727E-13</v>
      </c>
      <c r="CN117" s="24">
        <f t="shared" si="66"/>
        <v>0.47448399175992928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317.99999999999972</v>
      </c>
      <c r="CU117" s="18">
        <f>CT117*VLOOKUP('Données projet'!$B$13,Paramètres!$A$1:$I$89,3,0)*VLOOKUP('Données projet'!$B$13,Paramètres!$A$1:$I$89,5,0)</f>
        <v>277.80479999999983</v>
      </c>
      <c r="CV117" s="14">
        <f t="shared" si="95"/>
        <v>66.50288772038418</v>
      </c>
      <c r="CW117" s="22">
        <f t="shared" si="67"/>
        <v>599.66922277966887</v>
      </c>
      <c r="CX117" s="62">
        <f t="shared" si="68"/>
        <v>893.00255611300213</v>
      </c>
      <c r="CY117" s="62">
        <f ca="1">AVERAGE(OFFSET($CX$3,0,0,'Données projet'!$E$13+1,1))-AVERAGE(OFFSET($H$3,0,0,'Données projet'!$E$13+1,1))</f>
        <v>383.46266660377637</v>
      </c>
      <c r="CZ117" s="62">
        <f t="shared" si="96"/>
        <v>373.1287543230714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1.5637653173703887</v>
      </c>
      <c r="DH117" s="23">
        <f>EXP(-LN(2)/2)*DH116+(1-EXP(-LN(2)/2))/(LN(2)/2)*DB117*DE117*VLOOKUP('Données projet'!$B$13,Paramètres!$A$1:$I$89,3,0)*0.475*44/12</f>
        <v>4.8286070333434492E-12</v>
      </c>
      <c r="DI117" s="24">
        <f t="shared" si="69"/>
        <v>1.5637653173752173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>
        <f>DO117*VLOOKUP('Données projet'!$B$14,Paramètres!$A$1:$I$89,3,0)*VLOOKUP('Données projet'!$B$14,Paramètres!$A$1:$I$89,5,0)</f>
        <v>0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96.56611521638132</v>
      </c>
      <c r="DU117" s="62">
        <f t="shared" si="98"/>
        <v>465.03257878814094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15.615108026076017</v>
      </c>
      <c r="EB117" s="23">
        <f>EXP(-LN(2)/25)*EB116+(1-EXP(-LN(2)/25))/(LN(2)/25)*Calculateur!DW117*Calculateur!DY117*VLOOKUP('Données projet'!$B$14,Paramètres!$A$1:$I$89,3,0)*0.475*44/12</f>
        <v>1.7890317514753815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17.4041397775514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317.99999999999972</v>
      </c>
      <c r="EK117" s="18">
        <f>EJ117*VLOOKUP('Données projet'!$B$15,Paramètres!$A$1:$I$89,3,0)*VLOOKUP('Données projet'!$B$15,Paramètres!$A$1:$I$89,5,0)</f>
        <v>257.96159999999981</v>
      </c>
      <c r="EL117" s="14">
        <f t="shared" si="99"/>
        <v>62.287674609742425</v>
      </c>
      <c r="EM117" s="22">
        <f t="shared" si="73"/>
        <v>557.76748661196768</v>
      </c>
      <c r="EN117" s="62">
        <f t="shared" si="74"/>
        <v>851.10081994530105</v>
      </c>
      <c r="EO117" s="62">
        <f ca="1">AVERAGE(OFFSET($EN$3,0,0,'Données projet'!$E$15+1,1))-AVERAGE(OFFSET($H$3,0,0,'Données projet'!$E$15+1,1))</f>
        <v>358.75637627589799</v>
      </c>
      <c r="EP117" s="62">
        <f t="shared" si="100"/>
        <v>349.64821164483607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1.8316027322727544</v>
      </c>
      <c r="EW117" s="23">
        <f>EXP(-LN(2)/25)*EW116+(1-EXP(-LN(2)/25))/(LN(2)/25)*Calculateur!ER117*Calculateur!ET117*VLOOKUP('Données projet'!$B$15,Paramètres!$A$1:$I$89,3,0)*0.475*44/12</f>
        <v>1.493848424610396</v>
      </c>
      <c r="EX117" s="23">
        <f>EXP(-LN(2)/2)*EX116+(1-EXP(-LN(2)/2))/(LN(2)/2)*ER117*EU117*VLOOKUP('Données projet'!$B$15,Paramètres!$A$1:$I$89,3,0)*0.475*44/12</f>
        <v>8.2909086123093293E-13</v>
      </c>
      <c r="EY117" s="24">
        <f t="shared" si="75"/>
        <v>3.3254511568839793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>
        <f>FE117*VLOOKUP('Données projet'!$B$16,Paramètres!$A$1:$I$89,3,0)*VLOOKUP('Données projet'!$B$16,Paramètres!$A$1:$I$89,5,0)</f>
        <v>0</v>
      </c>
      <c r="FG117" s="14" t="e">
        <f t="shared" si="101"/>
        <v>#NUM!</v>
      </c>
      <c r="FH117" s="22" t="e">
        <f t="shared" si="76"/>
        <v>#NUM!</v>
      </c>
      <c r="FI117" s="62" t="e">
        <f t="shared" si="77"/>
        <v>#NUM!</v>
      </c>
      <c r="FJ117" s="62">
        <f ca="1">AVERAGE(OFFSET($FI$3,0,0,'Données projet'!$E$16+1,1))-AVERAGE(OFFSET($H$3,0,0,'Données projet'!$E$16+1,1))</f>
        <v>121.28977654040114</v>
      </c>
      <c r="FK117" s="62">
        <f t="shared" si="102"/>
        <v>615.69585264342595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21.038843026729865</v>
      </c>
      <c r="FR117" s="23">
        <f>EXP(-LN(2)/25)*FR116+(1-EXP(-LN(2)/25))/(LN(2)/25)*Calculateur!FM117*Calculateur!FO117*VLOOKUP('Données projet'!$B$16,Paramètres!$A$1:$I$89,3,0)*0.475*44/12</f>
        <v>2.4104321357413387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23.449275162471203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317.99999999999972</v>
      </c>
      <c r="O118" s="14">
        <f>N118*VLOOKUP('Données projet'!$B$9,Paramètres!$A$1:$I$89,3,0)*VLOOKUP('Données projet'!$B$9,Paramètres!$A$1:$I$89,5,0)</f>
        <v>253.0007999999998</v>
      </c>
      <c r="P118" s="14">
        <f t="shared" si="87"/>
        <v>61.228070105968683</v>
      </c>
      <c r="Q118" s="22">
        <f t="shared" si="107"/>
        <v>547.28194876789507</v>
      </c>
      <c r="R118" s="62">
        <f t="shared" si="55"/>
        <v>840.61528210122833</v>
      </c>
      <c r="S118" s="62">
        <f ca="1">AVERAGE(OFFSET($R$3,0,0,'Données projet'!$E$9+1,1))-AVERAGE(OFFSET($H$3,0,0,'Données projet'!$E$9+1,1))</f>
        <v>352.5736659365665</v>
      </c>
      <c r="T118" s="62">
        <f t="shared" si="88"/>
        <v>343.77208530767069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2.5040518465507087</v>
      </c>
      <c r="AA118" s="23">
        <f>EXP(-LN(2)/25)*AA117+(1-EXP(-LN(2)/25))/(LN(2)/25)*Calculateur!V118*Calculateur!X118*VLOOKUP('Données projet'!$B$9,Paramètres!$A$1:$I$89,3,0)*0.475*44/12</f>
        <v>2.2470190287691043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4.7510708753198134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3.7243808037601412E-14</v>
      </c>
      <c r="AK118" s="14">
        <f t="shared" si="89"/>
        <v>6.2767589361185393E-13</v>
      </c>
      <c r="AL118" s="22">
        <f t="shared" si="58"/>
        <v>1.1580684803728015E-12</v>
      </c>
      <c r="AM118" s="62">
        <f t="shared" si="59"/>
        <v>293.33333333333445</v>
      </c>
      <c r="AN118" s="62">
        <f ca="1">AVERAGE(OFFSET($AM$3,0,0,'Données projet'!$E$10+1,1))-AVERAGE(OFFSET($H$3,0,0,'Données projet'!$E$10+1,1))</f>
        <v>210.08998695869161</v>
      </c>
      <c r="AO118" s="62">
        <f t="shared" si="90"/>
        <v>207.30911916430881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2.9698400168880958E-14</v>
      </c>
      <c r="AX118" s="23">
        <f t="shared" si="60"/>
        <v>2.9698400168880958E-14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330</v>
      </c>
      <c r="BB118" s="13">
        <f>VLOOKUP(A118,'Données projet'!$A$87:$I$107,9,0)</f>
        <v>4.5999999999999996</v>
      </c>
      <c r="BC118" s="13">
        <f t="array" ref="BC118">INDEX(BB:BB,MIN(IF(ISNUMBER(BB118:BB314),ROW(BB118:BB314),"")))</f>
        <v>4.5999999999999996</v>
      </c>
      <c r="BD118" s="13">
        <f>IF('Données projet'!$A$88&gt;35,BD117+BC118-BL117,IF(A118&lt;'Données projet'!$A$88,$BA$205^A118,IF(A118='Données projet'!$A$88,'Données projet'!$B$88,BD117+BC118-BL117)))</f>
        <v>330</v>
      </c>
      <c r="BE118" s="14">
        <f>BD118*VLOOKUP('Données projet'!$B$11,Paramètres!$A$1:$I$89,3,0)*VLOOKUP('Données projet'!$B$11,Paramètres!$A$1:$I$89,5,0)</f>
        <v>221.364</v>
      </c>
      <c r="BF118" s="14">
        <f t="shared" si="91"/>
        <v>54.411237653200793</v>
      </c>
      <c r="BG118" s="22">
        <f t="shared" si="61"/>
        <v>480.30853891265809</v>
      </c>
      <c r="BH118" s="62">
        <f t="shared" si="62"/>
        <v>773.64187224599141</v>
      </c>
      <c r="BI118" s="62">
        <f ca="1">AVERAGE(OFFSET($BH$3,0,0,'Données projet'!$E$11+1,1))-AVERAGE(OFFSET($H$3,0,0,'Données projet'!$E$11+1,1))</f>
        <v>335.83558218229564</v>
      </c>
      <c r="BJ118" s="62">
        <f t="shared" si="92"/>
        <v>217.08423061559648</v>
      </c>
      <c r="BK118" s="16">
        <f>IF(ISNA(VLOOKUP(A118,'Données projet'!$A$87:$I$107,3,0)),0,VLOOKUP(A118,'Données projet'!$A$87:$I$107,3,0))</f>
        <v>20</v>
      </c>
      <c r="BL118" s="16">
        <f>IF(ISNA(VLOOKUP(A118,'Données projet'!$A$87:$I$107,4,0)),0,VLOOKUP(A118,'Données projet'!$A$87:$I$107,4,0))</f>
        <v>330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3.3720108429704943E-12</v>
      </c>
      <c r="BS118" s="24">
        <f t="shared" si="63"/>
        <v>3.3720108429704943E-12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5.6843418860808015E-14</v>
      </c>
      <c r="BZ118" s="14">
        <f>BY118*VLOOKUP('Données projet'!$B$12,Paramètres!$A$1:$I$89,3,0)*VLOOKUP('Données projet'!$B$12,Paramètres!$A$1:$I$89,5,0)</f>
        <v>4.4337866711430253E-14</v>
      </c>
      <c r="CA118" s="14">
        <f t="shared" si="93"/>
        <v>7.3222115536967035E-13</v>
      </c>
      <c r="CB118" s="22">
        <f t="shared" si="64"/>
        <v>1.3525069634579169E-12</v>
      </c>
      <c r="CC118" s="62">
        <f t="shared" si="65"/>
        <v>293.33333333333468</v>
      </c>
      <c r="CD118" s="62">
        <f ca="1">AVERAGE(OFFSET($CC$3,0,0,'Données projet'!$E$12+1,1))-AVERAGE(OFFSET($H$3,0,0,'Données projet'!$E$12+1,1))</f>
        <v>288.82868507674738</v>
      </c>
      <c r="CE118" s="62">
        <f t="shared" si="94"/>
        <v>283.48738729114024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0.46150920205265478</v>
      </c>
      <c r="CM118" s="23">
        <f>EXP(-LN(2)/2)*CM117+(1-EXP(-LN(2)/2))/(LN(2)/2)*CG118*CJ118*VLOOKUP('Données projet'!$B$12,Paramètres!$A$1:$I$89,3,0)*0.475*44/12</f>
        <v>4.1476883975597108E-13</v>
      </c>
      <c r="CN118" s="24">
        <f t="shared" si="66"/>
        <v>0.46150920205306956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317.99999999999972</v>
      </c>
      <c r="CU118" s="18">
        <f>CT118*VLOOKUP('Données projet'!$B$13,Paramètres!$A$1:$I$89,3,0)*VLOOKUP('Données projet'!$B$13,Paramètres!$A$1:$I$89,5,0)</f>
        <v>277.80479999999983</v>
      </c>
      <c r="CV118" s="14">
        <f t="shared" si="95"/>
        <v>66.50288772038418</v>
      </c>
      <c r="CW118" s="22">
        <f t="shared" si="67"/>
        <v>599.66922277966887</v>
      </c>
      <c r="CX118" s="62">
        <f t="shared" si="68"/>
        <v>893.00255611300213</v>
      </c>
      <c r="CY118" s="62">
        <f ca="1">AVERAGE(OFFSET($CX$3,0,0,'Données projet'!$E$13+1,1))-AVERAGE(OFFSET($H$3,0,0,'Données projet'!$E$13+1,1))</f>
        <v>383.46266660377637</v>
      </c>
      <c r="CZ118" s="62">
        <f t="shared" si="96"/>
        <v>373.1287543230714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1.5210040725320515</v>
      </c>
      <c r="DH118" s="23">
        <f>EXP(-LN(2)/2)*DH117+(1-EXP(-LN(2)/2))/(LN(2)/2)*DB118*DE118*VLOOKUP('Données projet'!$B$13,Paramètres!$A$1:$I$89,3,0)*0.475*44/12</f>
        <v>3.4143407769622108E-12</v>
      </c>
      <c r="DI118" s="24">
        <f t="shared" si="69"/>
        <v>1.5210040725354659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>
        <f>DO118*VLOOKUP('Données projet'!$B$14,Paramètres!$A$1:$I$89,3,0)*VLOOKUP('Données projet'!$B$14,Paramètres!$A$1:$I$89,5,0)</f>
        <v>0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96.56611521638132</v>
      </c>
      <c r="DU118" s="62">
        <f t="shared" si="98"/>
        <v>465.03257878814094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15.308905281960119</v>
      </c>
      <c r="EB118" s="23">
        <f>EXP(-LN(2)/25)*EB117+(1-EXP(-LN(2)/25))/(LN(2)/25)*Calculateur!DW118*Calculateur!DY118*VLOOKUP('Données projet'!$B$14,Paramètres!$A$1:$I$89,3,0)*0.475*44/12</f>
        <v>1.7401105841501963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17.049015866110317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317.99999999999972</v>
      </c>
      <c r="EK118" s="18">
        <f>EJ118*VLOOKUP('Données projet'!$B$15,Paramètres!$A$1:$I$89,3,0)*VLOOKUP('Données projet'!$B$15,Paramètres!$A$1:$I$89,5,0)</f>
        <v>257.96159999999981</v>
      </c>
      <c r="EL118" s="14">
        <f t="shared" si="99"/>
        <v>62.287674609742425</v>
      </c>
      <c r="EM118" s="22">
        <f t="shared" si="73"/>
        <v>557.76748661196768</v>
      </c>
      <c r="EN118" s="62">
        <f t="shared" si="74"/>
        <v>851.10081994530105</v>
      </c>
      <c r="EO118" s="62">
        <f ca="1">AVERAGE(OFFSET($EN$3,0,0,'Données projet'!$E$15+1,1))-AVERAGE(OFFSET($H$3,0,0,'Données projet'!$E$15+1,1))</f>
        <v>358.75637627589799</v>
      </c>
      <c r="EP118" s="62">
        <f t="shared" si="100"/>
        <v>349.64821164483607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1.7956861198602412</v>
      </c>
      <c r="EW118" s="23">
        <f>EXP(-LN(2)/25)*EW117+(1-EXP(-LN(2)/25))/(LN(2)/25)*Calculateur!ER118*Calculateur!ET118*VLOOKUP('Données projet'!$B$15,Paramètres!$A$1:$I$89,3,0)*0.475*44/12</f>
        <v>1.4529990608813503</v>
      </c>
      <c r="EX118" s="23">
        <f>EXP(-LN(2)/2)*EX117+(1-EXP(-LN(2)/2))/(LN(2)/2)*ER118*EU118*VLOOKUP('Données projet'!$B$15,Paramètres!$A$1:$I$89,3,0)*0.475*44/12</f>
        <v>5.8625577019618752E-13</v>
      </c>
      <c r="EY118" s="24">
        <f t="shared" si="75"/>
        <v>3.2486851807421777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>
        <f>FE118*VLOOKUP('Données projet'!$B$16,Paramètres!$A$1:$I$89,3,0)*VLOOKUP('Données projet'!$B$16,Paramètres!$A$1:$I$89,5,0)</f>
        <v>0</v>
      </c>
      <c r="FG118" s="14" t="e">
        <f t="shared" si="101"/>
        <v>#NUM!</v>
      </c>
      <c r="FH118" s="22" t="e">
        <f t="shared" si="76"/>
        <v>#NUM!</v>
      </c>
      <c r="FI118" s="62" t="e">
        <f t="shared" si="77"/>
        <v>#NUM!</v>
      </c>
      <c r="FJ118" s="62">
        <f ca="1">AVERAGE(OFFSET($FI$3,0,0,'Données projet'!$E$16+1,1))-AVERAGE(OFFSET($H$3,0,0,'Données projet'!$E$16+1,1))</f>
        <v>121.28977654040114</v>
      </c>
      <c r="FK118" s="62">
        <f t="shared" si="102"/>
        <v>615.69585264342595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20.626284147402842</v>
      </c>
      <c r="FR118" s="23">
        <f>EXP(-LN(2)/25)*FR117+(1-EXP(-LN(2)/25))/(LN(2)/25)*Calculateur!FM118*Calculateur!FO118*VLOOKUP('Données projet'!$B$16,Paramètres!$A$1:$I$89,3,0)*0.475*44/12</f>
        <v>2.3445187422303748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22.970802889633216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317.99999999999972</v>
      </c>
      <c r="O119" s="14">
        <f>N119*VLOOKUP('Données projet'!$B$9,Paramètres!$A$1:$I$89,3,0)*VLOOKUP('Données projet'!$B$9,Paramètres!$A$1:$I$89,5,0)</f>
        <v>253.0007999999998</v>
      </c>
      <c r="P119" s="14">
        <f t="shared" si="87"/>
        <v>61.228070105968683</v>
      </c>
      <c r="Q119" s="22">
        <f t="shared" si="107"/>
        <v>547.28194876789507</v>
      </c>
      <c r="R119" s="62">
        <f t="shared" si="55"/>
        <v>840.61528210122833</v>
      </c>
      <c r="S119" s="62">
        <f ca="1">AVERAGE(OFFSET($R$3,0,0,'Données projet'!$E$9+1,1))-AVERAGE(OFFSET($H$3,0,0,'Données projet'!$E$9+1,1))</f>
        <v>352.5736659365665</v>
      </c>
      <c r="T119" s="62">
        <f t="shared" si="88"/>
        <v>343.77208530767069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2.4549489171606651</v>
      </c>
      <c r="AA119" s="23">
        <f>EXP(-LN(2)/25)*AA118+(1-EXP(-LN(2)/25))/(LN(2)/25)*Calculateur!V119*Calculateur!X119*VLOOKUP('Données projet'!$B$9,Paramètres!$A$1:$I$89,3,0)*0.475*44/12</f>
        <v>2.1855741752618179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4.640523092422483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3.7243808037601412E-14</v>
      </c>
      <c r="AK119" s="14">
        <f t="shared" si="89"/>
        <v>6.2767589361185393E-13</v>
      </c>
      <c r="AL119" s="22">
        <f t="shared" si="58"/>
        <v>1.1580684803728015E-12</v>
      </c>
      <c r="AM119" s="62">
        <f t="shared" si="59"/>
        <v>293.33333333333445</v>
      </c>
      <c r="AN119" s="62">
        <f ca="1">AVERAGE(OFFSET($AM$3,0,0,'Données projet'!$E$10+1,1))-AVERAGE(OFFSET($H$3,0,0,'Données projet'!$E$10+1,1))</f>
        <v>210.08998695869161</v>
      </c>
      <c r="AO119" s="62">
        <f t="shared" si="90"/>
        <v>207.30911916430881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2.0999940149807434E-14</v>
      </c>
      <c r="AX119" s="23">
        <f t="shared" si="60"/>
        <v>2.0999940149807434E-14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335.83558218229564</v>
      </c>
      <c r="BJ119" s="62">
        <f t="shared" si="92"/>
        <v>217.08423061559648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2.384371733299003E-12</v>
      </c>
      <c r="BS119" s="24">
        <f t="shared" si="63"/>
        <v>2.384371733299003E-12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5.6843418860808015E-14</v>
      </c>
      <c r="BZ119" s="14">
        <f>BY119*VLOOKUP('Données projet'!$B$12,Paramètres!$A$1:$I$89,3,0)*VLOOKUP('Données projet'!$B$12,Paramètres!$A$1:$I$89,5,0)</f>
        <v>4.4337866711430253E-14</v>
      </c>
      <c r="CA119" s="14">
        <f t="shared" si="93"/>
        <v>7.3222115536967035E-13</v>
      </c>
      <c r="CB119" s="22">
        <f t="shared" si="64"/>
        <v>1.3525069634579169E-12</v>
      </c>
      <c r="CC119" s="62">
        <f t="shared" si="65"/>
        <v>293.33333333333468</v>
      </c>
      <c r="CD119" s="62">
        <f ca="1">AVERAGE(OFFSET($CC$3,0,0,'Données projet'!$E$12+1,1))-AVERAGE(OFFSET($H$3,0,0,'Données projet'!$E$12+1,1))</f>
        <v>288.82868507674738</v>
      </c>
      <c r="CE119" s="62">
        <f t="shared" si="94"/>
        <v>283.48738729114024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0.44888920865281079</v>
      </c>
      <c r="CM119" s="23">
        <f>EXP(-LN(2)/2)*CM118+(1-EXP(-LN(2)/2))/(LN(2)/2)*CG119*CJ119*VLOOKUP('Données projet'!$B$12,Paramètres!$A$1:$I$89,3,0)*0.475*44/12</f>
        <v>2.9328585921632363E-13</v>
      </c>
      <c r="CN119" s="24">
        <f t="shared" si="66"/>
        <v>0.44888920865310405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317.99999999999972</v>
      </c>
      <c r="CU119" s="18">
        <f>CT119*VLOOKUP('Données projet'!$B$13,Paramètres!$A$1:$I$89,3,0)*VLOOKUP('Données projet'!$B$13,Paramètres!$A$1:$I$89,5,0)</f>
        <v>277.80479999999983</v>
      </c>
      <c r="CV119" s="14">
        <f t="shared" si="95"/>
        <v>66.50288772038418</v>
      </c>
      <c r="CW119" s="22">
        <f t="shared" si="67"/>
        <v>599.66922277966887</v>
      </c>
      <c r="CX119" s="62">
        <f t="shared" si="68"/>
        <v>893.00255611300213</v>
      </c>
      <c r="CY119" s="62">
        <f ca="1">AVERAGE(OFFSET($CX$3,0,0,'Données projet'!$E$13+1,1))-AVERAGE(OFFSET($H$3,0,0,'Données projet'!$E$13+1,1))</f>
        <v>383.46266660377637</v>
      </c>
      <c r="CZ119" s="62">
        <f t="shared" si="96"/>
        <v>373.1287543230714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1.4794121361825348</v>
      </c>
      <c r="DH119" s="23">
        <f>EXP(-LN(2)/2)*DH118+(1-EXP(-LN(2)/2))/(LN(2)/2)*DB119*DE119*VLOOKUP('Données projet'!$B$13,Paramètres!$A$1:$I$89,3,0)*0.475*44/12</f>
        <v>2.4143035166717246E-12</v>
      </c>
      <c r="DI119" s="24">
        <f t="shared" si="69"/>
        <v>1.479412136184949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>
        <f>DO119*VLOOKUP('Données projet'!$B$14,Paramètres!$A$1:$I$89,3,0)*VLOOKUP('Données projet'!$B$14,Paramètres!$A$1:$I$89,5,0)</f>
        <v>0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96.56611521638132</v>
      </c>
      <c r="DU119" s="62">
        <f t="shared" si="98"/>
        <v>465.03257878814094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15.0087069868911</v>
      </c>
      <c r="EB119" s="23">
        <f>EXP(-LN(2)/25)*EB118+(1-EXP(-LN(2)/25))/(LN(2)/25)*Calculateur!DW119*Calculateur!DY119*VLOOKUP('Données projet'!$B$14,Paramètres!$A$1:$I$89,3,0)*0.475*44/12</f>
        <v>1.6925271687181707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16.701234155609271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317.99999999999972</v>
      </c>
      <c r="EK119" s="18">
        <f>EJ119*VLOOKUP('Données projet'!$B$15,Paramètres!$A$1:$I$89,3,0)*VLOOKUP('Données projet'!$B$15,Paramètres!$A$1:$I$89,5,0)</f>
        <v>257.96159999999981</v>
      </c>
      <c r="EL119" s="14">
        <f t="shared" si="99"/>
        <v>62.287674609742425</v>
      </c>
      <c r="EM119" s="22">
        <f t="shared" si="73"/>
        <v>557.76748661196768</v>
      </c>
      <c r="EN119" s="62">
        <f t="shared" si="74"/>
        <v>851.10081994530105</v>
      </c>
      <c r="EO119" s="62">
        <f ca="1">AVERAGE(OFFSET($EN$3,0,0,'Données projet'!$E$15+1,1))-AVERAGE(OFFSET($H$3,0,0,'Données projet'!$E$15+1,1))</f>
        <v>358.75637627589799</v>
      </c>
      <c r="EP119" s="62">
        <f t="shared" si="100"/>
        <v>349.64821164483607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1.7604738103101669</v>
      </c>
      <c r="EW119" s="23">
        <f>EXP(-LN(2)/25)*EW118+(1-EXP(-LN(2)/25))/(LN(2)/25)*Calculateur!ER119*Calculateur!ET119*VLOOKUP('Données projet'!$B$15,Paramètres!$A$1:$I$89,3,0)*0.475*44/12</f>
        <v>1.41326672515165</v>
      </c>
      <c r="EX119" s="23">
        <f>EXP(-LN(2)/2)*EX118+(1-EXP(-LN(2)/2))/(LN(2)/2)*ER119*EU119*VLOOKUP('Données projet'!$B$15,Paramètres!$A$1:$I$89,3,0)*0.475*44/12</f>
        <v>4.1454543061546646E-13</v>
      </c>
      <c r="EY119" s="24">
        <f t="shared" si="75"/>
        <v>3.173740535462231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>
        <f>FE119*VLOOKUP('Données projet'!$B$16,Paramètres!$A$1:$I$89,3,0)*VLOOKUP('Données projet'!$B$16,Paramètres!$A$1:$I$89,5,0)</f>
        <v>0</v>
      </c>
      <c r="FG119" s="14" t="e">
        <f t="shared" si="101"/>
        <v>#NUM!</v>
      </c>
      <c r="FH119" s="22" t="e">
        <f t="shared" si="76"/>
        <v>#NUM!</v>
      </c>
      <c r="FI119" s="62" t="e">
        <f t="shared" si="77"/>
        <v>#NUM!</v>
      </c>
      <c r="FJ119" s="62">
        <f ca="1">AVERAGE(OFFSET($FI$3,0,0,'Données projet'!$E$16+1,1))-AVERAGE(OFFSET($H$3,0,0,'Données projet'!$E$16+1,1))</f>
        <v>121.28977654040114</v>
      </c>
      <c r="FK119" s="62">
        <f t="shared" si="102"/>
        <v>615.69585264342595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20.221815296063351</v>
      </c>
      <c r="FR119" s="23">
        <f>EXP(-LN(2)/25)*FR118+(1-EXP(-LN(2)/25))/(LN(2)/25)*Calculateur!FM119*Calculateur!FO119*VLOOKUP('Données projet'!$B$16,Paramètres!$A$1:$I$89,3,0)*0.475*44/12</f>
        <v>2.2804077539312031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22.502223049994555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317.99999999999972</v>
      </c>
      <c r="O120" s="14">
        <f>N120*VLOOKUP('Données projet'!$B$9,Paramètres!$A$1:$I$89,3,0)*VLOOKUP('Données projet'!$B$9,Paramètres!$A$1:$I$89,5,0)</f>
        <v>253.0007999999998</v>
      </c>
      <c r="P120" s="14">
        <f t="shared" si="87"/>
        <v>61.228070105968683</v>
      </c>
      <c r="Q120" s="22">
        <f t="shared" si="107"/>
        <v>547.28194876789507</v>
      </c>
      <c r="R120" s="62">
        <f t="shared" si="55"/>
        <v>840.61528210122833</v>
      </c>
      <c r="S120" s="62">
        <f ca="1">AVERAGE(OFFSET($R$3,0,0,'Données projet'!$E$9+1,1))-AVERAGE(OFFSET($H$3,0,0,'Données projet'!$E$9+1,1))</f>
        <v>352.5736659365665</v>
      </c>
      <c r="T120" s="62">
        <f t="shared" si="88"/>
        <v>343.77208530767069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2.4068088662661307</v>
      </c>
      <c r="AA120" s="23">
        <f>EXP(-LN(2)/25)*AA119+(1-EXP(-LN(2)/25))/(LN(2)/25)*Calculateur!V120*Calculateur!X120*VLOOKUP('Données projet'!$B$9,Paramètres!$A$1:$I$89,3,0)*0.475*44/12</f>
        <v>2.1258095345049326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4.5326184007710637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3.7243808037601412E-14</v>
      </c>
      <c r="AK120" s="14">
        <f t="shared" si="89"/>
        <v>6.2767589361185393E-13</v>
      </c>
      <c r="AL120" s="22">
        <f t="shared" si="58"/>
        <v>1.1580684803728015E-12</v>
      </c>
      <c r="AM120" s="62">
        <f t="shared" si="59"/>
        <v>293.33333333333445</v>
      </c>
      <c r="AN120" s="62">
        <f ca="1">AVERAGE(OFFSET($AM$3,0,0,'Données projet'!$E$10+1,1))-AVERAGE(OFFSET($H$3,0,0,'Données projet'!$E$10+1,1))</f>
        <v>210.08998695869161</v>
      </c>
      <c r="AO120" s="62">
        <f t="shared" si="90"/>
        <v>207.30911916430881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1.4849200084440479E-14</v>
      </c>
      <c r="AX120" s="23">
        <f t="shared" si="60"/>
        <v>1.4849200084440479E-14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335.83558218229564</v>
      </c>
      <c r="BJ120" s="62">
        <f t="shared" si="92"/>
        <v>217.08423061559648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1.6860054214852472E-12</v>
      </c>
      <c r="BS120" s="24">
        <f t="shared" si="63"/>
        <v>1.6860054214852472E-12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5.6843418860808015E-14</v>
      </c>
      <c r="BZ120" s="14">
        <f>BY120*VLOOKUP('Données projet'!$B$12,Paramètres!$A$1:$I$89,3,0)*VLOOKUP('Données projet'!$B$12,Paramètres!$A$1:$I$89,5,0)</f>
        <v>4.4337866711430253E-14</v>
      </c>
      <c r="CA120" s="14">
        <f t="shared" si="93"/>
        <v>7.3222115536967035E-13</v>
      </c>
      <c r="CB120" s="22">
        <f t="shared" si="64"/>
        <v>1.3525069634579169E-12</v>
      </c>
      <c r="CC120" s="62">
        <f t="shared" si="65"/>
        <v>293.33333333333468</v>
      </c>
      <c r="CD120" s="62">
        <f ca="1">AVERAGE(OFFSET($CC$3,0,0,'Données projet'!$E$12+1,1))-AVERAGE(OFFSET($H$3,0,0,'Données projet'!$E$12+1,1))</f>
        <v>288.82868507674738</v>
      </c>
      <c r="CE120" s="62">
        <f t="shared" si="94"/>
        <v>283.48738729114024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0.43661430963614217</v>
      </c>
      <c r="CM120" s="23">
        <f>EXP(-LN(2)/2)*CM119+(1-EXP(-LN(2)/2))/(LN(2)/2)*CG120*CJ120*VLOOKUP('Données projet'!$B$12,Paramètres!$A$1:$I$89,3,0)*0.475*44/12</f>
        <v>2.0738441987798554E-13</v>
      </c>
      <c r="CN120" s="24">
        <f t="shared" si="66"/>
        <v>0.43661430963634956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317.99999999999972</v>
      </c>
      <c r="CU120" s="18">
        <f>CT120*VLOOKUP('Données projet'!$B$13,Paramètres!$A$1:$I$89,3,0)*VLOOKUP('Données projet'!$B$13,Paramètres!$A$1:$I$89,5,0)</f>
        <v>277.80479999999983</v>
      </c>
      <c r="CV120" s="14">
        <f t="shared" si="95"/>
        <v>66.50288772038418</v>
      </c>
      <c r="CW120" s="22">
        <f t="shared" si="67"/>
        <v>599.66922277966887</v>
      </c>
      <c r="CX120" s="62">
        <f t="shared" si="68"/>
        <v>893.00255611300213</v>
      </c>
      <c r="CY120" s="62">
        <f ca="1">AVERAGE(OFFSET($CX$3,0,0,'Données projet'!$E$13+1,1))-AVERAGE(OFFSET($H$3,0,0,'Données projet'!$E$13+1,1))</f>
        <v>383.46266660377637</v>
      </c>
      <c r="CZ120" s="62">
        <f t="shared" si="96"/>
        <v>373.1287543230714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1.4389575335197204</v>
      </c>
      <c r="DH120" s="23">
        <f>EXP(-LN(2)/2)*DH119+(1-EXP(-LN(2)/2))/(LN(2)/2)*DB120*DE120*VLOOKUP('Données projet'!$B$13,Paramètres!$A$1:$I$89,3,0)*0.475*44/12</f>
        <v>1.7071703884811054E-12</v>
      </c>
      <c r="DI120" s="24">
        <f t="shared" si="69"/>
        <v>1.4389575335214275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>
        <f>DO120*VLOOKUP('Données projet'!$B$14,Paramètres!$A$1:$I$89,3,0)*VLOOKUP('Données projet'!$B$14,Paramètres!$A$1:$I$89,5,0)</f>
        <v>0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96.56611521638132</v>
      </c>
      <c r="DU120" s="62">
        <f t="shared" si="98"/>
        <v>465.03257878814094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14.714395397285505</v>
      </c>
      <c r="EB120" s="23">
        <f>EXP(-LN(2)/25)*EB119+(1-EXP(-LN(2)/25))/(LN(2)/25)*Calculateur!DW120*Calculateur!DY120*VLOOKUP('Données projet'!$B$14,Paramètres!$A$1:$I$89,3,0)*0.475*44/12</f>
        <v>1.6462449242834367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16.360640321568944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317.99999999999972</v>
      </c>
      <c r="EK120" s="18">
        <f>EJ120*VLOOKUP('Données projet'!$B$15,Paramètres!$A$1:$I$89,3,0)*VLOOKUP('Données projet'!$B$15,Paramètres!$A$1:$I$89,5,0)</f>
        <v>257.96159999999981</v>
      </c>
      <c r="EL120" s="14">
        <f t="shared" si="99"/>
        <v>62.287674609742425</v>
      </c>
      <c r="EM120" s="22">
        <f t="shared" si="73"/>
        <v>557.76748661196768</v>
      </c>
      <c r="EN120" s="62">
        <f t="shared" si="74"/>
        <v>851.10081994530105</v>
      </c>
      <c r="EO120" s="62">
        <f ca="1">AVERAGE(OFFSET($EN$3,0,0,'Données projet'!$E$15+1,1))-AVERAGE(OFFSET($H$3,0,0,'Données projet'!$E$15+1,1))</f>
        <v>358.75637627589799</v>
      </c>
      <c r="EP120" s="62">
        <f t="shared" si="100"/>
        <v>349.64821164483607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1.7259519926729816</v>
      </c>
      <c r="EW120" s="23">
        <f>EXP(-LN(2)/25)*EW119+(1-EXP(-LN(2)/25))/(LN(2)/25)*Calculateur!ER120*Calculateur!ET120*VLOOKUP('Données projet'!$B$15,Paramètres!$A$1:$I$89,3,0)*0.475*44/12</f>
        <v>1.3746208722319111</v>
      </c>
      <c r="EX120" s="23">
        <f>EXP(-LN(2)/2)*EX119+(1-EXP(-LN(2)/2))/(LN(2)/2)*ER120*EU120*VLOOKUP('Données projet'!$B$15,Paramètres!$A$1:$I$89,3,0)*0.475*44/12</f>
        <v>2.9312788509809376E-13</v>
      </c>
      <c r="EY120" s="24">
        <f t="shared" si="75"/>
        <v>3.1005728649051858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>
        <f>FE120*VLOOKUP('Données projet'!$B$16,Paramètres!$A$1:$I$89,3,0)*VLOOKUP('Données projet'!$B$16,Paramètres!$A$1:$I$89,5,0)</f>
        <v>0</v>
      </c>
      <c r="FG120" s="14" t="e">
        <f t="shared" si="101"/>
        <v>#NUM!</v>
      </c>
      <c r="FH120" s="22" t="e">
        <f t="shared" si="76"/>
        <v>#NUM!</v>
      </c>
      <c r="FI120" s="62" t="e">
        <f t="shared" si="77"/>
        <v>#NUM!</v>
      </c>
      <c r="FJ120" s="62">
        <f ca="1">AVERAGE(OFFSET($FI$3,0,0,'Données projet'!$E$16+1,1))-AVERAGE(OFFSET($H$3,0,0,'Données projet'!$E$16+1,1))</f>
        <v>121.28977654040114</v>
      </c>
      <c r="FK120" s="62">
        <f t="shared" si="102"/>
        <v>615.69585264342595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19.825277832196988</v>
      </c>
      <c r="FR120" s="23">
        <f>EXP(-LN(2)/25)*FR119+(1-EXP(-LN(2)/25))/(LN(2)/25)*Calculateur!FM120*Calculateur!FO120*VLOOKUP('Données projet'!$B$16,Paramètres!$A$1:$I$89,3,0)*0.475*44/12</f>
        <v>2.2180498839785225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22.043327716175511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317.99999999999972</v>
      </c>
      <c r="O121" s="14">
        <f>N121*VLOOKUP('Données projet'!$B$9,Paramètres!$A$1:$I$89,3,0)*VLOOKUP('Données projet'!$B$9,Paramètres!$A$1:$I$89,5,0)</f>
        <v>253.0007999999998</v>
      </c>
      <c r="P121" s="14">
        <f t="shared" si="87"/>
        <v>61.228070105968683</v>
      </c>
      <c r="Q121" s="22">
        <f t="shared" si="107"/>
        <v>547.28194876789507</v>
      </c>
      <c r="R121" s="62">
        <f t="shared" si="55"/>
        <v>840.61528210122833</v>
      </c>
      <c r="S121" s="62">
        <f ca="1">AVERAGE(OFFSET($R$3,0,0,'Données projet'!$E$9+1,1))-AVERAGE(OFFSET($H$3,0,0,'Données projet'!$E$9+1,1))</f>
        <v>352.5736659365665</v>
      </c>
      <c r="T121" s="62">
        <f t="shared" si="88"/>
        <v>343.77208530767069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2.3596128124071063</v>
      </c>
      <c r="AA121" s="23">
        <f>EXP(-LN(2)/25)*AA120+(1-EXP(-LN(2)/25))/(LN(2)/25)*Calculateur!V121*Calculateur!X121*VLOOKUP('Données projet'!$B$9,Paramètres!$A$1:$I$89,3,0)*0.475*44/12</f>
        <v>2.0676791609924305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4.4272919733995373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3.7243808037601412E-14</v>
      </c>
      <c r="AK121" s="14">
        <f t="shared" si="89"/>
        <v>6.2767589361185393E-13</v>
      </c>
      <c r="AL121" s="22">
        <f t="shared" si="58"/>
        <v>1.1580684803728015E-12</v>
      </c>
      <c r="AM121" s="62">
        <f t="shared" si="59"/>
        <v>293.33333333333445</v>
      </c>
      <c r="AN121" s="62">
        <f ca="1">AVERAGE(OFFSET($AM$3,0,0,'Données projet'!$E$10+1,1))-AVERAGE(OFFSET($H$3,0,0,'Données projet'!$E$10+1,1))</f>
        <v>210.08998695869161</v>
      </c>
      <c r="AO121" s="62">
        <f t="shared" si="90"/>
        <v>207.30911916430881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1.0499970074903717E-14</v>
      </c>
      <c r="AX121" s="23">
        <f t="shared" si="60"/>
        <v>1.0499970074903717E-14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335.83558218229564</v>
      </c>
      <c r="BJ121" s="62">
        <f t="shared" si="92"/>
        <v>217.08423061559648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1.1921858666495015E-12</v>
      </c>
      <c r="BS121" s="24">
        <f t="shared" si="63"/>
        <v>1.1921858666495015E-12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5.6843418860808015E-14</v>
      </c>
      <c r="BZ121" s="14">
        <f>BY121*VLOOKUP('Données projet'!$B$12,Paramètres!$A$1:$I$89,3,0)*VLOOKUP('Données projet'!$B$12,Paramètres!$A$1:$I$89,5,0)</f>
        <v>4.4337866711430253E-14</v>
      </c>
      <c r="CA121" s="14">
        <f t="shared" si="93"/>
        <v>7.3222115536967035E-13</v>
      </c>
      <c r="CB121" s="22">
        <f t="shared" si="64"/>
        <v>1.3525069634579169E-12</v>
      </c>
      <c r="CC121" s="62">
        <f t="shared" si="65"/>
        <v>293.33333333333468</v>
      </c>
      <c r="CD121" s="62">
        <f ca="1">AVERAGE(OFFSET($CC$3,0,0,'Données projet'!$E$12+1,1))-AVERAGE(OFFSET($H$3,0,0,'Données projet'!$E$12+1,1))</f>
        <v>288.82868507674738</v>
      </c>
      <c r="CE121" s="62">
        <f t="shared" si="94"/>
        <v>283.48738729114024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0.4246750683785932</v>
      </c>
      <c r="CM121" s="23">
        <f>EXP(-LN(2)/2)*CM120+(1-EXP(-LN(2)/2))/(LN(2)/2)*CG121*CJ121*VLOOKUP('Données projet'!$B$12,Paramètres!$A$1:$I$89,3,0)*0.475*44/12</f>
        <v>1.4664292960816182E-13</v>
      </c>
      <c r="CN121" s="24">
        <f t="shared" si="66"/>
        <v>0.42467506837873986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317.99999999999972</v>
      </c>
      <c r="CU121" s="18">
        <f>CT121*VLOOKUP('Données projet'!$B$13,Paramètres!$A$1:$I$89,3,0)*VLOOKUP('Données projet'!$B$13,Paramètres!$A$1:$I$89,5,0)</f>
        <v>277.80479999999983</v>
      </c>
      <c r="CV121" s="14">
        <f t="shared" si="95"/>
        <v>66.50288772038418</v>
      </c>
      <c r="CW121" s="22">
        <f t="shared" si="67"/>
        <v>599.66922277966887</v>
      </c>
      <c r="CX121" s="62">
        <f t="shared" si="68"/>
        <v>893.00255611300213</v>
      </c>
      <c r="CY121" s="62">
        <f ca="1">AVERAGE(OFFSET($CX$3,0,0,'Données projet'!$E$13+1,1))-AVERAGE(OFFSET($H$3,0,0,'Données projet'!$E$13+1,1))</f>
        <v>383.46266660377637</v>
      </c>
      <c r="CZ121" s="62">
        <f t="shared" si="96"/>
        <v>373.1287543230714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1.3996091640941357</v>
      </c>
      <c r="DH121" s="23">
        <f>EXP(-LN(2)/2)*DH120+(1-EXP(-LN(2)/2))/(LN(2)/2)*DB121*DE121*VLOOKUP('Données projet'!$B$13,Paramètres!$A$1:$I$89,3,0)*0.475*44/12</f>
        <v>1.2071517583358623E-12</v>
      </c>
      <c r="DI121" s="24">
        <f t="shared" si="69"/>
        <v>1.399609164095343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>
        <f>DO121*VLOOKUP('Données projet'!$B$14,Paramètres!$A$1:$I$89,3,0)*VLOOKUP('Données projet'!$B$14,Paramètres!$A$1:$I$89,5,0)</f>
        <v>0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96.56611521638132</v>
      </c>
      <c r="DU121" s="62">
        <f t="shared" si="98"/>
        <v>465.03257878814094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14.425855078439731</v>
      </c>
      <c r="EB121" s="23">
        <f>EXP(-LN(2)/25)*EB120+(1-EXP(-LN(2)/25))/(LN(2)/25)*Calculateur!DW121*Calculateur!DY121*VLOOKUP('Données projet'!$B$14,Paramètres!$A$1:$I$89,3,0)*0.475*44/12</f>
        <v>1.601228270256648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16.02708334869638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317.99999999999972</v>
      </c>
      <c r="EK121" s="18">
        <f>EJ121*VLOOKUP('Données projet'!$B$15,Paramètres!$A$1:$I$89,3,0)*VLOOKUP('Données projet'!$B$15,Paramètres!$A$1:$I$89,5,0)</f>
        <v>257.96159999999981</v>
      </c>
      <c r="EL121" s="14">
        <f t="shared" si="99"/>
        <v>62.287674609742425</v>
      </c>
      <c r="EM121" s="22">
        <f t="shared" si="73"/>
        <v>557.76748661196768</v>
      </c>
      <c r="EN121" s="62">
        <f t="shared" si="74"/>
        <v>851.10081994530105</v>
      </c>
      <c r="EO121" s="62">
        <f ca="1">AVERAGE(OFFSET($EN$3,0,0,'Données projet'!$E$15+1,1))-AVERAGE(OFFSET($H$3,0,0,'Données projet'!$E$15+1,1))</f>
        <v>358.75637627589799</v>
      </c>
      <c r="EP121" s="62">
        <f t="shared" si="100"/>
        <v>349.64821164483607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1.6921071268234318</v>
      </c>
      <c r="EW121" s="23">
        <f>EXP(-LN(2)/25)*EW120+(1-EXP(-LN(2)/25))/(LN(2)/25)*Calculateur!ER121*Calculateur!ET121*VLOOKUP('Données projet'!$B$15,Paramètres!$A$1:$I$89,3,0)*0.475*44/12</f>
        <v>1.3370317921925596</v>
      </c>
      <c r="EX121" s="23">
        <f>EXP(-LN(2)/2)*EX120+(1-EXP(-LN(2)/2))/(LN(2)/2)*ER121*EU121*VLOOKUP('Données projet'!$B$15,Paramètres!$A$1:$I$89,3,0)*0.475*44/12</f>
        <v>2.0727271530773323E-13</v>
      </c>
      <c r="EY121" s="24">
        <f t="shared" si="75"/>
        <v>3.0291389190161988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>
        <f>FE121*VLOOKUP('Données projet'!$B$16,Paramètres!$A$1:$I$89,3,0)*VLOOKUP('Données projet'!$B$16,Paramètres!$A$1:$I$89,5,0)</f>
        <v>0</v>
      </c>
      <c r="FG121" s="14" t="e">
        <f t="shared" si="101"/>
        <v>#NUM!</v>
      </c>
      <c r="FH121" s="22" t="e">
        <f t="shared" si="76"/>
        <v>#NUM!</v>
      </c>
      <c r="FI121" s="62" t="e">
        <f t="shared" si="77"/>
        <v>#NUM!</v>
      </c>
      <c r="FJ121" s="62">
        <f ca="1">AVERAGE(OFFSET($FI$3,0,0,'Données projet'!$E$16+1,1))-AVERAGE(OFFSET($H$3,0,0,'Données projet'!$E$16+1,1))</f>
        <v>121.28977654040114</v>
      </c>
      <c r="FK121" s="62">
        <f t="shared" si="102"/>
        <v>615.69585264342595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19.436516226133076</v>
      </c>
      <c r="FR121" s="23">
        <f>EXP(-LN(2)/25)*FR120+(1-EXP(-LN(2)/25))/(LN(2)/25)*Calculateur!FM121*Calculateur!FO121*VLOOKUP('Données projet'!$B$16,Paramètres!$A$1:$I$89,3,0)*0.475*44/12</f>
        <v>2.157397193258956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21.593913419392031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317.99999999999972</v>
      </c>
      <c r="O122" s="14">
        <f>N122*VLOOKUP('Données projet'!$B$9,Paramètres!$A$1:$I$89,3,0)*VLOOKUP('Données projet'!$B$9,Paramètres!$A$1:$I$89,5,0)</f>
        <v>253.0007999999998</v>
      </c>
      <c r="P122" s="14">
        <f t="shared" si="87"/>
        <v>61.228070105968683</v>
      </c>
      <c r="Q122" s="22">
        <f t="shared" si="107"/>
        <v>547.28194876789507</v>
      </c>
      <c r="R122" s="62">
        <f t="shared" si="55"/>
        <v>840.61528210122833</v>
      </c>
      <c r="S122" s="62">
        <f ca="1">AVERAGE(OFFSET($R$3,0,0,'Données projet'!$E$9+1,1))-AVERAGE(OFFSET($H$3,0,0,'Données projet'!$E$9+1,1))</f>
        <v>352.5736659365665</v>
      </c>
      <c r="T122" s="62">
        <f t="shared" si="88"/>
        <v>343.77208530767069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2.3133422443775071</v>
      </c>
      <c r="AA122" s="23">
        <f>EXP(-LN(2)/25)*AA121+(1-EXP(-LN(2)/25))/(LN(2)/25)*Calculateur!V122*Calculateur!X122*VLOOKUP('Données projet'!$B$9,Paramètres!$A$1:$I$89,3,0)*0.475*44/12</f>
        <v>2.011138365600571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4.3244806099780781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3.7243808037601412E-14</v>
      </c>
      <c r="AK122" s="14">
        <f t="shared" si="89"/>
        <v>6.2767589361185393E-13</v>
      </c>
      <c r="AL122" s="22">
        <f t="shared" si="58"/>
        <v>1.1580684803728015E-12</v>
      </c>
      <c r="AM122" s="62">
        <f t="shared" si="59"/>
        <v>293.33333333333445</v>
      </c>
      <c r="AN122" s="62">
        <f ca="1">AVERAGE(OFFSET($AM$3,0,0,'Données projet'!$E$10+1,1))-AVERAGE(OFFSET($H$3,0,0,'Données projet'!$E$10+1,1))</f>
        <v>210.08998695869161</v>
      </c>
      <c r="AO122" s="62">
        <f t="shared" si="90"/>
        <v>207.30911916430881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7.4246000422202395E-15</v>
      </c>
      <c r="AX122" s="23">
        <f t="shared" si="60"/>
        <v>7.4246000422202395E-15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335.83558218229564</v>
      </c>
      <c r="BJ122" s="62">
        <f t="shared" si="92"/>
        <v>217.08423061559648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8.4300271074262358E-13</v>
      </c>
      <c r="BS122" s="24">
        <f t="shared" si="63"/>
        <v>8.4300271074262358E-13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5.6843418860808015E-14</v>
      </c>
      <c r="BZ122" s="14">
        <f>BY122*VLOOKUP('Données projet'!$B$12,Paramètres!$A$1:$I$89,3,0)*VLOOKUP('Données projet'!$B$12,Paramètres!$A$1:$I$89,5,0)</f>
        <v>4.4337866711430253E-14</v>
      </c>
      <c r="CA122" s="14">
        <f t="shared" si="93"/>
        <v>7.3222115536967035E-13</v>
      </c>
      <c r="CB122" s="22">
        <f t="shared" si="64"/>
        <v>1.3525069634579169E-12</v>
      </c>
      <c r="CC122" s="62">
        <f t="shared" si="65"/>
        <v>293.33333333333468</v>
      </c>
      <c r="CD122" s="62">
        <f ca="1">AVERAGE(OFFSET($CC$3,0,0,'Données projet'!$E$12+1,1))-AVERAGE(OFFSET($H$3,0,0,'Données projet'!$E$12+1,1))</f>
        <v>288.82868507674738</v>
      </c>
      <c r="CE122" s="62">
        <f t="shared" si="94"/>
        <v>283.48738729114024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0.41306230630108931</v>
      </c>
      <c r="CM122" s="23">
        <f>EXP(-LN(2)/2)*CM121+(1-EXP(-LN(2)/2))/(LN(2)/2)*CG122*CJ122*VLOOKUP('Données projet'!$B$12,Paramètres!$A$1:$I$89,3,0)*0.475*44/12</f>
        <v>1.0369220993899277E-13</v>
      </c>
      <c r="CN122" s="24">
        <f t="shared" si="66"/>
        <v>0.41306230630119301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317.99999999999972</v>
      </c>
      <c r="CU122" s="18">
        <f>CT122*VLOOKUP('Données projet'!$B$13,Paramètres!$A$1:$I$89,3,0)*VLOOKUP('Données projet'!$B$13,Paramètres!$A$1:$I$89,5,0)</f>
        <v>277.80479999999983</v>
      </c>
      <c r="CV122" s="14">
        <f t="shared" si="95"/>
        <v>66.50288772038418</v>
      </c>
      <c r="CW122" s="22">
        <f t="shared" si="67"/>
        <v>599.66922277966887</v>
      </c>
      <c r="CX122" s="62">
        <f t="shared" si="68"/>
        <v>893.00255611300213</v>
      </c>
      <c r="CY122" s="62">
        <f ca="1">AVERAGE(OFFSET($CX$3,0,0,'Données projet'!$E$13+1,1))-AVERAGE(OFFSET($H$3,0,0,'Données projet'!$E$13+1,1))</f>
        <v>383.46266660377637</v>
      </c>
      <c r="CZ122" s="62">
        <f t="shared" si="96"/>
        <v>373.1287543230714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1.3613367778997345</v>
      </c>
      <c r="DH122" s="23">
        <f>EXP(-LN(2)/2)*DH121+(1-EXP(-LN(2)/2))/(LN(2)/2)*DB122*DE122*VLOOKUP('Données projet'!$B$13,Paramètres!$A$1:$I$89,3,0)*0.475*44/12</f>
        <v>8.5358519424055269E-13</v>
      </c>
      <c r="DI122" s="24">
        <f t="shared" si="69"/>
        <v>1.361336777900588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>
        <f>DO122*VLOOKUP('Données projet'!$B$14,Paramètres!$A$1:$I$89,3,0)*VLOOKUP('Données projet'!$B$14,Paramètres!$A$1:$I$89,5,0)</f>
        <v>0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96.56611521638132</v>
      </c>
      <c r="DU122" s="62">
        <f t="shared" si="98"/>
        <v>465.03257878814094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14.142972859254307</v>
      </c>
      <c r="EB122" s="23">
        <f>EXP(-LN(2)/25)*EB121+(1-EXP(-LN(2)/25))/(LN(2)/25)*Calculateur!DW122*Calculateur!DY122*VLOOKUP('Données projet'!$B$14,Paramètres!$A$1:$I$89,3,0)*0.475*44/12</f>
        <v>1.557442599001545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15.700415458255852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317.99999999999972</v>
      </c>
      <c r="EK122" s="18">
        <f>EJ122*VLOOKUP('Données projet'!$B$15,Paramètres!$A$1:$I$89,3,0)*VLOOKUP('Données projet'!$B$15,Paramètres!$A$1:$I$89,5,0)</f>
        <v>257.96159999999981</v>
      </c>
      <c r="EL122" s="14">
        <f t="shared" si="99"/>
        <v>62.287674609742425</v>
      </c>
      <c r="EM122" s="22">
        <f t="shared" si="73"/>
        <v>557.76748661196768</v>
      </c>
      <c r="EN122" s="62">
        <f t="shared" si="74"/>
        <v>851.10081994530105</v>
      </c>
      <c r="EO122" s="62">
        <f ca="1">AVERAGE(OFFSET($EN$3,0,0,'Données projet'!$E$15+1,1))-AVERAGE(OFFSET($H$3,0,0,'Données projet'!$E$15+1,1))</f>
        <v>358.75637627589799</v>
      </c>
      <c r="EP122" s="62">
        <f t="shared" si="100"/>
        <v>349.64821164483607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1.6589259381498618</v>
      </c>
      <c r="EW122" s="23">
        <f>EXP(-LN(2)/25)*EW121+(1-EXP(-LN(2)/25))/(LN(2)/25)*Calculateur!ER122*Calculateur!ET122*VLOOKUP('Données projet'!$B$15,Paramètres!$A$1:$I$89,3,0)*0.475*44/12</f>
        <v>1.300470587523608</v>
      </c>
      <c r="EX122" s="23">
        <f>EXP(-LN(2)/2)*EX121+(1-EXP(-LN(2)/2))/(LN(2)/2)*ER122*EU122*VLOOKUP('Données projet'!$B$15,Paramètres!$A$1:$I$89,3,0)*0.475*44/12</f>
        <v>1.4656394254904688E-13</v>
      </c>
      <c r="EY122" s="24">
        <f t="shared" si="75"/>
        <v>2.9593965256736166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>
        <f>FE122*VLOOKUP('Données projet'!$B$16,Paramètres!$A$1:$I$89,3,0)*VLOOKUP('Données projet'!$B$16,Paramètres!$A$1:$I$89,5,0)</f>
        <v>0</v>
      </c>
      <c r="FG122" s="14" t="e">
        <f t="shared" si="101"/>
        <v>#NUM!</v>
      </c>
      <c r="FH122" s="22" t="e">
        <f t="shared" si="76"/>
        <v>#NUM!</v>
      </c>
      <c r="FI122" s="62" t="e">
        <f t="shared" si="77"/>
        <v>#NUM!</v>
      </c>
      <c r="FJ122" s="62">
        <f ca="1">AVERAGE(OFFSET($FI$3,0,0,'Données projet'!$E$16+1,1))-AVERAGE(OFFSET($H$3,0,0,'Données projet'!$E$16+1,1))</f>
        <v>121.28977654040114</v>
      </c>
      <c r="FK122" s="62">
        <f t="shared" si="102"/>
        <v>615.69585264342595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19.055377998042911</v>
      </c>
      <c r="FR122" s="23">
        <f>EXP(-LN(2)/25)*FR121+(1-EXP(-LN(2)/25))/(LN(2)/25)*Calculateur!FM122*Calculateur!FO122*VLOOKUP('Données projet'!$B$16,Paramètres!$A$1:$I$89,3,0)*0.475*44/12</f>
        <v>2.0984030535567024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21.153781051599612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317.99999999999972</v>
      </c>
      <c r="O123" s="14">
        <f>N123*VLOOKUP('Données projet'!$B$9,Paramètres!$A$1:$I$89,3,0)*VLOOKUP('Données projet'!$B$9,Paramètres!$A$1:$I$89,5,0)</f>
        <v>253.0007999999998</v>
      </c>
      <c r="P123" s="14">
        <f t="shared" si="87"/>
        <v>61.228070105968683</v>
      </c>
      <c r="Q123" s="22">
        <f t="shared" si="107"/>
        <v>547.28194876789507</v>
      </c>
      <c r="R123" s="62">
        <f t="shared" si="55"/>
        <v>840.61528210122833</v>
      </c>
      <c r="S123" s="62">
        <f ca="1">AVERAGE(OFFSET($R$3,0,0,'Données projet'!$E$9+1,1))-AVERAGE(OFFSET($H$3,0,0,'Données projet'!$E$9+1,1))</f>
        <v>352.5736659365665</v>
      </c>
      <c r="T123" s="62">
        <f t="shared" si="88"/>
        <v>343.77208530767069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2.2679790139647085</v>
      </c>
      <c r="AA123" s="23">
        <f>EXP(-LN(2)/25)*AA122+(1-EXP(-LN(2)/25))/(LN(2)/25)*Calculateur!V123*Calculateur!X123*VLOOKUP('Données projet'!$B$9,Paramètres!$A$1:$I$89,3,0)*0.475*44/12</f>
        <v>1.9561436812320532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4.2241226951967619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3.7243808037601412E-14</v>
      </c>
      <c r="AK123" s="14">
        <f t="shared" si="89"/>
        <v>6.2767589361185393E-13</v>
      </c>
      <c r="AL123" s="22">
        <f t="shared" si="58"/>
        <v>1.1580684803728015E-12</v>
      </c>
      <c r="AM123" s="62">
        <f t="shared" si="59"/>
        <v>293.33333333333445</v>
      </c>
      <c r="AN123" s="62">
        <f ca="1">AVERAGE(OFFSET($AM$3,0,0,'Données projet'!$E$10+1,1))-AVERAGE(OFFSET($H$3,0,0,'Données projet'!$E$10+1,1))</f>
        <v>210.08998695869161</v>
      </c>
      <c r="AO123" s="62">
        <f t="shared" si="90"/>
        <v>207.30911916430881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5.2499850374518586E-15</v>
      </c>
      <c r="AX123" s="23">
        <f t="shared" si="60"/>
        <v>5.2499850374518586E-15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335.83558218229564</v>
      </c>
      <c r="BJ123" s="62">
        <f t="shared" si="92"/>
        <v>217.08423061559648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5.9609293332475074E-13</v>
      </c>
      <c r="BS123" s="24">
        <f t="shared" si="63"/>
        <v>5.9609293332475074E-13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5.6843418860808015E-14</v>
      </c>
      <c r="BZ123" s="14">
        <f>BY123*VLOOKUP('Données projet'!$B$12,Paramètres!$A$1:$I$89,3,0)*VLOOKUP('Données projet'!$B$12,Paramètres!$A$1:$I$89,5,0)</f>
        <v>4.4337866711430253E-14</v>
      </c>
      <c r="CA123" s="14">
        <f t="shared" si="93"/>
        <v>7.3222115536967035E-13</v>
      </c>
      <c r="CB123" s="22">
        <f t="shared" si="64"/>
        <v>1.3525069634579169E-12</v>
      </c>
      <c r="CC123" s="62">
        <f t="shared" si="65"/>
        <v>293.33333333333468</v>
      </c>
      <c r="CD123" s="62">
        <f ca="1">AVERAGE(OFFSET($CC$3,0,0,'Données projet'!$E$12+1,1))-AVERAGE(OFFSET($H$3,0,0,'Données projet'!$E$12+1,1))</f>
        <v>288.82868507674738</v>
      </c>
      <c r="CE123" s="62">
        <f t="shared" si="94"/>
        <v>283.48738729114024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0.4017670958132834</v>
      </c>
      <c r="CM123" s="23">
        <f>EXP(-LN(2)/2)*CM122+(1-EXP(-LN(2)/2))/(LN(2)/2)*CG123*CJ123*VLOOKUP('Données projet'!$B$12,Paramètres!$A$1:$I$89,3,0)*0.475*44/12</f>
        <v>7.3321464804080908E-14</v>
      </c>
      <c r="CN123" s="24">
        <f t="shared" si="66"/>
        <v>0.40176709581335673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317.99999999999972</v>
      </c>
      <c r="CU123" s="18">
        <f>CT123*VLOOKUP('Données projet'!$B$13,Paramètres!$A$1:$I$89,3,0)*VLOOKUP('Données projet'!$B$13,Paramètres!$A$1:$I$89,5,0)</f>
        <v>277.80479999999983</v>
      </c>
      <c r="CV123" s="14">
        <f t="shared" si="95"/>
        <v>66.50288772038418</v>
      </c>
      <c r="CW123" s="22">
        <f t="shared" si="67"/>
        <v>599.66922277966887</v>
      </c>
      <c r="CX123" s="62">
        <f t="shared" si="68"/>
        <v>893.00255611300213</v>
      </c>
      <c r="CY123" s="62">
        <f ca="1">AVERAGE(OFFSET($CX$3,0,0,'Données projet'!$E$13+1,1))-AVERAGE(OFFSET($H$3,0,0,'Données projet'!$E$13+1,1))</f>
        <v>383.46266660377637</v>
      </c>
      <c r="CZ123" s="62">
        <f t="shared" si="96"/>
        <v>373.1287543230714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1.3241109521184764</v>
      </c>
      <c r="DH123" s="23">
        <f>EXP(-LN(2)/2)*DH122+(1-EXP(-LN(2)/2))/(LN(2)/2)*DB123*DE123*VLOOKUP('Données projet'!$B$13,Paramètres!$A$1:$I$89,3,0)*0.475*44/12</f>
        <v>6.0357587916793115E-13</v>
      </c>
      <c r="DI123" s="24">
        <f t="shared" si="69"/>
        <v>1.3241109521190799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>
        <f>DO123*VLOOKUP('Données projet'!$B$14,Paramètres!$A$1:$I$89,3,0)*VLOOKUP('Données projet'!$B$14,Paramètres!$A$1:$I$89,5,0)</f>
        <v>0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96.56611521638132</v>
      </c>
      <c r="DU123" s="62">
        <f t="shared" si="98"/>
        <v>465.03257878814094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13.865637787845992</v>
      </c>
      <c r="EB123" s="23">
        <f>EXP(-LN(2)/25)*EB122+(1-EXP(-LN(2)/25))/(LN(2)/25)*Calculateur!DW123*Calculateur!DY123*VLOOKUP('Données projet'!$B$14,Paramètres!$A$1:$I$89,3,0)*0.475*44/12</f>
        <v>1.5148542492295012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15.380492037075493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317.99999999999972</v>
      </c>
      <c r="EK123" s="18">
        <f>EJ123*VLOOKUP('Données projet'!$B$15,Paramètres!$A$1:$I$89,3,0)*VLOOKUP('Données projet'!$B$15,Paramètres!$A$1:$I$89,5,0)</f>
        <v>257.96159999999981</v>
      </c>
      <c r="EL123" s="14">
        <f t="shared" si="99"/>
        <v>62.287674609742425</v>
      </c>
      <c r="EM123" s="22">
        <f t="shared" si="73"/>
        <v>557.76748661196768</v>
      </c>
      <c r="EN123" s="62">
        <f t="shared" si="74"/>
        <v>851.10081994530105</v>
      </c>
      <c r="EO123" s="62">
        <f ca="1">AVERAGE(OFFSET($EN$3,0,0,'Données projet'!$E$15+1,1))-AVERAGE(OFFSET($H$3,0,0,'Données projet'!$E$15+1,1))</f>
        <v>358.75637627589799</v>
      </c>
      <c r="EP123" s="62">
        <f t="shared" si="100"/>
        <v>349.64821164483607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1.6263954123476538</v>
      </c>
      <c r="EW123" s="23">
        <f>EXP(-LN(2)/25)*EW122+(1-EXP(-LN(2)/25))/(LN(2)/25)*Calculateur!ER123*Calculateur!ET123*VLOOKUP('Données projet'!$B$15,Paramètres!$A$1:$I$89,3,0)*0.475*44/12</f>
        <v>1.2649091509189989</v>
      </c>
      <c r="EX123" s="23">
        <f>EXP(-LN(2)/2)*EX122+(1-EXP(-LN(2)/2))/(LN(2)/2)*ER123*EU123*VLOOKUP('Données projet'!$B$15,Paramètres!$A$1:$I$89,3,0)*0.475*44/12</f>
        <v>1.0363635765386662E-13</v>
      </c>
      <c r="EY123" s="24">
        <f t="shared" si="75"/>
        <v>2.8913045632667562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>
        <f>FE123*VLOOKUP('Données projet'!$B$16,Paramètres!$A$1:$I$89,3,0)*VLOOKUP('Données projet'!$B$16,Paramètres!$A$1:$I$89,5,0)</f>
        <v>0</v>
      </c>
      <c r="FG123" s="14" t="e">
        <f t="shared" si="101"/>
        <v>#NUM!</v>
      </c>
      <c r="FH123" s="22" t="e">
        <f t="shared" si="76"/>
        <v>#NUM!</v>
      </c>
      <c r="FI123" s="62" t="e">
        <f t="shared" si="77"/>
        <v>#NUM!</v>
      </c>
      <c r="FJ123" s="62">
        <f ca="1">AVERAGE(OFFSET($FI$3,0,0,'Données projet'!$E$16+1,1))-AVERAGE(OFFSET($H$3,0,0,'Données projet'!$E$16+1,1))</f>
        <v>121.28977654040114</v>
      </c>
      <c r="FK123" s="62">
        <f t="shared" si="102"/>
        <v>615.69585264342595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18.681713658134228</v>
      </c>
      <c r="FR123" s="23">
        <f>EXP(-LN(2)/25)*FR122+(1-EXP(-LN(2)/25))/(LN(2)/25)*Calculateur!FM123*Calculateur!FO123*VLOOKUP('Données projet'!$B$16,Paramètres!$A$1:$I$89,3,0)*0.475*44/12</f>
        <v>2.0410221117069738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20.722735769841201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317.99999999999972</v>
      </c>
      <c r="O124" s="14">
        <f>N124*VLOOKUP('Données projet'!$B$9,Paramètres!$A$1:$I$89,3,0)*VLOOKUP('Données projet'!$B$9,Paramètres!$A$1:$I$89,5,0)</f>
        <v>253.0007999999998</v>
      </c>
      <c r="P124" s="14">
        <f t="shared" si="87"/>
        <v>61.228070105968683</v>
      </c>
      <c r="Q124" s="22">
        <f t="shared" si="107"/>
        <v>547.28194876789507</v>
      </c>
      <c r="R124" s="62">
        <f t="shared" si="55"/>
        <v>840.61528210122833</v>
      </c>
      <c r="S124" s="62">
        <f ca="1">AVERAGE(OFFSET($R$3,0,0,'Données projet'!$E$9+1,1))-AVERAGE(OFFSET($H$3,0,0,'Données projet'!$E$9+1,1))</f>
        <v>352.5736659365665</v>
      </c>
      <c r="T124" s="62">
        <f t="shared" si="88"/>
        <v>343.77208530767069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2.2235053288314663</v>
      </c>
      <c r="AA124" s="23">
        <f>EXP(-LN(2)/25)*AA123+(1-EXP(-LN(2)/25))/(LN(2)/25)*Calculateur!V124*Calculateur!X124*VLOOKUP('Données projet'!$B$9,Paramètres!$A$1:$I$89,3,0)*0.475*44/12</f>
        <v>1.9026528293996374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4.126158158231104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3.7243808037601412E-14</v>
      </c>
      <c r="AK124" s="14">
        <f t="shared" si="89"/>
        <v>6.2767589361185393E-13</v>
      </c>
      <c r="AL124" s="22">
        <f t="shared" si="58"/>
        <v>1.1580684803728015E-12</v>
      </c>
      <c r="AM124" s="62">
        <f t="shared" si="59"/>
        <v>293.33333333333445</v>
      </c>
      <c r="AN124" s="62">
        <f ca="1">AVERAGE(OFFSET($AM$3,0,0,'Données projet'!$E$10+1,1))-AVERAGE(OFFSET($H$3,0,0,'Données projet'!$E$10+1,1))</f>
        <v>210.08998695869161</v>
      </c>
      <c r="AO124" s="62">
        <f t="shared" si="90"/>
        <v>207.30911916430881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3.7123000211101198E-15</v>
      </c>
      <c r="AX124" s="23">
        <f t="shared" si="60"/>
        <v>3.7123000211101198E-15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335.83558218229564</v>
      </c>
      <c r="BJ124" s="62">
        <f t="shared" si="92"/>
        <v>217.08423061559648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4.2150135537131179E-13</v>
      </c>
      <c r="BS124" s="24">
        <f t="shared" si="63"/>
        <v>4.2150135537131179E-13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5.6843418860808015E-14</v>
      </c>
      <c r="BZ124" s="14">
        <f>BY124*VLOOKUP('Données projet'!$B$12,Paramètres!$A$1:$I$89,3,0)*VLOOKUP('Données projet'!$B$12,Paramètres!$A$1:$I$89,5,0)</f>
        <v>4.4337866711430253E-14</v>
      </c>
      <c r="CA124" s="14">
        <f t="shared" si="93"/>
        <v>7.3222115536967035E-13</v>
      </c>
      <c r="CB124" s="22">
        <f t="shared" si="64"/>
        <v>1.3525069634579169E-12</v>
      </c>
      <c r="CC124" s="62">
        <f t="shared" si="65"/>
        <v>293.33333333333468</v>
      </c>
      <c r="CD124" s="62">
        <f ca="1">AVERAGE(OFFSET($CC$3,0,0,'Données projet'!$E$12+1,1))-AVERAGE(OFFSET($H$3,0,0,'Données projet'!$E$12+1,1))</f>
        <v>288.82868507674738</v>
      </c>
      <c r="CE124" s="62">
        <f t="shared" si="94"/>
        <v>283.48738729114024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0.39078075345025587</v>
      </c>
      <c r="CM124" s="23">
        <f>EXP(-LN(2)/2)*CM123+(1-EXP(-LN(2)/2))/(LN(2)/2)*CG124*CJ124*VLOOKUP('Données projet'!$B$12,Paramètres!$A$1:$I$89,3,0)*0.475*44/12</f>
        <v>5.1846104969496385E-14</v>
      </c>
      <c r="CN124" s="24">
        <f t="shared" si="66"/>
        <v>0.39078075345030772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317.99999999999972</v>
      </c>
      <c r="CU124" s="18">
        <f>CT124*VLOOKUP('Données projet'!$B$13,Paramètres!$A$1:$I$89,3,0)*VLOOKUP('Données projet'!$B$13,Paramètres!$A$1:$I$89,5,0)</f>
        <v>277.80479999999983</v>
      </c>
      <c r="CV124" s="14">
        <f t="shared" si="95"/>
        <v>66.50288772038418</v>
      </c>
      <c r="CW124" s="22">
        <f t="shared" si="67"/>
        <v>599.66922277966887</v>
      </c>
      <c r="CX124" s="62">
        <f t="shared" si="68"/>
        <v>893.00255611300213</v>
      </c>
      <c r="CY124" s="62">
        <f ca="1">AVERAGE(OFFSET($CX$3,0,0,'Données projet'!$E$13+1,1))-AVERAGE(OFFSET($H$3,0,0,'Données projet'!$E$13+1,1))</f>
        <v>383.46266660377637</v>
      </c>
      <c r="CZ124" s="62">
        <f t="shared" si="96"/>
        <v>373.1287543230714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1.2879030685008279</v>
      </c>
      <c r="DH124" s="23">
        <f>EXP(-LN(2)/2)*DH123+(1-EXP(-LN(2)/2))/(LN(2)/2)*DB124*DE124*VLOOKUP('Données projet'!$B$13,Paramètres!$A$1:$I$89,3,0)*0.475*44/12</f>
        <v>4.2679259712027635E-13</v>
      </c>
      <c r="DI124" s="24">
        <f t="shared" si="69"/>
        <v>1.2879030685012547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>
        <f>DO124*VLOOKUP('Données projet'!$B$14,Paramètres!$A$1:$I$89,3,0)*VLOOKUP('Données projet'!$B$14,Paramètres!$A$1:$I$89,5,0)</f>
        <v>0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96.56611521638132</v>
      </c>
      <c r="DU124" s="62">
        <f t="shared" si="98"/>
        <v>465.03257878814094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13.593741088030304</v>
      </c>
      <c r="EB124" s="23">
        <f>EXP(-LN(2)/25)*EB123+(1-EXP(-LN(2)/25))/(LN(2)/25)*Calculateur!DW124*Calculateur!DY124*VLOOKUP('Données projet'!$B$14,Paramètres!$A$1:$I$89,3,0)*0.475*44/12</f>
        <v>1.4734304801215978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15.067171568151903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317.99999999999972</v>
      </c>
      <c r="EK124" s="18">
        <f>EJ124*VLOOKUP('Données projet'!$B$15,Paramètres!$A$1:$I$89,3,0)*VLOOKUP('Données projet'!$B$15,Paramètres!$A$1:$I$89,5,0)</f>
        <v>257.96159999999981</v>
      </c>
      <c r="EL124" s="14">
        <f t="shared" si="99"/>
        <v>62.287674609742425</v>
      </c>
      <c r="EM124" s="22">
        <f t="shared" si="73"/>
        <v>557.76748661196768</v>
      </c>
      <c r="EN124" s="62">
        <f t="shared" si="74"/>
        <v>851.10081994530105</v>
      </c>
      <c r="EO124" s="62">
        <f ca="1">AVERAGE(OFFSET($EN$3,0,0,'Données projet'!$E$15+1,1))-AVERAGE(OFFSET($H$3,0,0,'Données projet'!$E$15+1,1))</f>
        <v>358.75637627589799</v>
      </c>
      <c r="EP124" s="62">
        <f t="shared" si="100"/>
        <v>349.64821164483607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1.5945027903147657</v>
      </c>
      <c r="EW124" s="23">
        <f>EXP(-LN(2)/25)*EW123+(1-EXP(-LN(2)/25))/(LN(2)/25)*Calculateur!ER124*Calculateur!ET124*VLOOKUP('Données projet'!$B$15,Paramètres!$A$1:$I$89,3,0)*0.475*44/12</f>
        <v>1.2303201436684377</v>
      </c>
      <c r="EX124" s="23">
        <f>EXP(-LN(2)/2)*EX123+(1-EXP(-LN(2)/2))/(LN(2)/2)*ER124*EU124*VLOOKUP('Données projet'!$B$15,Paramètres!$A$1:$I$89,3,0)*0.475*44/12</f>
        <v>7.328197127452344E-14</v>
      </c>
      <c r="EY124" s="24">
        <f t="shared" si="75"/>
        <v>2.8248229339832767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>
        <f>FE124*VLOOKUP('Données projet'!$B$16,Paramètres!$A$1:$I$89,3,0)*VLOOKUP('Données projet'!$B$16,Paramètres!$A$1:$I$89,5,0)</f>
        <v>0</v>
      </c>
      <c r="FG124" s="14" t="e">
        <f t="shared" si="101"/>
        <v>#NUM!</v>
      </c>
      <c r="FH124" s="22" t="e">
        <f t="shared" si="76"/>
        <v>#NUM!</v>
      </c>
      <c r="FI124" s="62" t="e">
        <f t="shared" si="77"/>
        <v>#NUM!</v>
      </c>
      <c r="FJ124" s="62">
        <f ca="1">AVERAGE(OFFSET($FI$3,0,0,'Données projet'!$E$16+1,1))-AVERAGE(OFFSET($H$3,0,0,'Données projet'!$E$16+1,1))</f>
        <v>121.28977654040114</v>
      </c>
      <c r="FK124" s="62">
        <f t="shared" si="102"/>
        <v>615.69585264342595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18.315376648018411</v>
      </c>
      <c r="FR124" s="23">
        <f>EXP(-LN(2)/25)*FR123+(1-EXP(-LN(2)/25))/(LN(2)/25)*Calculateur!FM124*Calculateur!FO124*VLOOKUP('Données projet'!$B$16,Paramètres!$A$1:$I$89,3,0)*0.475*44/12</f>
        <v>1.9852102547296586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20.300586902748069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317.99999999999972</v>
      </c>
      <c r="O125" s="14">
        <f>N125*VLOOKUP('Données projet'!$B$9,Paramètres!$A$1:$I$89,3,0)*VLOOKUP('Données projet'!$B$9,Paramètres!$A$1:$I$89,5,0)</f>
        <v>253.0007999999998</v>
      </c>
      <c r="P125" s="14">
        <f t="shared" si="87"/>
        <v>61.228070105968683</v>
      </c>
      <c r="Q125" s="22">
        <f t="shared" si="107"/>
        <v>547.28194876789507</v>
      </c>
      <c r="R125" s="62">
        <f t="shared" si="55"/>
        <v>840.61528210122833</v>
      </c>
      <c r="S125" s="62">
        <f ca="1">AVERAGE(OFFSET($R$3,0,0,'Données projet'!$E$9+1,1))-AVERAGE(OFFSET($H$3,0,0,'Données projet'!$E$9+1,1))</f>
        <v>352.5736659365665</v>
      </c>
      <c r="T125" s="62">
        <f t="shared" si="88"/>
        <v>343.77208530767069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2.1799037455374179</v>
      </c>
      <c r="AA125" s="23">
        <f>EXP(-LN(2)/25)*AA124+(1-EXP(-LN(2)/25))/(LN(2)/25)*Calculateur!V125*Calculateur!X125*VLOOKUP('Données projet'!$B$9,Paramètres!$A$1:$I$89,3,0)*0.475*44/12</f>
        <v>1.8506246877235406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4.0305284332609581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3.7243808037601412E-14</v>
      </c>
      <c r="AK125" s="14">
        <f t="shared" si="89"/>
        <v>6.2767589361185393E-13</v>
      </c>
      <c r="AL125" s="22">
        <f t="shared" si="58"/>
        <v>1.1580684803728015E-12</v>
      </c>
      <c r="AM125" s="62">
        <f t="shared" si="59"/>
        <v>293.33333333333445</v>
      </c>
      <c r="AN125" s="62">
        <f ca="1">AVERAGE(OFFSET($AM$3,0,0,'Données projet'!$E$10+1,1))-AVERAGE(OFFSET($H$3,0,0,'Données projet'!$E$10+1,1))</f>
        <v>210.08998695869161</v>
      </c>
      <c r="AO125" s="62">
        <f t="shared" si="90"/>
        <v>207.30911916430881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2.6249925187259293E-15</v>
      </c>
      <c r="AX125" s="23">
        <f t="shared" si="60"/>
        <v>2.6249925187259293E-15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335.83558218229564</v>
      </c>
      <c r="BJ125" s="62">
        <f t="shared" si="92"/>
        <v>217.08423061559648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2.9804646666237537E-13</v>
      </c>
      <c r="BS125" s="24">
        <f t="shared" si="63"/>
        <v>2.9804646666237537E-13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5.6843418860808015E-14</v>
      </c>
      <c r="BZ125" s="14">
        <f>BY125*VLOOKUP('Données projet'!$B$12,Paramètres!$A$1:$I$89,3,0)*VLOOKUP('Données projet'!$B$12,Paramètres!$A$1:$I$89,5,0)</f>
        <v>4.4337866711430253E-14</v>
      </c>
      <c r="CA125" s="14">
        <f t="shared" si="93"/>
        <v>7.3222115536967035E-13</v>
      </c>
      <c r="CB125" s="22">
        <f t="shared" si="64"/>
        <v>1.3525069634579169E-12</v>
      </c>
      <c r="CC125" s="62">
        <f t="shared" si="65"/>
        <v>293.33333333333468</v>
      </c>
      <c r="CD125" s="62">
        <f ca="1">AVERAGE(OFFSET($CC$3,0,0,'Données projet'!$E$12+1,1))-AVERAGE(OFFSET($H$3,0,0,'Données projet'!$E$12+1,1))</f>
        <v>288.82868507674738</v>
      </c>
      <c r="CE125" s="62">
        <f t="shared" si="94"/>
        <v>283.48738729114024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0.38009483319689191</v>
      </c>
      <c r="CM125" s="23">
        <f>EXP(-LN(2)/2)*CM124+(1-EXP(-LN(2)/2))/(LN(2)/2)*CG125*CJ125*VLOOKUP('Données projet'!$B$12,Paramètres!$A$1:$I$89,3,0)*0.475*44/12</f>
        <v>3.6660732402040454E-14</v>
      </c>
      <c r="CN125" s="24">
        <f t="shared" si="66"/>
        <v>0.38009483319692855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317.99999999999972</v>
      </c>
      <c r="CU125" s="18">
        <f>CT125*VLOOKUP('Données projet'!$B$13,Paramètres!$A$1:$I$89,3,0)*VLOOKUP('Données projet'!$B$13,Paramètres!$A$1:$I$89,5,0)</f>
        <v>277.80479999999983</v>
      </c>
      <c r="CV125" s="14">
        <f t="shared" si="95"/>
        <v>66.50288772038418</v>
      </c>
      <c r="CW125" s="22">
        <f t="shared" si="67"/>
        <v>599.66922277966887</v>
      </c>
      <c r="CX125" s="62">
        <f t="shared" si="68"/>
        <v>893.00255611300213</v>
      </c>
      <c r="CY125" s="62">
        <f ca="1">AVERAGE(OFFSET($CX$3,0,0,'Données projet'!$E$13+1,1))-AVERAGE(OFFSET($H$3,0,0,'Données projet'!$E$13+1,1))</f>
        <v>383.46266660377637</v>
      </c>
      <c r="CZ125" s="62">
        <f t="shared" si="96"/>
        <v>373.1287543230714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1.2526852913647939</v>
      </c>
      <c r="DH125" s="23">
        <f>EXP(-LN(2)/2)*DH124+(1-EXP(-LN(2)/2))/(LN(2)/2)*DB125*DE125*VLOOKUP('Données projet'!$B$13,Paramètres!$A$1:$I$89,3,0)*0.475*44/12</f>
        <v>3.0178793958396557E-13</v>
      </c>
      <c r="DI125" s="24">
        <f t="shared" si="69"/>
        <v>1.2526852913650957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>
        <f>DO125*VLOOKUP('Données projet'!$B$14,Paramètres!$A$1:$I$89,3,0)*VLOOKUP('Données projet'!$B$14,Paramètres!$A$1:$I$89,5,0)</f>
        <v>0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96.56611521638132</v>
      </c>
      <c r="DU125" s="62">
        <f t="shared" si="98"/>
        <v>465.03257878814094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13.327176116657389</v>
      </c>
      <c r="EB125" s="23">
        <f>EXP(-LN(2)/25)*EB124+(1-EXP(-LN(2)/25))/(LN(2)/25)*Calculateur!DW125*Calculateur!DY125*VLOOKUP('Données projet'!$B$14,Paramètres!$A$1:$I$89,3,0)*0.475*44/12</f>
        <v>1.4331394461583313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14.76031556281572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317.99999999999972</v>
      </c>
      <c r="EK125" s="18">
        <f>EJ125*VLOOKUP('Données projet'!$B$15,Paramètres!$A$1:$I$89,3,0)*VLOOKUP('Données projet'!$B$15,Paramètres!$A$1:$I$89,5,0)</f>
        <v>257.96159999999981</v>
      </c>
      <c r="EL125" s="14">
        <f t="shared" si="99"/>
        <v>62.287674609742425</v>
      </c>
      <c r="EM125" s="22">
        <f t="shared" si="73"/>
        <v>557.76748661196768</v>
      </c>
      <c r="EN125" s="62">
        <f t="shared" si="74"/>
        <v>851.10081994530105</v>
      </c>
      <c r="EO125" s="62">
        <f ca="1">AVERAGE(OFFSET($EN$3,0,0,'Données projet'!$E$15+1,1))-AVERAGE(OFFSET($H$3,0,0,'Données projet'!$E$15+1,1))</f>
        <v>358.75637627589799</v>
      </c>
      <c r="EP125" s="62">
        <f t="shared" si="100"/>
        <v>349.64821164483607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1.5632355631473638</v>
      </c>
      <c r="EW125" s="23">
        <f>EXP(-LN(2)/25)*EW124+(1-EXP(-LN(2)/25))/(LN(2)/25)*Calculateur!ER125*Calculateur!ET125*VLOOKUP('Données projet'!$B$15,Paramètres!$A$1:$I$89,3,0)*0.475*44/12</f>
        <v>1.1966769746400998</v>
      </c>
      <c r="EX125" s="23">
        <f>EXP(-LN(2)/2)*EX124+(1-EXP(-LN(2)/2))/(LN(2)/2)*ER125*EU125*VLOOKUP('Données projet'!$B$15,Paramètres!$A$1:$I$89,3,0)*0.475*44/12</f>
        <v>5.1818178826933308E-14</v>
      </c>
      <c r="EY125" s="24">
        <f t="shared" si="75"/>
        <v>2.7599125377875153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>
        <f>FE125*VLOOKUP('Données projet'!$B$16,Paramètres!$A$1:$I$89,3,0)*VLOOKUP('Données projet'!$B$16,Paramètres!$A$1:$I$89,5,0)</f>
        <v>0</v>
      </c>
      <c r="FG125" s="14" t="e">
        <f t="shared" si="101"/>
        <v>#NUM!</v>
      </c>
      <c r="FH125" s="22" t="e">
        <f t="shared" si="76"/>
        <v>#NUM!</v>
      </c>
      <c r="FI125" s="62" t="e">
        <f t="shared" si="77"/>
        <v>#NUM!</v>
      </c>
      <c r="FJ125" s="62">
        <f ca="1">AVERAGE(OFFSET($FI$3,0,0,'Données projet'!$E$16+1,1))-AVERAGE(OFFSET($H$3,0,0,'Données projet'!$E$16+1,1))</f>
        <v>121.28977654040114</v>
      </c>
      <c r="FK125" s="62">
        <f t="shared" si="102"/>
        <v>615.69585264342595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17.956223283227452</v>
      </c>
      <c r="FR125" s="23">
        <f>EXP(-LN(2)/25)*FR124+(1-EXP(-LN(2)/25))/(LN(2)/25)*Calculateur!FM125*Calculateur!FO125*VLOOKUP('Données projet'!$B$16,Paramètres!$A$1:$I$89,3,0)*0.475*44/12</f>
        <v>1.930924575916406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19.887147859143859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317.99999999999972</v>
      </c>
      <c r="O126" s="14">
        <f>N126*VLOOKUP('Données projet'!$B$9,Paramètres!$A$1:$I$89,3,0)*VLOOKUP('Données projet'!$B$9,Paramètres!$A$1:$I$89,5,0)</f>
        <v>253.0007999999998</v>
      </c>
      <c r="P126" s="14">
        <f t="shared" si="87"/>
        <v>61.228070105968683</v>
      </c>
      <c r="Q126" s="22">
        <f t="shared" si="107"/>
        <v>547.28194876789507</v>
      </c>
      <c r="R126" s="62">
        <f t="shared" si="55"/>
        <v>840.61528210122833</v>
      </c>
      <c r="S126" s="62">
        <f ca="1">AVERAGE(OFFSET($R$3,0,0,'Données projet'!$E$9+1,1))-AVERAGE(OFFSET($H$3,0,0,'Données projet'!$E$9+1,1))</f>
        <v>352.5736659365665</v>
      </c>
      <c r="T126" s="62">
        <f t="shared" si="88"/>
        <v>343.77208530767069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2.1371571626974259</v>
      </c>
      <c r="AA126" s="23">
        <f>EXP(-LN(2)/25)*AA125+(1-EXP(-LN(2)/25))/(LN(2)/25)*Calculateur!V126*Calculateur!X126*VLOOKUP('Données projet'!$B$9,Paramètres!$A$1:$I$89,3,0)*0.475*44/12</f>
        <v>1.8000192583176178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3.9371764210150437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3.7243808037601412E-14</v>
      </c>
      <c r="AK126" s="14">
        <f t="shared" si="89"/>
        <v>6.2767589361185393E-13</v>
      </c>
      <c r="AL126" s="22">
        <f t="shared" si="58"/>
        <v>1.1580684803728015E-12</v>
      </c>
      <c r="AM126" s="62">
        <f t="shared" si="59"/>
        <v>293.33333333333445</v>
      </c>
      <c r="AN126" s="62">
        <f ca="1">AVERAGE(OFFSET($AM$3,0,0,'Données projet'!$E$10+1,1))-AVERAGE(OFFSET($H$3,0,0,'Données projet'!$E$10+1,1))</f>
        <v>210.08998695869161</v>
      </c>
      <c r="AO126" s="62">
        <f t="shared" si="90"/>
        <v>207.30911916430881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1.8561500105550599E-15</v>
      </c>
      <c r="AX126" s="23">
        <f t="shared" si="60"/>
        <v>1.8561500105550599E-15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335.83558218229564</v>
      </c>
      <c r="BJ126" s="62">
        <f t="shared" si="92"/>
        <v>217.08423061559648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2.107506776856559E-13</v>
      </c>
      <c r="BS126" s="24">
        <f t="shared" si="63"/>
        <v>2.107506776856559E-13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5.6843418860808015E-14</v>
      </c>
      <c r="BZ126" s="14">
        <f>BY126*VLOOKUP('Données projet'!$B$12,Paramètres!$A$1:$I$89,3,0)*VLOOKUP('Données projet'!$B$12,Paramètres!$A$1:$I$89,5,0)</f>
        <v>4.4337866711430253E-14</v>
      </c>
      <c r="CA126" s="14">
        <f t="shared" si="93"/>
        <v>7.3222115536967035E-13</v>
      </c>
      <c r="CB126" s="22">
        <f t="shared" si="64"/>
        <v>1.3525069634579169E-12</v>
      </c>
      <c r="CC126" s="62">
        <f t="shared" si="65"/>
        <v>293.33333333333468</v>
      </c>
      <c r="CD126" s="62">
        <f ca="1">AVERAGE(OFFSET($CC$3,0,0,'Données projet'!$E$12+1,1))-AVERAGE(OFFSET($H$3,0,0,'Données projet'!$E$12+1,1))</f>
        <v>288.82868507674738</v>
      </c>
      <c r="CE126" s="62">
        <f t="shared" si="94"/>
        <v>283.48738729114024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0.36970111999480432</v>
      </c>
      <c r="CM126" s="23">
        <f>EXP(-LN(2)/2)*CM125+(1-EXP(-LN(2)/2))/(LN(2)/2)*CG126*CJ126*VLOOKUP('Données projet'!$B$12,Paramètres!$A$1:$I$89,3,0)*0.475*44/12</f>
        <v>2.5923052484748193E-14</v>
      </c>
      <c r="CN126" s="24">
        <f t="shared" si="66"/>
        <v>0.36970111999483024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317.99999999999972</v>
      </c>
      <c r="CU126" s="18">
        <f>CT126*VLOOKUP('Données projet'!$B$13,Paramètres!$A$1:$I$89,3,0)*VLOOKUP('Données projet'!$B$13,Paramètres!$A$1:$I$89,5,0)</f>
        <v>277.80479999999983</v>
      </c>
      <c r="CV126" s="14">
        <f t="shared" si="95"/>
        <v>66.50288772038418</v>
      </c>
      <c r="CW126" s="22">
        <f t="shared" si="67"/>
        <v>599.66922277966887</v>
      </c>
      <c r="CX126" s="62">
        <f t="shared" si="68"/>
        <v>893.00255611300213</v>
      </c>
      <c r="CY126" s="62">
        <f ca="1">AVERAGE(OFFSET($CX$3,0,0,'Données projet'!$E$13+1,1))-AVERAGE(OFFSET($H$3,0,0,'Données projet'!$E$13+1,1))</f>
        <v>383.46266660377637</v>
      </c>
      <c r="CZ126" s="62">
        <f t="shared" si="96"/>
        <v>373.1287543230714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1.2184305461965672</v>
      </c>
      <c r="DH126" s="23">
        <f>EXP(-LN(2)/2)*DH125+(1-EXP(-LN(2)/2))/(LN(2)/2)*DB126*DE126*VLOOKUP('Données projet'!$B$13,Paramètres!$A$1:$I$89,3,0)*0.475*44/12</f>
        <v>2.1339629856013817E-13</v>
      </c>
      <c r="DI126" s="24">
        <f t="shared" si="69"/>
        <v>1.2184305461967806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>
        <f>DO126*VLOOKUP('Données projet'!$B$14,Paramètres!$A$1:$I$89,3,0)*VLOOKUP('Données projet'!$B$14,Paramètres!$A$1:$I$89,5,0)</f>
        <v>0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96.56611521638132</v>
      </c>
      <c r="DU126" s="62">
        <f t="shared" si="98"/>
        <v>465.03257878814094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13.065838321784518</v>
      </c>
      <c r="EB126" s="23">
        <f>EXP(-LN(2)/25)*EB125+(1-EXP(-LN(2)/25))/(LN(2)/25)*Calculateur!DW126*Calculateur!DY126*VLOOKUP('Données projet'!$B$14,Paramètres!$A$1:$I$89,3,0)*0.475*44/12</f>
        <v>1.3939501726376038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14.459788494422122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317.99999999999972</v>
      </c>
      <c r="EK126" s="18">
        <f>EJ126*VLOOKUP('Données projet'!$B$15,Paramètres!$A$1:$I$89,3,0)*VLOOKUP('Données projet'!$B$15,Paramètres!$A$1:$I$89,5,0)</f>
        <v>257.96159999999981</v>
      </c>
      <c r="EL126" s="14">
        <f t="shared" si="99"/>
        <v>62.287674609742425</v>
      </c>
      <c r="EM126" s="22">
        <f t="shared" si="73"/>
        <v>557.76748661196768</v>
      </c>
      <c r="EN126" s="62">
        <f t="shared" si="74"/>
        <v>851.10081994530105</v>
      </c>
      <c r="EO126" s="62">
        <f ca="1">AVERAGE(OFFSET($EN$3,0,0,'Données projet'!$E$15+1,1))-AVERAGE(OFFSET($H$3,0,0,'Données projet'!$E$15+1,1))</f>
        <v>358.75637627589799</v>
      </c>
      <c r="EP126" s="62">
        <f t="shared" si="100"/>
        <v>349.64821164483607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1.5325814672335891</v>
      </c>
      <c r="EW126" s="23">
        <f>EXP(-LN(2)/25)*EW125+(1-EXP(-LN(2)/25))/(LN(2)/25)*Calculateur!ER126*Calculateur!ET126*VLOOKUP('Données projet'!$B$15,Paramètres!$A$1:$I$89,3,0)*0.475*44/12</f>
        <v>1.1639537798380593</v>
      </c>
      <c r="EX126" s="23">
        <f>EXP(-LN(2)/2)*EX125+(1-EXP(-LN(2)/2))/(LN(2)/2)*ER126*EU126*VLOOKUP('Données projet'!$B$15,Paramètres!$A$1:$I$89,3,0)*0.475*44/12</f>
        <v>3.664098563726172E-14</v>
      </c>
      <c r="EY126" s="24">
        <f t="shared" si="75"/>
        <v>2.6965352470716852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>
        <f>FE126*VLOOKUP('Données projet'!$B$16,Paramètres!$A$1:$I$89,3,0)*VLOOKUP('Données projet'!$B$16,Paramètres!$A$1:$I$89,5,0)</f>
        <v>0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121.28977654040114</v>
      </c>
      <c r="FK126" s="62">
        <f t="shared" si="102"/>
        <v>615.69585264342595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17.604112696858124</v>
      </c>
      <c r="FR126" s="23">
        <f>EXP(-LN(2)/25)*FR125+(1-EXP(-LN(2)/25))/(LN(2)/25)*Calculateur!FM126*Calculateur!FO126*VLOOKUP('Données projet'!$B$16,Paramètres!$A$1:$I$89,3,0)*0.475*44/12</f>
        <v>1.8781233418450616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19.482236038703185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317.99999999999972</v>
      </c>
      <c r="O127" s="14">
        <f>N127*VLOOKUP('Données projet'!$B$9,Paramètres!$A$1:$I$89,3,0)*VLOOKUP('Données projet'!$B$9,Paramètres!$A$1:$I$89,5,0)</f>
        <v>253.0007999999998</v>
      </c>
      <c r="P127" s="14">
        <f t="shared" si="87"/>
        <v>61.228070105968683</v>
      </c>
      <c r="Q127" s="22">
        <f t="shared" si="107"/>
        <v>547.28194876789507</v>
      </c>
      <c r="R127" s="62">
        <f t="shared" si="55"/>
        <v>840.61528210122833</v>
      </c>
      <c r="S127" s="62">
        <f ca="1">AVERAGE(OFFSET($R$3,0,0,'Données projet'!$E$9+1,1))-AVERAGE(OFFSET($H$3,0,0,'Données projet'!$E$9+1,1))</f>
        <v>352.5736659365665</v>
      </c>
      <c r="T127" s="62">
        <f t="shared" si="88"/>
        <v>343.77208530767069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2.0952488142740853</v>
      </c>
      <c r="AA127" s="23">
        <f>EXP(-LN(2)/25)*AA126+(1-EXP(-LN(2)/25))/(LN(2)/25)*Calculateur!V127*Calculateur!X127*VLOOKUP('Données projet'!$B$9,Paramètres!$A$1:$I$89,3,0)*0.475*44/12</f>
        <v>1.7507976370400238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3.846046451314109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3.7243808037601412E-14</v>
      </c>
      <c r="AK127" s="14">
        <f t="shared" si="89"/>
        <v>6.2767589361185393E-13</v>
      </c>
      <c r="AL127" s="22">
        <f t="shared" si="58"/>
        <v>1.1580684803728015E-12</v>
      </c>
      <c r="AM127" s="62">
        <f t="shared" si="59"/>
        <v>293.33333333333445</v>
      </c>
      <c r="AN127" s="62">
        <f ca="1">AVERAGE(OFFSET($AM$3,0,0,'Données projet'!$E$10+1,1))-AVERAGE(OFFSET($H$3,0,0,'Données projet'!$E$10+1,1))</f>
        <v>210.08998695869161</v>
      </c>
      <c r="AO127" s="62">
        <f t="shared" si="90"/>
        <v>207.30911916430881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1.3124962593629647E-15</v>
      </c>
      <c r="AX127" s="23">
        <f t="shared" si="60"/>
        <v>1.3124962593629647E-15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335.83558218229564</v>
      </c>
      <c r="BJ127" s="62">
        <f t="shared" si="92"/>
        <v>217.08423061559648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1.4902323333118769E-13</v>
      </c>
      <c r="BS127" s="24">
        <f t="shared" si="63"/>
        <v>1.4902323333118769E-13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5.6843418860808015E-14</v>
      </c>
      <c r="BZ127" s="14">
        <f>BY127*VLOOKUP('Données projet'!$B$12,Paramètres!$A$1:$I$89,3,0)*VLOOKUP('Données projet'!$B$12,Paramètres!$A$1:$I$89,5,0)</f>
        <v>4.4337866711430253E-14</v>
      </c>
      <c r="CA127" s="14">
        <f t="shared" si="93"/>
        <v>7.3222115536967035E-13</v>
      </c>
      <c r="CB127" s="22">
        <f t="shared" si="64"/>
        <v>1.3525069634579169E-12</v>
      </c>
      <c r="CC127" s="62">
        <f t="shared" si="65"/>
        <v>293.33333333333468</v>
      </c>
      <c r="CD127" s="62">
        <f ca="1">AVERAGE(OFFSET($CC$3,0,0,'Données projet'!$E$12+1,1))-AVERAGE(OFFSET($H$3,0,0,'Données projet'!$E$12+1,1))</f>
        <v>288.82868507674738</v>
      </c>
      <c r="CE127" s="62">
        <f t="shared" si="94"/>
        <v>283.48738729114024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0.35959162342680945</v>
      </c>
      <c r="CM127" s="23">
        <f>EXP(-LN(2)/2)*CM126+(1-EXP(-LN(2)/2))/(LN(2)/2)*CG127*CJ127*VLOOKUP('Données projet'!$B$12,Paramètres!$A$1:$I$89,3,0)*0.475*44/12</f>
        <v>1.8330366201020227E-14</v>
      </c>
      <c r="CN127" s="24">
        <f t="shared" si="66"/>
        <v>0.35959162342682777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317.99999999999972</v>
      </c>
      <c r="CU127" s="18">
        <f>CT127*VLOOKUP('Données projet'!$B$13,Paramètres!$A$1:$I$89,3,0)*VLOOKUP('Données projet'!$B$13,Paramètres!$A$1:$I$89,5,0)</f>
        <v>277.80479999999983</v>
      </c>
      <c r="CV127" s="14">
        <f t="shared" si="95"/>
        <v>66.50288772038418</v>
      </c>
      <c r="CW127" s="22">
        <f t="shared" si="67"/>
        <v>599.66922277966887</v>
      </c>
      <c r="CX127" s="62">
        <f t="shared" si="68"/>
        <v>893.00255611300213</v>
      </c>
      <c r="CY127" s="62">
        <f ca="1">AVERAGE(OFFSET($CX$3,0,0,'Données projet'!$E$13+1,1))-AVERAGE(OFFSET($H$3,0,0,'Données projet'!$E$13+1,1))</f>
        <v>383.46266660377637</v>
      </c>
      <c r="CZ127" s="62">
        <f t="shared" si="96"/>
        <v>373.1287543230714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1.1851124988363444</v>
      </c>
      <c r="DH127" s="23">
        <f>EXP(-LN(2)/2)*DH126+(1-EXP(-LN(2)/2))/(LN(2)/2)*DB127*DE127*VLOOKUP('Données projet'!$B$13,Paramètres!$A$1:$I$89,3,0)*0.475*44/12</f>
        <v>1.5089396979198279E-13</v>
      </c>
      <c r="DI127" s="24">
        <f t="shared" si="69"/>
        <v>1.1851124988364954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>
        <f>DO127*VLOOKUP('Données projet'!$B$14,Paramètres!$A$1:$I$89,3,0)*VLOOKUP('Données projet'!$B$14,Paramètres!$A$1:$I$89,5,0)</f>
        <v>0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96.56611521638132</v>
      </c>
      <c r="DU127" s="62">
        <f t="shared" si="98"/>
        <v>465.03257878814094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12.809625201668791</v>
      </c>
      <c r="EB127" s="23">
        <f>EXP(-LN(2)/25)*EB126+(1-EXP(-LN(2)/25))/(LN(2)/25)*Calculateur!DW127*Calculateur!DY127*VLOOKUP('Données projet'!$B$14,Paramètres!$A$1:$I$89,3,0)*0.475*44/12</f>
        <v>1.3558325318621749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14.165457733530966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317.99999999999972</v>
      </c>
      <c r="EK127" s="18">
        <f>EJ127*VLOOKUP('Données projet'!$B$15,Paramètres!$A$1:$I$89,3,0)*VLOOKUP('Données projet'!$B$15,Paramètres!$A$1:$I$89,5,0)</f>
        <v>257.96159999999981</v>
      </c>
      <c r="EL127" s="14">
        <f t="shared" si="99"/>
        <v>62.287674609742425</v>
      </c>
      <c r="EM127" s="22">
        <f t="shared" si="73"/>
        <v>557.76748661196768</v>
      </c>
      <c r="EN127" s="62">
        <f t="shared" si="74"/>
        <v>851.10081994530105</v>
      </c>
      <c r="EO127" s="62">
        <f ca="1">AVERAGE(OFFSET($EN$3,0,0,'Données projet'!$E$15+1,1))-AVERAGE(OFFSET($H$3,0,0,'Données projet'!$E$15+1,1))</f>
        <v>358.75637627589799</v>
      </c>
      <c r="EP127" s="62">
        <f t="shared" si="100"/>
        <v>349.64821164483607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1.5025284794435314</v>
      </c>
      <c r="EW127" s="23">
        <f>EXP(-LN(2)/25)*EW126+(1-EXP(-LN(2)/25))/(LN(2)/25)*Calculateur!ER127*Calculateur!ET127*VLOOKUP('Données projet'!$B$15,Paramètres!$A$1:$I$89,3,0)*0.475*44/12</f>
        <v>1.1321254025187184</v>
      </c>
      <c r="EX127" s="23">
        <f>EXP(-LN(2)/2)*EX126+(1-EXP(-LN(2)/2))/(LN(2)/2)*ER127*EU127*VLOOKUP('Données projet'!$B$15,Paramètres!$A$1:$I$89,3,0)*0.475*44/12</f>
        <v>2.5909089413466654E-14</v>
      </c>
      <c r="EY127" s="24">
        <f t="shared" si="75"/>
        <v>2.6346538819622758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>
        <f>FE127*VLOOKUP('Données projet'!$B$16,Paramètres!$A$1:$I$89,3,0)*VLOOKUP('Données projet'!$B$16,Paramètres!$A$1:$I$89,5,0)</f>
        <v>0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121.28977654040114</v>
      </c>
      <c r="FK127" s="62">
        <f t="shared" si="102"/>
        <v>615.69585264342595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17.258906784321248</v>
      </c>
      <c r="FR127" s="23">
        <f>EXP(-LN(2)/25)*FR126+(1-EXP(-LN(2)/25))/(LN(2)/25)*Calculateur!FM127*Calculateur!FO127*VLOOKUP('Données projet'!$B$16,Paramètres!$A$1:$I$89,3,0)*0.475*44/12</f>
        <v>1.8267659602960944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19.085672744617341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317.99999999999972</v>
      </c>
      <c r="O128" s="14">
        <f>N128*VLOOKUP('Données projet'!$B$9,Paramètres!$A$1:$I$89,3,0)*VLOOKUP('Données projet'!$B$9,Paramètres!$A$1:$I$89,5,0)</f>
        <v>253.0007999999998</v>
      </c>
      <c r="P128" s="14">
        <f t="shared" si="87"/>
        <v>61.228070105968683</v>
      </c>
      <c r="Q128" s="22">
        <f t="shared" si="107"/>
        <v>547.28194876789507</v>
      </c>
      <c r="R128" s="62">
        <f t="shared" si="55"/>
        <v>840.61528210122833</v>
      </c>
      <c r="S128" s="62">
        <f ca="1">AVERAGE(OFFSET($R$3,0,0,'Données projet'!$E$9+1,1))-AVERAGE(OFFSET($H$3,0,0,'Données projet'!$E$9+1,1))</f>
        <v>352.5736659365665</v>
      </c>
      <c r="T128" s="62">
        <f t="shared" si="88"/>
        <v>343.77208530767069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2.0541622630017575</v>
      </c>
      <c r="AA128" s="23">
        <f>EXP(-LN(2)/25)*AA127+(1-EXP(-LN(2)/25))/(LN(2)/25)*Calculateur!V128*Calculateur!X128*VLOOKUP('Données projet'!$B$9,Paramètres!$A$1:$I$89,3,0)*0.475*44/12</f>
        <v>1.702921983584718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3.7570842465864756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3.7243808037601412E-14</v>
      </c>
      <c r="AK128" s="14">
        <f t="shared" si="89"/>
        <v>6.2767589361185393E-13</v>
      </c>
      <c r="AL128" s="22">
        <f t="shared" si="58"/>
        <v>1.1580684803728015E-12</v>
      </c>
      <c r="AM128" s="62">
        <f t="shared" si="59"/>
        <v>293.33333333333445</v>
      </c>
      <c r="AN128" s="62">
        <f ca="1">AVERAGE(OFFSET($AM$3,0,0,'Données projet'!$E$10+1,1))-AVERAGE(OFFSET($H$3,0,0,'Données projet'!$E$10+1,1))</f>
        <v>210.08998695869161</v>
      </c>
      <c r="AO128" s="62">
        <f t="shared" si="90"/>
        <v>207.30911916430881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9.2807500527752994E-16</v>
      </c>
      <c r="AX128" s="23">
        <f t="shared" si="60"/>
        <v>9.2807500527752994E-16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335.83558218229564</v>
      </c>
      <c r="BJ128" s="62">
        <f t="shared" si="92"/>
        <v>217.08423061559648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1.0537533884282795E-13</v>
      </c>
      <c r="BS128" s="24">
        <f t="shared" si="63"/>
        <v>1.0537533884282795E-13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5.6843418860808015E-14</v>
      </c>
      <c r="BZ128" s="14">
        <f>BY128*VLOOKUP('Données projet'!$B$12,Paramètres!$A$1:$I$89,3,0)*VLOOKUP('Données projet'!$B$12,Paramètres!$A$1:$I$89,5,0)</f>
        <v>4.4337866711430253E-14</v>
      </c>
      <c r="CA128" s="14">
        <f t="shared" si="93"/>
        <v>7.3222115536967035E-13</v>
      </c>
      <c r="CB128" s="22">
        <f t="shared" si="64"/>
        <v>1.3525069634579169E-12</v>
      </c>
      <c r="CC128" s="62">
        <f t="shared" si="65"/>
        <v>293.33333333333468</v>
      </c>
      <c r="CD128" s="62">
        <f ca="1">AVERAGE(OFFSET($CC$3,0,0,'Données projet'!$E$12+1,1))-AVERAGE(OFFSET($H$3,0,0,'Données projet'!$E$12+1,1))</f>
        <v>288.82868507674738</v>
      </c>
      <c r="CE128" s="62">
        <f t="shared" si="94"/>
        <v>283.48738729114024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0.34975857157410173</v>
      </c>
      <c r="CM128" s="23">
        <f>EXP(-LN(2)/2)*CM127+(1-EXP(-LN(2)/2))/(LN(2)/2)*CG128*CJ128*VLOOKUP('Données projet'!$B$12,Paramètres!$A$1:$I$89,3,0)*0.475*44/12</f>
        <v>1.2961526242374096E-14</v>
      </c>
      <c r="CN128" s="24">
        <f t="shared" si="66"/>
        <v>0.34975857157411466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317.99999999999972</v>
      </c>
      <c r="CU128" s="18">
        <f>CT128*VLOOKUP('Données projet'!$B$13,Paramètres!$A$1:$I$89,3,0)*VLOOKUP('Données projet'!$B$13,Paramètres!$A$1:$I$89,5,0)</f>
        <v>277.80479999999983</v>
      </c>
      <c r="CV128" s="14">
        <f t="shared" si="95"/>
        <v>66.50288772038418</v>
      </c>
      <c r="CW128" s="22">
        <f t="shared" si="67"/>
        <v>599.66922277966887</v>
      </c>
      <c r="CX128" s="62">
        <f t="shared" si="68"/>
        <v>893.00255611300213</v>
      </c>
      <c r="CY128" s="62">
        <f ca="1">AVERAGE(OFFSET($CX$3,0,0,'Données projet'!$E$13+1,1))-AVERAGE(OFFSET($H$3,0,0,'Données projet'!$E$13+1,1))</f>
        <v>383.46266660377637</v>
      </c>
      <c r="CZ128" s="62">
        <f t="shared" si="96"/>
        <v>373.1287543230714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1.1527055352333069</v>
      </c>
      <c r="DH128" s="23">
        <f>EXP(-LN(2)/2)*DH127+(1-EXP(-LN(2)/2))/(LN(2)/2)*DB128*DE128*VLOOKUP('Données projet'!$B$13,Paramètres!$A$1:$I$89,3,0)*0.475*44/12</f>
        <v>1.0669814928006909E-13</v>
      </c>
      <c r="DI128" s="24">
        <f t="shared" si="69"/>
        <v>1.1527055352334137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>
        <f>DO128*VLOOKUP('Données projet'!$B$14,Paramètres!$A$1:$I$89,3,0)*VLOOKUP('Données projet'!$B$14,Paramètres!$A$1:$I$89,5,0)</f>
        <v>0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96.56611521638132</v>
      </c>
      <c r="DU128" s="62">
        <f t="shared" si="98"/>
        <v>465.03257878814094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12.558436264563959</v>
      </c>
      <c r="EB128" s="23">
        <f>EXP(-LN(2)/25)*EB127+(1-EXP(-LN(2)/25))/(LN(2)/25)*Calculateur!DW128*Calculateur!DY128*VLOOKUP('Données projet'!$B$14,Paramètres!$A$1:$I$89,3,0)*0.475*44/12</f>
        <v>1.3187572199782698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13.877193484542229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317.99999999999972</v>
      </c>
      <c r="EK128" s="18">
        <f>EJ128*VLOOKUP('Données projet'!$B$15,Paramètres!$A$1:$I$89,3,0)*VLOOKUP('Données projet'!$B$15,Paramètres!$A$1:$I$89,5,0)</f>
        <v>257.96159999999981</v>
      </c>
      <c r="EL128" s="14">
        <f t="shared" si="99"/>
        <v>62.287674609742425</v>
      </c>
      <c r="EM128" s="22">
        <f t="shared" si="73"/>
        <v>557.76748661196768</v>
      </c>
      <c r="EN128" s="62">
        <f t="shared" si="74"/>
        <v>851.10081994530105</v>
      </c>
      <c r="EO128" s="62">
        <f ca="1">AVERAGE(OFFSET($EN$3,0,0,'Données projet'!$E$15+1,1))-AVERAGE(OFFSET($H$3,0,0,'Données projet'!$E$15+1,1))</f>
        <v>358.75637627589799</v>
      </c>
      <c r="EP128" s="62">
        <f t="shared" si="100"/>
        <v>349.64821164483607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1.4730648124135242</v>
      </c>
      <c r="EW128" s="23">
        <f>EXP(-LN(2)/25)*EW127+(1-EXP(-LN(2)/25))/(LN(2)/25)*Calculateur!ER128*Calculateur!ET128*VLOOKUP('Données projet'!$B$15,Paramètres!$A$1:$I$89,3,0)*0.475*44/12</f>
        <v>1.1011673738509566</v>
      </c>
      <c r="EX128" s="23">
        <f>EXP(-LN(2)/2)*EX127+(1-EXP(-LN(2)/2))/(LN(2)/2)*ER128*EU128*VLOOKUP('Données projet'!$B$15,Paramètres!$A$1:$I$89,3,0)*0.475*44/12</f>
        <v>1.832049281863086E-14</v>
      </c>
      <c r="EY128" s="24">
        <f t="shared" si="75"/>
        <v>2.5742321862644988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>
        <f>FE128*VLOOKUP('Données projet'!$B$16,Paramètres!$A$1:$I$89,3,0)*VLOOKUP('Données projet'!$B$16,Paramètres!$A$1:$I$89,5,0)</f>
        <v>0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121.28977654040114</v>
      </c>
      <c r="FK128" s="62">
        <f t="shared" si="102"/>
        <v>615.69585264342595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16.920470149174403</v>
      </c>
      <c r="FR128" s="23">
        <f>EXP(-LN(2)/25)*FR127+(1-EXP(-LN(2)/25))/(LN(2)/25)*Calculateur!FM128*Calculateur!FO128*VLOOKUP('Données projet'!$B$16,Paramètres!$A$1:$I$89,3,0)*0.475*44/12</f>
        <v>1.7768129490463509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18.697283098220755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317.99999999999972</v>
      </c>
      <c r="O129" s="14">
        <f>N129*VLOOKUP('Données projet'!$B$9,Paramètres!$A$1:$I$89,3,0)*VLOOKUP('Données projet'!$B$9,Paramètres!$A$1:$I$89,5,0)</f>
        <v>253.0007999999998</v>
      </c>
      <c r="P129" s="14">
        <f t="shared" si="87"/>
        <v>61.228070105968683</v>
      </c>
      <c r="Q129" s="22">
        <f t="shared" si="107"/>
        <v>547.28194876789507</v>
      </c>
      <c r="R129" s="62">
        <f t="shared" si="55"/>
        <v>840.61528210122833</v>
      </c>
      <c r="S129" s="62">
        <f ca="1">AVERAGE(OFFSET($R$3,0,0,'Données projet'!$E$9+1,1))-AVERAGE(OFFSET($H$3,0,0,'Données projet'!$E$9+1,1))</f>
        <v>352.5736659365665</v>
      </c>
      <c r="T129" s="62">
        <f t="shared" si="88"/>
        <v>343.77208530767069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2.0138813939395583</v>
      </c>
      <c r="AA129" s="23">
        <f>EXP(-LN(2)/25)*AA128+(1-EXP(-LN(2)/25))/(LN(2)/25)*Calculateur!V129*Calculateur!X129*VLOOKUP('Données projet'!$B$9,Paramètres!$A$1:$I$89,3,0)*0.475*44/12</f>
        <v>1.6563554923908188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3.6702368863303771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3.7243808037601412E-14</v>
      </c>
      <c r="AK129" s="14">
        <f t="shared" si="89"/>
        <v>6.2767589361185393E-13</v>
      </c>
      <c r="AL129" s="22">
        <f t="shared" si="58"/>
        <v>1.1580684803728015E-12</v>
      </c>
      <c r="AM129" s="62">
        <f t="shared" si="59"/>
        <v>293.33333333333445</v>
      </c>
      <c r="AN129" s="62">
        <f ca="1">AVERAGE(OFFSET($AM$3,0,0,'Données projet'!$E$10+1,1))-AVERAGE(OFFSET($H$3,0,0,'Données projet'!$E$10+1,1))</f>
        <v>210.08998695869161</v>
      </c>
      <c r="AO129" s="62">
        <f t="shared" si="90"/>
        <v>207.30911916430881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6.5624812968148233E-16</v>
      </c>
      <c r="AX129" s="23">
        <f t="shared" si="60"/>
        <v>6.5624812968148233E-16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335.83558218229564</v>
      </c>
      <c r="BJ129" s="62">
        <f t="shared" si="92"/>
        <v>217.08423061559648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7.4511616665593843E-14</v>
      </c>
      <c r="BS129" s="24">
        <f t="shared" si="63"/>
        <v>7.4511616665593843E-14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5.6843418860808015E-14</v>
      </c>
      <c r="BZ129" s="14">
        <f>BY129*VLOOKUP('Données projet'!$B$12,Paramètres!$A$1:$I$89,3,0)*VLOOKUP('Données projet'!$B$12,Paramètres!$A$1:$I$89,5,0)</f>
        <v>4.4337866711430253E-14</v>
      </c>
      <c r="CA129" s="14">
        <f t="shared" si="93"/>
        <v>7.3222115536967035E-13</v>
      </c>
      <c r="CB129" s="22">
        <f t="shared" si="64"/>
        <v>1.3525069634579169E-12</v>
      </c>
      <c r="CC129" s="62">
        <f t="shared" si="65"/>
        <v>293.33333333333468</v>
      </c>
      <c r="CD129" s="62">
        <f ca="1">AVERAGE(OFFSET($CC$3,0,0,'Données projet'!$E$12+1,1))-AVERAGE(OFFSET($H$3,0,0,'Données projet'!$E$12+1,1))</f>
        <v>288.82868507674738</v>
      </c>
      <c r="CE129" s="62">
        <f t="shared" si="94"/>
        <v>283.48738729114024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0.34019440504140402</v>
      </c>
      <c r="CM129" s="23">
        <f>EXP(-LN(2)/2)*CM128+(1-EXP(-LN(2)/2))/(LN(2)/2)*CG129*CJ129*VLOOKUP('Données projet'!$B$12,Paramètres!$A$1:$I$89,3,0)*0.475*44/12</f>
        <v>9.1651831005101135E-15</v>
      </c>
      <c r="CN129" s="24">
        <f t="shared" si="66"/>
        <v>0.34019440504141318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317.99999999999972</v>
      </c>
      <c r="CU129" s="18">
        <f>CT129*VLOOKUP('Données projet'!$B$13,Paramètres!$A$1:$I$89,3,0)*VLOOKUP('Données projet'!$B$13,Paramètres!$A$1:$I$89,5,0)</f>
        <v>277.80479999999983</v>
      </c>
      <c r="CV129" s="14">
        <f t="shared" si="95"/>
        <v>66.50288772038418</v>
      </c>
      <c r="CW129" s="22">
        <f t="shared" si="67"/>
        <v>599.66922277966887</v>
      </c>
      <c r="CX129" s="62">
        <f t="shared" si="68"/>
        <v>893.00255611300213</v>
      </c>
      <c r="CY129" s="62">
        <f ca="1">AVERAGE(OFFSET($CX$3,0,0,'Données projet'!$E$13+1,1))-AVERAGE(OFFSET($H$3,0,0,'Données projet'!$E$13+1,1))</f>
        <v>383.46266660377637</v>
      </c>
      <c r="CZ129" s="62">
        <f t="shared" si="96"/>
        <v>373.1287543230714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1.1211847417542025</v>
      </c>
      <c r="DH129" s="23">
        <f>EXP(-LN(2)/2)*DH128+(1-EXP(-LN(2)/2))/(LN(2)/2)*DB129*DE129*VLOOKUP('Données projet'!$B$13,Paramètres!$A$1:$I$89,3,0)*0.475*44/12</f>
        <v>7.5446984895991394E-14</v>
      </c>
      <c r="DI129" s="24">
        <f t="shared" si="69"/>
        <v>1.121184741754278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>
        <f>DO129*VLOOKUP('Données projet'!$B$14,Paramètres!$A$1:$I$89,3,0)*VLOOKUP('Données projet'!$B$14,Paramètres!$A$1:$I$89,5,0)</f>
        <v>0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96.56611521638132</v>
      </c>
      <c r="DU129" s="62">
        <f t="shared" si="98"/>
        <v>465.03257878814094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12.31217298930563</v>
      </c>
      <c r="EB129" s="23">
        <f>EXP(-LN(2)/25)*EB128+(1-EXP(-LN(2)/25))/(LN(2)/25)*Calculateur!DW129*Calculateur!DY129*VLOOKUP('Données projet'!$B$14,Paramètres!$A$1:$I$89,3,0)*0.475*44/12</f>
        <v>1.2826957344475358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13.594868723753166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317.99999999999972</v>
      </c>
      <c r="EK129" s="18">
        <f>EJ129*VLOOKUP('Données projet'!$B$15,Paramètres!$A$1:$I$89,3,0)*VLOOKUP('Données projet'!$B$15,Paramètres!$A$1:$I$89,5,0)</f>
        <v>257.96159999999981</v>
      </c>
      <c r="EL129" s="14">
        <f t="shared" si="99"/>
        <v>62.287674609742425</v>
      </c>
      <c r="EM129" s="22">
        <f t="shared" si="73"/>
        <v>557.76748661196768</v>
      </c>
      <c r="EN129" s="62">
        <f t="shared" si="74"/>
        <v>851.10081994530105</v>
      </c>
      <c r="EO129" s="62">
        <f ca="1">AVERAGE(OFFSET($EN$3,0,0,'Données projet'!$E$15+1,1))-AVERAGE(OFFSET($H$3,0,0,'Données projet'!$E$15+1,1))</f>
        <v>358.75637627589799</v>
      </c>
      <c r="EP129" s="62">
        <f t="shared" si="100"/>
        <v>349.64821164483607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1.444178909922913</v>
      </c>
      <c r="EW129" s="23">
        <f>EXP(-LN(2)/25)*EW128+(1-EXP(-LN(2)/25))/(LN(2)/25)*Calculateur!ER129*Calculateur!ET129*VLOOKUP('Données projet'!$B$15,Paramètres!$A$1:$I$89,3,0)*0.475*44/12</f>
        <v>1.0710558941051267</v>
      </c>
      <c r="EX129" s="23">
        <f>EXP(-LN(2)/2)*EX128+(1-EXP(-LN(2)/2))/(LN(2)/2)*ER129*EU129*VLOOKUP('Données projet'!$B$15,Paramètres!$A$1:$I$89,3,0)*0.475*44/12</f>
        <v>1.2954544706733327E-14</v>
      </c>
      <c r="EY129" s="24">
        <f t="shared" si="75"/>
        <v>2.5152348040280526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>
        <f>FE129*VLOOKUP('Données projet'!$B$16,Paramètres!$A$1:$I$89,3,0)*VLOOKUP('Données projet'!$B$16,Paramètres!$A$1:$I$89,5,0)</f>
        <v>0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121.28977654040114</v>
      </c>
      <c r="FK129" s="62">
        <f t="shared" si="102"/>
        <v>615.69585264342595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16.588670050016823</v>
      </c>
      <c r="FR129" s="23">
        <f>EXP(-LN(2)/25)*FR128+(1-EXP(-LN(2)/25))/(LN(2)/25)*Calculateur!FM129*Calculateur!FO129*VLOOKUP('Données projet'!$B$16,Paramètres!$A$1:$I$89,3,0)*0.475*44/12</f>
        <v>1.7282259055161464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18.316895955532971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317.99999999999972</v>
      </c>
      <c r="O130" s="14">
        <f>N130*VLOOKUP('Données projet'!$B$9,Paramètres!$A$1:$I$89,3,0)*VLOOKUP('Données projet'!$B$9,Paramètres!$A$1:$I$89,5,0)</f>
        <v>253.0007999999998</v>
      </c>
      <c r="P130" s="14">
        <f t="shared" si="87"/>
        <v>61.228070105968683</v>
      </c>
      <c r="Q130" s="22">
        <f t="shared" si="107"/>
        <v>547.28194876789507</v>
      </c>
      <c r="R130" s="62">
        <f t="shared" si="55"/>
        <v>840.61528210122833</v>
      </c>
      <c r="S130" s="62">
        <f ca="1">AVERAGE(OFFSET($R$3,0,0,'Données projet'!$E$9+1,1))-AVERAGE(OFFSET($H$3,0,0,'Données projet'!$E$9+1,1))</f>
        <v>352.5736659365665</v>
      </c>
      <c r="T130" s="62">
        <f t="shared" si="88"/>
        <v>343.77208530767069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1.9743904081507648</v>
      </c>
      <c r="AA130" s="23">
        <f>EXP(-LN(2)/25)*AA129+(1-EXP(-LN(2)/25))/(LN(2)/25)*Calculateur!V130*Calculateur!X130*VLOOKUP('Données projet'!$B$9,Paramètres!$A$1:$I$89,3,0)*0.475*44/12</f>
        <v>1.6110623643474422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3.5854527724982068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3.7243808037601412E-14</v>
      </c>
      <c r="AK130" s="14">
        <f t="shared" si="89"/>
        <v>6.2767589361185393E-13</v>
      </c>
      <c r="AL130" s="22">
        <f t="shared" si="58"/>
        <v>1.1580684803728015E-12</v>
      </c>
      <c r="AM130" s="62">
        <f t="shared" si="59"/>
        <v>293.33333333333445</v>
      </c>
      <c r="AN130" s="62">
        <f ca="1">AVERAGE(OFFSET($AM$3,0,0,'Données projet'!$E$10+1,1))-AVERAGE(OFFSET($H$3,0,0,'Données projet'!$E$10+1,1))</f>
        <v>210.08998695869161</v>
      </c>
      <c r="AO130" s="62">
        <f t="shared" si="90"/>
        <v>207.30911916430881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4.6403750263876497E-16</v>
      </c>
      <c r="AX130" s="23">
        <f t="shared" si="60"/>
        <v>4.6403750263876497E-16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335.83558218229564</v>
      </c>
      <c r="BJ130" s="62">
        <f t="shared" si="92"/>
        <v>217.08423061559648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5.2687669421413974E-14</v>
      </c>
      <c r="BS130" s="24">
        <f t="shared" si="63"/>
        <v>5.2687669421413974E-14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5.6843418860808015E-14</v>
      </c>
      <c r="BZ130" s="14">
        <f>BY130*VLOOKUP('Données projet'!$B$12,Paramètres!$A$1:$I$89,3,0)*VLOOKUP('Données projet'!$B$12,Paramètres!$A$1:$I$89,5,0)</f>
        <v>4.4337866711430253E-14</v>
      </c>
      <c r="CA130" s="14">
        <f t="shared" si="93"/>
        <v>7.3222115536967035E-13</v>
      </c>
      <c r="CB130" s="22">
        <f t="shared" si="64"/>
        <v>1.3525069634579169E-12</v>
      </c>
      <c r="CC130" s="62">
        <f t="shared" si="65"/>
        <v>293.33333333333468</v>
      </c>
      <c r="CD130" s="62">
        <f ca="1">AVERAGE(OFFSET($CC$3,0,0,'Données projet'!$E$12+1,1))-AVERAGE(OFFSET($H$3,0,0,'Données projet'!$E$12+1,1))</f>
        <v>288.82868507674738</v>
      </c>
      <c r="CE130" s="62">
        <f t="shared" si="94"/>
        <v>283.48738729114024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0.33089177114550061</v>
      </c>
      <c r="CM130" s="23">
        <f>EXP(-LN(2)/2)*CM129+(1-EXP(-LN(2)/2))/(LN(2)/2)*CG130*CJ130*VLOOKUP('Données projet'!$B$12,Paramètres!$A$1:$I$89,3,0)*0.475*44/12</f>
        <v>6.4807631211870482E-15</v>
      </c>
      <c r="CN130" s="24">
        <f t="shared" si="66"/>
        <v>0.33089177114550711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317.99999999999972</v>
      </c>
      <c r="CU130" s="18">
        <f>CT130*VLOOKUP('Données projet'!$B$13,Paramètres!$A$1:$I$89,3,0)*VLOOKUP('Données projet'!$B$13,Paramètres!$A$1:$I$89,5,0)</f>
        <v>277.80479999999983</v>
      </c>
      <c r="CV130" s="14">
        <f t="shared" si="95"/>
        <v>66.50288772038418</v>
      </c>
      <c r="CW130" s="22">
        <f t="shared" si="67"/>
        <v>599.66922277966887</v>
      </c>
      <c r="CX130" s="62">
        <f t="shared" si="68"/>
        <v>893.00255611300213</v>
      </c>
      <c r="CY130" s="62">
        <f ca="1">AVERAGE(OFFSET($CX$3,0,0,'Données projet'!$E$13+1,1))-AVERAGE(OFFSET($H$3,0,0,'Données projet'!$E$13+1,1))</f>
        <v>383.46266660377637</v>
      </c>
      <c r="CZ130" s="62">
        <f t="shared" si="96"/>
        <v>373.1287543230714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1.0905258860303908</v>
      </c>
      <c r="DH130" s="23">
        <f>EXP(-LN(2)/2)*DH129+(1-EXP(-LN(2)/2))/(LN(2)/2)*DB130*DE130*VLOOKUP('Données projet'!$B$13,Paramètres!$A$1:$I$89,3,0)*0.475*44/12</f>
        <v>5.3349074640034543E-14</v>
      </c>
      <c r="DI130" s="24">
        <f t="shared" si="69"/>
        <v>1.0905258860304441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>
        <f>DO130*VLOOKUP('Données projet'!$B$14,Paramètres!$A$1:$I$89,3,0)*VLOOKUP('Données projet'!$B$14,Paramètres!$A$1:$I$89,5,0)</f>
        <v>0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96.56611521638132</v>
      </c>
      <c r="DU130" s="62">
        <f t="shared" si="98"/>
        <v>465.03257878814094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12.070738786669351</v>
      </c>
      <c r="EB130" s="23">
        <f>EXP(-LN(2)/25)*EB129+(1-EXP(-LN(2)/25))/(LN(2)/25)*Calculateur!DW130*Calculateur!DY130*VLOOKUP('Données projet'!$B$14,Paramètres!$A$1:$I$89,3,0)*0.475*44/12</f>
        <v>1.2476203521350309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13.318359138804382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317.99999999999972</v>
      </c>
      <c r="EK130" s="18">
        <f>EJ130*VLOOKUP('Données projet'!$B$15,Paramètres!$A$1:$I$89,3,0)*VLOOKUP('Données projet'!$B$15,Paramètres!$A$1:$I$89,5,0)</f>
        <v>257.96159999999981</v>
      </c>
      <c r="EL130" s="14">
        <f t="shared" si="99"/>
        <v>62.287674609742425</v>
      </c>
      <c r="EM130" s="22">
        <f t="shared" si="73"/>
        <v>557.76748661196768</v>
      </c>
      <c r="EN130" s="62">
        <f t="shared" si="74"/>
        <v>851.10081994530105</v>
      </c>
      <c r="EO130" s="62">
        <f ca="1">AVERAGE(OFFSET($EN$3,0,0,'Données projet'!$E$15+1,1))-AVERAGE(OFFSET($H$3,0,0,'Données projet'!$E$15+1,1))</f>
        <v>358.75637627589799</v>
      </c>
      <c r="EP130" s="62">
        <f t="shared" si="100"/>
        <v>349.64821164483607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1.4158594423614819</v>
      </c>
      <c r="EW130" s="23">
        <f>EXP(-LN(2)/25)*EW129+(1-EXP(-LN(2)/25))/(LN(2)/25)*Calculateur!ER130*Calculateur!ET130*VLOOKUP('Données projet'!$B$15,Paramètres!$A$1:$I$89,3,0)*0.475*44/12</f>
        <v>1.0417678143564404</v>
      </c>
      <c r="EX130" s="23">
        <f>EXP(-LN(2)/2)*EX129+(1-EXP(-LN(2)/2))/(LN(2)/2)*ER130*EU130*VLOOKUP('Données projet'!$B$15,Paramètres!$A$1:$I$89,3,0)*0.475*44/12</f>
        <v>9.16024640931543E-15</v>
      </c>
      <c r="EY130" s="24">
        <f t="shared" si="75"/>
        <v>2.4576272567179314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>
        <f>FE130*VLOOKUP('Données projet'!$B$16,Paramètres!$A$1:$I$89,3,0)*VLOOKUP('Données projet'!$B$16,Paramètres!$A$1:$I$89,5,0)</f>
        <v>0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121.28977654040114</v>
      </c>
      <c r="FK130" s="62">
        <f t="shared" si="102"/>
        <v>615.69585264342595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16.263376348425645</v>
      </c>
      <c r="FR130" s="23">
        <f>EXP(-LN(2)/25)*FR129+(1-EXP(-LN(2)/25))/(LN(2)/25)*Calculateur!FM130*Calculateur!FO130*VLOOKUP('Données projet'!$B$16,Paramètres!$A$1:$I$89,3,0)*0.475*44/12</f>
        <v>1.680967477246357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17.944343825672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317.99999999999972</v>
      </c>
      <c r="O131" s="14">
        <f>N131*VLOOKUP('Données projet'!$B$9,Paramètres!$A$1:$I$89,3,0)*VLOOKUP('Données projet'!$B$9,Paramètres!$A$1:$I$89,5,0)</f>
        <v>253.0007999999998</v>
      </c>
      <c r="P131" s="14">
        <f t="shared" si="87"/>
        <v>61.228070105968683</v>
      </c>
      <c r="Q131" s="22">
        <f t="shared" ref="Q131:Q153" si="108">(O131+P131)*0.475*44/12</f>
        <v>547.28194876789507</v>
      </c>
      <c r="R131" s="62">
        <f t="shared" ref="R131:R194" si="109">Q131+(I131+J131)*44/12</f>
        <v>840.61528210122833</v>
      </c>
      <c r="S131" s="62">
        <f ca="1">AVERAGE(OFFSET($R$3,0,0,'Données projet'!$E$9+1,1))-AVERAGE(OFFSET($H$3,0,0,'Données projet'!$E$9+1,1))</f>
        <v>352.5736659365665</v>
      </c>
      <c r="T131" s="62">
        <f t="shared" si="88"/>
        <v>343.77208530767069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1.9356738165061667</v>
      </c>
      <c r="AA131" s="23">
        <f>EXP(-LN(2)/25)*AA130+(1-EXP(-LN(2)/25))/(LN(2)/25)*Calculateur!V131*Calculateur!X131*VLOOKUP('Données projet'!$B$9,Paramètres!$A$1:$I$89,3,0)*0.475*44/12</f>
        <v>1.5670077792722739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3.5026815957784407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3.7243808037601412E-14</v>
      </c>
      <c r="AK131" s="14">
        <f t="shared" si="89"/>
        <v>6.2767589361185393E-13</v>
      </c>
      <c r="AL131" s="22">
        <f t="shared" si="58"/>
        <v>1.1580684803728015E-12</v>
      </c>
      <c r="AM131" s="62">
        <f t="shared" si="59"/>
        <v>293.33333333333445</v>
      </c>
      <c r="AN131" s="62">
        <f ca="1">AVERAGE(OFFSET($AM$3,0,0,'Données projet'!$E$10+1,1))-AVERAGE(OFFSET($H$3,0,0,'Données projet'!$E$10+1,1))</f>
        <v>210.08998695869161</v>
      </c>
      <c r="AO131" s="62">
        <f t="shared" si="90"/>
        <v>207.30911916430881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3.2812406484074116E-16</v>
      </c>
      <c r="AX131" s="23">
        <f t="shared" si="60"/>
        <v>3.2812406484074116E-16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335.83558218229564</v>
      </c>
      <c r="BJ131" s="62">
        <f t="shared" si="92"/>
        <v>217.08423061559648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3.7255808332796921E-14</v>
      </c>
      <c r="BS131" s="24">
        <f t="shared" si="63"/>
        <v>3.7255808332796921E-14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5.6843418860808015E-14</v>
      </c>
      <c r="BZ131" s="14">
        <f>BY131*VLOOKUP('Données projet'!$B$12,Paramètres!$A$1:$I$89,3,0)*VLOOKUP('Données projet'!$B$12,Paramètres!$A$1:$I$89,5,0)</f>
        <v>4.4337866711430253E-14</v>
      </c>
      <c r="CA131" s="14">
        <f t="shared" si="93"/>
        <v>7.3222115536967035E-13</v>
      </c>
      <c r="CB131" s="22">
        <f t="shared" si="64"/>
        <v>1.3525069634579169E-12</v>
      </c>
      <c r="CC131" s="62">
        <f t="shared" si="65"/>
        <v>293.33333333333468</v>
      </c>
      <c r="CD131" s="62">
        <f ca="1">AVERAGE(OFFSET($CC$3,0,0,'Données projet'!$E$12+1,1))-AVERAGE(OFFSET($H$3,0,0,'Données projet'!$E$12+1,1))</f>
        <v>288.82868507674738</v>
      </c>
      <c r="CE131" s="62">
        <f t="shared" si="94"/>
        <v>283.48738729114024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0.32184351826268492</v>
      </c>
      <c r="CM131" s="23">
        <f>EXP(-LN(2)/2)*CM130+(1-EXP(-LN(2)/2))/(LN(2)/2)*CG131*CJ131*VLOOKUP('Données projet'!$B$12,Paramètres!$A$1:$I$89,3,0)*0.475*44/12</f>
        <v>4.5825915502550568E-15</v>
      </c>
      <c r="CN131" s="24">
        <f t="shared" si="66"/>
        <v>0.32184351826268953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317.99999999999972</v>
      </c>
      <c r="CU131" s="18">
        <f>CT131*VLOOKUP('Données projet'!$B$13,Paramètres!$A$1:$I$89,3,0)*VLOOKUP('Données projet'!$B$13,Paramètres!$A$1:$I$89,5,0)</f>
        <v>277.80479999999983</v>
      </c>
      <c r="CV131" s="14">
        <f t="shared" si="95"/>
        <v>66.50288772038418</v>
      </c>
      <c r="CW131" s="22">
        <f t="shared" si="67"/>
        <v>599.66922277966887</v>
      </c>
      <c r="CX131" s="62">
        <f t="shared" si="68"/>
        <v>893.00255611300213</v>
      </c>
      <c r="CY131" s="62">
        <f ca="1">AVERAGE(OFFSET($CX$3,0,0,'Données projet'!$E$13+1,1))-AVERAGE(OFFSET($H$3,0,0,'Données projet'!$E$13+1,1))</f>
        <v>383.46266660377637</v>
      </c>
      <c r="CZ131" s="62">
        <f t="shared" si="96"/>
        <v>373.1287543230714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1.0607053983286259</v>
      </c>
      <c r="DH131" s="23">
        <f>EXP(-LN(2)/2)*DH130+(1-EXP(-LN(2)/2))/(LN(2)/2)*DB131*DE131*VLOOKUP('Données projet'!$B$13,Paramètres!$A$1:$I$89,3,0)*0.475*44/12</f>
        <v>3.7723492447995697E-14</v>
      </c>
      <c r="DI131" s="24">
        <f t="shared" si="69"/>
        <v>1.0607053983286636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>
        <f>DO131*VLOOKUP('Données projet'!$B$14,Paramètres!$A$1:$I$89,3,0)*VLOOKUP('Données projet'!$B$14,Paramètres!$A$1:$I$89,5,0)</f>
        <v>0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96.56611521638132</v>
      </c>
      <c r="DU131" s="62">
        <f t="shared" si="98"/>
        <v>465.03257878814094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11.834038961486446</v>
      </c>
      <c r="EB131" s="23">
        <f>EXP(-LN(2)/25)*EB130+(1-EXP(-LN(2)/25))/(LN(2)/25)*Calculateur!DW131*Calculateur!DY131*VLOOKUP('Données projet'!$B$14,Paramètres!$A$1:$I$89,3,0)*0.475*44/12</f>
        <v>1.2135041079963955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13.047543069482842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317.99999999999972</v>
      </c>
      <c r="EK131" s="18">
        <f>EJ131*VLOOKUP('Données projet'!$B$15,Paramètres!$A$1:$I$89,3,0)*VLOOKUP('Données projet'!$B$15,Paramètres!$A$1:$I$89,5,0)</f>
        <v>257.96159999999981</v>
      </c>
      <c r="EL131" s="14">
        <f t="shared" si="99"/>
        <v>62.287674609742425</v>
      </c>
      <c r="EM131" s="22">
        <f t="shared" si="73"/>
        <v>557.76748661196768</v>
      </c>
      <c r="EN131" s="62">
        <f t="shared" si="74"/>
        <v>851.10081994530105</v>
      </c>
      <c r="EO131" s="62">
        <f ca="1">AVERAGE(OFFSET($EN$3,0,0,'Données projet'!$E$15+1,1))-AVERAGE(OFFSET($H$3,0,0,'Données projet'!$E$15+1,1))</f>
        <v>358.75637627589799</v>
      </c>
      <c r="EP131" s="62">
        <f t="shared" si="100"/>
        <v>349.64821164483607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1.3880953022857607</v>
      </c>
      <c r="EW131" s="23">
        <f>EXP(-LN(2)/25)*EW130+(1-EXP(-LN(2)/25))/(LN(2)/25)*Calculateur!ER131*Calculateur!ET131*VLOOKUP('Données projet'!$B$15,Paramètres!$A$1:$I$89,3,0)*0.475*44/12</f>
        <v>1.0132806186886751</v>
      </c>
      <c r="EX131" s="23">
        <f>EXP(-LN(2)/2)*EX130+(1-EXP(-LN(2)/2))/(LN(2)/2)*ER131*EU131*VLOOKUP('Données projet'!$B$15,Paramètres!$A$1:$I$89,3,0)*0.475*44/12</f>
        <v>6.4772723533666635E-15</v>
      </c>
      <c r="EY131" s="24">
        <f t="shared" si="75"/>
        <v>2.4013759209744427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>
        <f>FE131*VLOOKUP('Données projet'!$B$16,Paramètres!$A$1:$I$89,3,0)*VLOOKUP('Données projet'!$B$16,Paramètres!$A$1:$I$89,5,0)</f>
        <v>0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121.28977654040114</v>
      </c>
      <c r="FK131" s="62">
        <f t="shared" si="102"/>
        <v>615.69585264342595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15.944461457913103</v>
      </c>
      <c r="FR131" s="23">
        <f>EXP(-LN(2)/25)*FR130+(1-EXP(-LN(2)/25))/(LN(2)/25)*Calculateur!FM131*Calculateur!FO131*VLOOKUP('Données projet'!$B$16,Paramètres!$A$1:$I$89,3,0)*0.475*44/12</f>
        <v>1.6350013331828177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17.579462791095921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317.99999999999972</v>
      </c>
      <c r="O132" s="14">
        <f>N132*VLOOKUP('Données projet'!$B$9,Paramètres!$A$1:$I$89,3,0)*VLOOKUP('Données projet'!$B$9,Paramètres!$A$1:$I$89,5,0)</f>
        <v>253.0007999999998</v>
      </c>
      <c r="P132" s="14">
        <f t="shared" si="87"/>
        <v>61.228070105968683</v>
      </c>
      <c r="Q132" s="22">
        <f t="shared" si="108"/>
        <v>547.28194876789507</v>
      </c>
      <c r="R132" s="62">
        <f t="shared" si="109"/>
        <v>840.61528210122833</v>
      </c>
      <c r="S132" s="62">
        <f ca="1">AVERAGE(OFFSET($R$3,0,0,'Données projet'!$E$9+1,1))-AVERAGE(OFFSET($H$3,0,0,'Données projet'!$E$9+1,1))</f>
        <v>352.5736659365665</v>
      </c>
      <c r="T132" s="62">
        <f t="shared" si="88"/>
        <v>343.77208530767069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1.8977164336089298</v>
      </c>
      <c r="AA132" s="23">
        <f>EXP(-LN(2)/25)*AA131+(1-EXP(-LN(2)/25))/(LN(2)/25)*Calculateur!V132*Calculateur!X132*VLOOKUP('Données projet'!$B$9,Paramètres!$A$1:$I$89,3,0)*0.475*44/12</f>
        <v>1.5241578691427158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3.4218743027516458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3.7243808037601412E-14</v>
      </c>
      <c r="AK132" s="14">
        <f t="shared" si="89"/>
        <v>6.2767589361185393E-13</v>
      </c>
      <c r="AL132" s="22">
        <f t="shared" ref="AL132:AL153" si="112">(AJ132+AK132)*0.475*44/12</f>
        <v>1.1580684803728015E-12</v>
      </c>
      <c r="AM132" s="62">
        <f t="shared" ref="AM132:AM195" si="113">AL132+(AD132+AE132)*44/12</f>
        <v>293.33333333333445</v>
      </c>
      <c r="AN132" s="62">
        <f ca="1">AVERAGE(OFFSET($AM$3,0,0,'Données projet'!$E$10+1,1))-AVERAGE(OFFSET($H$3,0,0,'Données projet'!$E$10+1,1))</f>
        <v>210.08998695869161</v>
      </c>
      <c r="AO132" s="62">
        <f t="shared" si="90"/>
        <v>207.30911916430881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2.3201875131938249E-16</v>
      </c>
      <c r="AX132" s="23">
        <f t="shared" ref="AX132:AX153" si="114">SUM(AU132:AW132)</f>
        <v>2.3201875131938249E-16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335.83558218229564</v>
      </c>
      <c r="BJ132" s="62">
        <f t="shared" si="92"/>
        <v>217.08423061559648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2.6343834710706987E-14</v>
      </c>
      <c r="BS132" s="24">
        <f t="shared" ref="BS132:BS153" si="117">SUM(BP132:BR132)</f>
        <v>2.6343834710706987E-14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5.6843418860808015E-14</v>
      </c>
      <c r="BZ132" s="14">
        <f>BY132*VLOOKUP('Données projet'!$B$12,Paramètres!$A$1:$I$89,3,0)*VLOOKUP('Données projet'!$B$12,Paramètres!$A$1:$I$89,5,0)</f>
        <v>4.4337866711430253E-14</v>
      </c>
      <c r="CA132" s="14">
        <f t="shared" si="93"/>
        <v>7.3222115536967035E-13</v>
      </c>
      <c r="CB132" s="22">
        <f t="shared" ref="CB132:CB153" si="118">(BZ132+CA132)*0.475*44/12</f>
        <v>1.3525069634579169E-12</v>
      </c>
      <c r="CC132" s="62">
        <f t="shared" ref="CC132:CC195" si="119">CB132+(BT132+BU132)*44/12</f>
        <v>293.33333333333468</v>
      </c>
      <c r="CD132" s="62">
        <f ca="1">AVERAGE(OFFSET($CC$3,0,0,'Données projet'!$E$12+1,1))-AVERAGE(OFFSET($H$3,0,0,'Données projet'!$E$12+1,1))</f>
        <v>288.82868507674738</v>
      </c>
      <c r="CE132" s="62">
        <f t="shared" si="94"/>
        <v>283.48738729114024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0.31304269033077675</v>
      </c>
      <c r="CM132" s="23">
        <f>EXP(-LN(2)/2)*CM131+(1-EXP(-LN(2)/2))/(LN(2)/2)*CG132*CJ132*VLOOKUP('Données projet'!$B$12,Paramètres!$A$1:$I$89,3,0)*0.475*44/12</f>
        <v>3.2403815605935241E-15</v>
      </c>
      <c r="CN132" s="24">
        <f t="shared" ref="CN132:CN153" si="120">SUM(CK132:CM132)</f>
        <v>0.31304269033077997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317.99999999999972</v>
      </c>
      <c r="CU132" s="18">
        <f>CT132*VLOOKUP('Données projet'!$B$13,Paramètres!$A$1:$I$89,3,0)*VLOOKUP('Données projet'!$B$13,Paramètres!$A$1:$I$89,5,0)</f>
        <v>277.80479999999983</v>
      </c>
      <c r="CV132" s="14">
        <f t="shared" si="95"/>
        <v>66.50288772038418</v>
      </c>
      <c r="CW132" s="22">
        <f t="shared" ref="CW132:CW153" si="121">(CU132+CV132)*0.475*44/12</f>
        <v>599.66922277966887</v>
      </c>
      <c r="CX132" s="62">
        <f t="shared" ref="CX132:CX195" si="122">CW132+(CO132+CP132)*44/12</f>
        <v>893.00255611300213</v>
      </c>
      <c r="CY132" s="62">
        <f ca="1">AVERAGE(OFFSET($CX$3,0,0,'Données projet'!$E$13+1,1))-AVERAGE(OFFSET($H$3,0,0,'Données projet'!$E$13+1,1))</f>
        <v>383.46266660377637</v>
      </c>
      <c r="CZ132" s="62">
        <f t="shared" si="96"/>
        <v>373.1287543230714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1.031700353431257</v>
      </c>
      <c r="DH132" s="23">
        <f>EXP(-LN(2)/2)*DH131+(1-EXP(-LN(2)/2))/(LN(2)/2)*DB132*DE132*VLOOKUP('Données projet'!$B$13,Paramètres!$A$1:$I$89,3,0)*0.475*44/12</f>
        <v>2.6674537320017272E-14</v>
      </c>
      <c r="DI132" s="24">
        <f t="shared" ref="DI132:DI153" si="123">SUM(DF132:DH132)</f>
        <v>1.0317003534312836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>
        <f>DO132*VLOOKUP('Données projet'!$B$14,Paramètres!$A$1:$I$89,3,0)*VLOOKUP('Données projet'!$B$14,Paramètres!$A$1:$I$89,5,0)</f>
        <v>0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96.56611521638132</v>
      </c>
      <c r="DU132" s="62">
        <f t="shared" si="98"/>
        <v>465.03257878814094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11.601980675502739</v>
      </c>
      <c r="EB132" s="23">
        <f>EXP(-LN(2)/25)*EB131+(1-EXP(-LN(2)/25))/(LN(2)/25)*Calculateur!DW132*Calculateur!DY132*VLOOKUP('Données projet'!$B$14,Paramètres!$A$1:$I$89,3,0)*0.475*44/12</f>
        <v>1.1803207743478266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12.782301449850566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317.99999999999972</v>
      </c>
      <c r="EK132" s="18">
        <f>EJ132*VLOOKUP('Données projet'!$B$15,Paramètres!$A$1:$I$89,3,0)*VLOOKUP('Données projet'!$B$15,Paramètres!$A$1:$I$89,5,0)</f>
        <v>257.96159999999981</v>
      </c>
      <c r="EL132" s="14">
        <f t="shared" si="99"/>
        <v>62.287674609742425</v>
      </c>
      <c r="EM132" s="22">
        <f t="shared" ref="EM132:EM153" si="127">(EK132+EL132)*0.475*44/12</f>
        <v>557.76748661196768</v>
      </c>
      <c r="EN132" s="62">
        <f t="shared" ref="EN132:EN195" si="128">EM132+(EE132+EF132)*44/12</f>
        <v>851.10081994530105</v>
      </c>
      <c r="EO132" s="62">
        <f ca="1">AVERAGE(OFFSET($EN$3,0,0,'Données projet'!$E$15+1,1))-AVERAGE(OFFSET($H$3,0,0,'Données projet'!$E$15+1,1))</f>
        <v>358.75637627589799</v>
      </c>
      <c r="EP132" s="62">
        <f t="shared" si="100"/>
        <v>349.64821164483607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1.3608756000624711</v>
      </c>
      <c r="EW132" s="23">
        <f>EXP(-LN(2)/25)*EW131+(1-EXP(-LN(2)/25))/(LN(2)/25)*Calculateur!ER132*Calculateur!ET132*VLOOKUP('Données projet'!$B$15,Paramètres!$A$1:$I$89,3,0)*0.475*44/12</f>
        <v>0.98557240688452141</v>
      </c>
      <c r="EX132" s="23">
        <f>EXP(-LN(2)/2)*EX131+(1-EXP(-LN(2)/2))/(LN(2)/2)*ER132*EU132*VLOOKUP('Données projet'!$B$15,Paramètres!$A$1:$I$89,3,0)*0.475*44/12</f>
        <v>4.580123204657715E-15</v>
      </c>
      <c r="EY132" s="24">
        <f t="shared" ref="EY132:EY153" si="129">SUM(EV132:EX132)</f>
        <v>2.3464480069469968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>
        <f>FE132*VLOOKUP('Données projet'!$B$16,Paramètres!$A$1:$I$89,3,0)*VLOOKUP('Données projet'!$B$16,Paramètres!$A$1:$I$89,5,0)</f>
        <v>0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121.28977654040114</v>
      </c>
      <c r="FK132" s="62">
        <f t="shared" si="102"/>
        <v>615.69585264342595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15.631800293884638</v>
      </c>
      <c r="FR132" s="23">
        <f>EXP(-LN(2)/25)*FR131+(1-EXP(-LN(2)/25))/(LN(2)/25)*Calculateur!FM132*Calculateur!FO132*VLOOKUP('Données projet'!$B$16,Paramètres!$A$1:$I$89,3,0)*0.475*44/12</f>
        <v>1.5902921357459503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17.222092429630589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317.99999999999972</v>
      </c>
      <c r="O133" s="14">
        <f>N133*VLOOKUP('Données projet'!$B$9,Paramètres!$A$1:$I$89,3,0)*VLOOKUP('Données projet'!$B$9,Paramètres!$A$1:$I$89,5,0)</f>
        <v>253.0007999999998</v>
      </c>
      <c r="P133" s="14">
        <f t="shared" ref="P133:P196" si="141">EXP(-1.0587+0.8836*LN(O133)+0.284)</f>
        <v>61.228070105968683</v>
      </c>
      <c r="Q133" s="22">
        <f t="shared" si="108"/>
        <v>547.28194876789507</v>
      </c>
      <c r="R133" s="62">
        <f t="shared" si="109"/>
        <v>840.61528210122833</v>
      </c>
      <c r="S133" s="62">
        <f ca="1">AVERAGE(OFFSET($R$3,0,0,'Données projet'!$E$9+1,1))-AVERAGE(OFFSET($H$3,0,0,'Données projet'!$E$9+1,1))</f>
        <v>352.5736659365665</v>
      </c>
      <c r="T133" s="62">
        <f t="shared" ref="T133:T196" si="142">$T$3</f>
        <v>343.77208530767069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1.8605033718385904</v>
      </c>
      <c r="AA133" s="23">
        <f>EXP(-LN(2)/25)*AA132+(1-EXP(-LN(2)/25))/(LN(2)/25)*Calculateur!V133*Calculateur!X133*VLOOKUP('Données projet'!$B$9,Paramètres!$A$1:$I$89,3,0)*0.475*44/12</f>
        <v>1.4824796920590293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3.3429830638976199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3.7243808037601412E-14</v>
      </c>
      <c r="AK133" s="14">
        <f t="shared" ref="AK133:AK153" si="143">EXP(-1.0587+0.8836*LN(AJ133)+0.284)</f>
        <v>6.2767589361185393E-13</v>
      </c>
      <c r="AL133" s="22">
        <f t="shared" si="112"/>
        <v>1.1580684803728015E-12</v>
      </c>
      <c r="AM133" s="62">
        <f t="shared" si="113"/>
        <v>293.33333333333445</v>
      </c>
      <c r="AN133" s="62">
        <f ca="1">AVERAGE(OFFSET($AM$3,0,0,'Données projet'!$E$10+1,1))-AVERAGE(OFFSET($H$3,0,0,'Données projet'!$E$10+1,1))</f>
        <v>210.08998695869161</v>
      </c>
      <c r="AO133" s="62">
        <f t="shared" ref="AO133:AO196" si="144">$AO$3</f>
        <v>207.30911916430881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1.6406203242037058E-16</v>
      </c>
      <c r="AX133" s="23">
        <f t="shared" si="114"/>
        <v>1.6406203242037058E-16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335.83558218229564</v>
      </c>
      <c r="BJ133" s="62">
        <f t="shared" ref="BJ133:BJ196" si="146">$BJ$3</f>
        <v>217.08423061559648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1.8627904166398461E-14</v>
      </c>
      <c r="BS133" s="24">
        <f t="shared" si="117"/>
        <v>1.8627904166398461E-14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5.6843418860808015E-14</v>
      </c>
      <c r="BZ133" s="14">
        <f>BY133*VLOOKUP('Données projet'!$B$12,Paramètres!$A$1:$I$89,3,0)*VLOOKUP('Données projet'!$B$12,Paramètres!$A$1:$I$89,5,0)</f>
        <v>4.4337866711430253E-14</v>
      </c>
      <c r="CA133" s="14">
        <f t="shared" ref="CA133:CA153" si="147">EXP(-1.0587+0.8836*LN(BZ133)+0.284)</f>
        <v>7.3222115536967035E-13</v>
      </c>
      <c r="CB133" s="22">
        <f t="shared" si="118"/>
        <v>1.3525069634579169E-12</v>
      </c>
      <c r="CC133" s="62">
        <f t="shared" si="119"/>
        <v>293.33333333333468</v>
      </c>
      <c r="CD133" s="62">
        <f ca="1">AVERAGE(OFFSET($CC$3,0,0,'Données projet'!$E$12+1,1))-AVERAGE(OFFSET($H$3,0,0,'Données projet'!$E$12+1,1))</f>
        <v>288.82868507674738</v>
      </c>
      <c r="CE133" s="62">
        <f t="shared" ref="CE133:CE196" si="148">$CE$3</f>
        <v>283.48738729114024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0.30448252150148203</v>
      </c>
      <c r="CM133" s="23">
        <f>EXP(-LN(2)/2)*CM132+(1-EXP(-LN(2)/2))/(LN(2)/2)*CG133*CJ133*VLOOKUP('Données projet'!$B$12,Paramètres!$A$1:$I$89,3,0)*0.475*44/12</f>
        <v>2.2912957751275284E-15</v>
      </c>
      <c r="CN133" s="24">
        <f t="shared" si="120"/>
        <v>0.3044825215014843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317.99999999999972</v>
      </c>
      <c r="CU133" s="18">
        <f>CT133*VLOOKUP('Données projet'!$B$13,Paramètres!$A$1:$I$89,3,0)*VLOOKUP('Données projet'!$B$13,Paramètres!$A$1:$I$89,5,0)</f>
        <v>277.80479999999983</v>
      </c>
      <c r="CV133" s="14">
        <f t="shared" ref="CV133:CV153" si="149">EXP(-1.0587+0.8836*LN(CU133)+0.284)</f>
        <v>66.50288772038418</v>
      </c>
      <c r="CW133" s="22">
        <f t="shared" si="121"/>
        <v>599.66922277966887</v>
      </c>
      <c r="CX133" s="62">
        <f t="shared" si="122"/>
        <v>893.00255611300213</v>
      </c>
      <c r="CY133" s="62">
        <f ca="1">AVERAGE(OFFSET($CX$3,0,0,'Données projet'!$E$13+1,1))-AVERAGE(OFFSET($H$3,0,0,'Données projet'!$E$13+1,1))</f>
        <v>383.46266660377637</v>
      </c>
      <c r="CZ133" s="62">
        <f t="shared" ref="CZ133:CZ196" si="150">$CZ$3</f>
        <v>373.1287543230714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1.0034884530119157</v>
      </c>
      <c r="DH133" s="23">
        <f>EXP(-LN(2)/2)*DH132+(1-EXP(-LN(2)/2))/(LN(2)/2)*DB133*DE133*VLOOKUP('Données projet'!$B$13,Paramètres!$A$1:$I$89,3,0)*0.475*44/12</f>
        <v>1.8861746223997848E-14</v>
      </c>
      <c r="DI133" s="24">
        <f t="shared" si="123"/>
        <v>1.0034884530119346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>
        <f>DO133*VLOOKUP('Données projet'!$B$14,Paramètres!$A$1:$I$89,3,0)*VLOOKUP('Données projet'!$B$14,Paramètres!$A$1:$I$89,5,0)</f>
        <v>0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96.56611521638132</v>
      </c>
      <c r="DU133" s="62">
        <f t="shared" ref="DU133:DU196" si="152">$DU$3</f>
        <v>465.03257878814094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11.374472910965595</v>
      </c>
      <c r="EB133" s="23">
        <f>EXP(-LN(2)/25)*EB132+(1-EXP(-LN(2)/25))/(LN(2)/25)*Calculateur!DW133*Calculateur!DY133*VLOOKUP('Données projet'!$B$14,Paramètres!$A$1:$I$89,3,0)*0.475*44/12</f>
        <v>1.1480448407029133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12.522517751668509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317.99999999999972</v>
      </c>
      <c r="EK133" s="18">
        <f>EJ133*VLOOKUP('Données projet'!$B$15,Paramètres!$A$1:$I$89,3,0)*VLOOKUP('Données projet'!$B$15,Paramètres!$A$1:$I$89,5,0)</f>
        <v>257.96159999999981</v>
      </c>
      <c r="EL133" s="14">
        <f t="shared" ref="EL133:EL153" si="153">EXP(-1.0587+0.8836*LN(EK133)+0.284)</f>
        <v>62.287674609742425</v>
      </c>
      <c r="EM133" s="22">
        <f t="shared" si="127"/>
        <v>557.76748661196768</v>
      </c>
      <c r="EN133" s="62">
        <f t="shared" si="128"/>
        <v>851.10081994530105</v>
      </c>
      <c r="EO133" s="62">
        <f ca="1">AVERAGE(OFFSET($EN$3,0,0,'Données projet'!$E$15+1,1))-AVERAGE(OFFSET($H$3,0,0,'Données projet'!$E$15+1,1))</f>
        <v>358.75637627589799</v>
      </c>
      <c r="EP133" s="62">
        <f t="shared" ref="EP133:EP196" si="154">$EP$3</f>
        <v>349.64821164483607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1.3341896595974012</v>
      </c>
      <c r="EW133" s="23">
        <f>EXP(-LN(2)/25)*EW132+(1-EXP(-LN(2)/25))/(LN(2)/25)*Calculateur!ER133*Calculateur!ET133*VLOOKUP('Données projet'!$B$15,Paramètres!$A$1:$I$89,3,0)*0.475*44/12</f>
        <v>0.95862187758926387</v>
      </c>
      <c r="EX133" s="23">
        <f>EXP(-LN(2)/2)*EX132+(1-EXP(-LN(2)/2))/(LN(2)/2)*ER133*EU133*VLOOKUP('Données projet'!$B$15,Paramètres!$A$1:$I$89,3,0)*0.475*44/12</f>
        <v>3.2386361766833318E-15</v>
      </c>
      <c r="EY133" s="24">
        <f t="shared" si="129"/>
        <v>2.2928115371866684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>
        <f>FE133*VLOOKUP('Données projet'!$B$16,Paramètres!$A$1:$I$89,3,0)*VLOOKUP('Données projet'!$B$16,Paramètres!$A$1:$I$89,5,0)</f>
        <v>0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121.28977654040114</v>
      </c>
      <c r="FK133" s="62">
        <f t="shared" ref="FK133:FK196" si="156">$FK$3</f>
        <v>615.69585264342595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15.32527022457829</v>
      </c>
      <c r="FR133" s="23">
        <f>EXP(-LN(2)/25)*FR132+(1-EXP(-LN(2)/25))/(LN(2)/25)*Calculateur!FM133*Calculateur!FO133*VLOOKUP('Données projet'!$B$16,Paramètres!$A$1:$I$89,3,0)*0.475*44/12</f>
        <v>1.5468055136641485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16.872075738242437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317.99999999999972</v>
      </c>
      <c r="O134" s="14">
        <f>N134*VLOOKUP('Données projet'!$B$9,Paramètres!$A$1:$I$89,3,0)*VLOOKUP('Données projet'!$B$9,Paramètres!$A$1:$I$89,5,0)</f>
        <v>253.0007999999998</v>
      </c>
      <c r="P134" s="14">
        <f t="shared" si="141"/>
        <v>61.228070105968683</v>
      </c>
      <c r="Q134" s="22">
        <f t="shared" si="108"/>
        <v>547.28194876789507</v>
      </c>
      <c r="R134" s="62">
        <f t="shared" si="109"/>
        <v>840.61528210122833</v>
      </c>
      <c r="S134" s="62">
        <f ca="1">AVERAGE(OFFSET($R$3,0,0,'Données projet'!$E$9+1,1))-AVERAGE(OFFSET($H$3,0,0,'Données projet'!$E$9+1,1))</f>
        <v>352.5736659365665</v>
      </c>
      <c r="T134" s="62">
        <f t="shared" si="142"/>
        <v>343.77208530767069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1.8240200355118408</v>
      </c>
      <c r="AA134" s="23">
        <f>EXP(-LN(2)/25)*AA133+(1-EXP(-LN(2)/25))/(LN(2)/25)*Calculateur!V134*Calculateur!X134*VLOOKUP('Données projet'!$B$9,Paramètres!$A$1:$I$89,3,0)*0.475*44/12</f>
        <v>1.4419412069194564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3.2659612424312972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3.7243808037601412E-14</v>
      </c>
      <c r="AK134" s="14">
        <f t="shared" si="143"/>
        <v>6.2767589361185393E-13</v>
      </c>
      <c r="AL134" s="22">
        <f t="shared" si="112"/>
        <v>1.1580684803728015E-12</v>
      </c>
      <c r="AM134" s="62">
        <f t="shared" si="113"/>
        <v>293.33333333333445</v>
      </c>
      <c r="AN134" s="62">
        <f ca="1">AVERAGE(OFFSET($AM$3,0,0,'Données projet'!$E$10+1,1))-AVERAGE(OFFSET($H$3,0,0,'Données projet'!$E$10+1,1))</f>
        <v>210.08998695869161</v>
      </c>
      <c r="AO134" s="62">
        <f t="shared" si="144"/>
        <v>207.30911916430881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1.1600937565969124E-16</v>
      </c>
      <c r="AX134" s="23">
        <f t="shared" si="114"/>
        <v>1.1600937565969124E-16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335.83558218229564</v>
      </c>
      <c r="BJ134" s="62">
        <f t="shared" si="146"/>
        <v>217.08423061559648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1.3171917355353493E-14</v>
      </c>
      <c r="BS134" s="24">
        <f t="shared" si="117"/>
        <v>1.3171917355353493E-14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5.6843418860808015E-14</v>
      </c>
      <c r="BZ134" s="14">
        <f>BY134*VLOOKUP('Données projet'!$B$12,Paramètres!$A$1:$I$89,3,0)*VLOOKUP('Données projet'!$B$12,Paramètres!$A$1:$I$89,5,0)</f>
        <v>4.4337866711430253E-14</v>
      </c>
      <c r="CA134" s="14">
        <f t="shared" si="147"/>
        <v>7.3222115536967035E-13</v>
      </c>
      <c r="CB134" s="22">
        <f t="shared" si="118"/>
        <v>1.3525069634579169E-12</v>
      </c>
      <c r="CC134" s="62">
        <f t="shared" si="119"/>
        <v>293.33333333333468</v>
      </c>
      <c r="CD134" s="62">
        <f ca="1">AVERAGE(OFFSET($CC$3,0,0,'Données projet'!$E$12+1,1))-AVERAGE(OFFSET($H$3,0,0,'Données projet'!$E$12+1,1))</f>
        <v>288.82868507674738</v>
      </c>
      <c r="CE134" s="62">
        <f t="shared" si="148"/>
        <v>283.48738729114024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0.29615643093898408</v>
      </c>
      <c r="CM134" s="23">
        <f>EXP(-LN(2)/2)*CM133+(1-EXP(-LN(2)/2))/(LN(2)/2)*CG134*CJ134*VLOOKUP('Données projet'!$B$12,Paramètres!$A$1:$I$89,3,0)*0.475*44/12</f>
        <v>1.620190780296762E-15</v>
      </c>
      <c r="CN134" s="24">
        <f t="shared" si="120"/>
        <v>0.29615643093898569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317.99999999999972</v>
      </c>
      <c r="CU134" s="18">
        <f>CT134*VLOOKUP('Données projet'!$B$13,Paramètres!$A$1:$I$89,3,0)*VLOOKUP('Données projet'!$B$13,Paramètres!$A$1:$I$89,5,0)</f>
        <v>277.80479999999983</v>
      </c>
      <c r="CV134" s="14">
        <f t="shared" si="149"/>
        <v>66.50288772038418</v>
      </c>
      <c r="CW134" s="22">
        <f t="shared" si="121"/>
        <v>599.66922277966887</v>
      </c>
      <c r="CX134" s="62">
        <f t="shared" si="122"/>
        <v>893.00255611300213</v>
      </c>
      <c r="CY134" s="62">
        <f ca="1">AVERAGE(OFFSET($CX$3,0,0,'Données projet'!$E$13+1,1))-AVERAGE(OFFSET($H$3,0,0,'Données projet'!$E$13+1,1))</f>
        <v>383.46266660377637</v>
      </c>
      <c r="CZ134" s="62">
        <f t="shared" si="150"/>
        <v>373.1287543230714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0.97604800849314066</v>
      </c>
      <c r="DH134" s="23">
        <f>EXP(-LN(2)/2)*DH133+(1-EXP(-LN(2)/2))/(LN(2)/2)*DB134*DE134*VLOOKUP('Données projet'!$B$13,Paramètres!$A$1:$I$89,3,0)*0.475*44/12</f>
        <v>1.3337268660008636E-14</v>
      </c>
      <c r="DI134" s="24">
        <f t="shared" si="123"/>
        <v>0.97604800849315398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>
        <f>DO134*VLOOKUP('Données projet'!$B$14,Paramètres!$A$1:$I$89,3,0)*VLOOKUP('Données projet'!$B$14,Paramètres!$A$1:$I$89,5,0)</f>
        <v>0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96.56611521638132</v>
      </c>
      <c r="DU134" s="62">
        <f t="shared" si="152"/>
        <v>465.03257878814094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11.151426434924991</v>
      </c>
      <c r="EB134" s="23">
        <f>EXP(-LN(2)/25)*EB133+(1-EXP(-LN(2)/25))/(LN(2)/25)*Calculateur!DW134*Calculateur!DY134*VLOOKUP('Données projet'!$B$14,Paramètres!$A$1:$I$89,3,0)*0.475*44/12</f>
        <v>1.1166514941608379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12.268077929085829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317.99999999999972</v>
      </c>
      <c r="EK134" s="18">
        <f>EJ134*VLOOKUP('Données projet'!$B$15,Paramètres!$A$1:$I$89,3,0)*VLOOKUP('Données projet'!$B$15,Paramètres!$A$1:$I$89,5,0)</f>
        <v>257.96159999999981</v>
      </c>
      <c r="EL134" s="14">
        <f t="shared" si="153"/>
        <v>62.287674609742425</v>
      </c>
      <c r="EM134" s="22">
        <f t="shared" si="127"/>
        <v>557.76748661196768</v>
      </c>
      <c r="EN134" s="62">
        <f t="shared" si="128"/>
        <v>851.10081994530105</v>
      </c>
      <c r="EO134" s="62">
        <f ca="1">AVERAGE(OFFSET($EN$3,0,0,'Données projet'!$E$15+1,1))-AVERAGE(OFFSET($H$3,0,0,'Données projet'!$E$15+1,1))</f>
        <v>358.75637627589799</v>
      </c>
      <c r="EP134" s="62">
        <f t="shared" si="154"/>
        <v>349.64821164483607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1.3080270141480348</v>
      </c>
      <c r="EW134" s="23">
        <f>EXP(-LN(2)/25)*EW133+(1-EXP(-LN(2)/25))/(LN(2)/25)*Calculateur!ER134*Calculateur!ET134*VLOOKUP('Données projet'!$B$15,Paramètres!$A$1:$I$89,3,0)*0.475*44/12</f>
        <v>0.93240831193485185</v>
      </c>
      <c r="EX134" s="23">
        <f>EXP(-LN(2)/2)*EX133+(1-EXP(-LN(2)/2))/(LN(2)/2)*ER134*EU134*VLOOKUP('Données projet'!$B$15,Paramètres!$A$1:$I$89,3,0)*0.475*44/12</f>
        <v>2.2900616023288575E-15</v>
      </c>
      <c r="EY134" s="24">
        <f t="shared" si="129"/>
        <v>2.2404353260828889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>
        <f>FE134*VLOOKUP('Données projet'!$B$16,Paramètres!$A$1:$I$89,3,0)*VLOOKUP('Données projet'!$B$16,Paramètres!$A$1:$I$89,5,0)</f>
        <v>0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121.28977654040114</v>
      </c>
      <c r="FK134" s="62">
        <f t="shared" si="156"/>
        <v>615.69585264342595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15.024751022966159</v>
      </c>
      <c r="FR134" s="23">
        <f>EXP(-LN(2)/25)*FR133+(1-EXP(-LN(2)/25))/(LN(2)/25)*Calculateur!FM134*Calculateur!FO134*VLOOKUP('Données projet'!$B$16,Paramètres!$A$1:$I$89,3,0)*0.475*44/12</f>
        <v>1.5045080355500358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16.529259058516196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317.99999999999972</v>
      </c>
      <c r="O135" s="14">
        <f>N135*VLOOKUP('Données projet'!$B$9,Paramètres!$A$1:$I$89,3,0)*VLOOKUP('Données projet'!$B$9,Paramètres!$A$1:$I$89,5,0)</f>
        <v>253.0007999999998</v>
      </c>
      <c r="P135" s="14">
        <f t="shared" si="141"/>
        <v>61.228070105968683</v>
      </c>
      <c r="Q135" s="22">
        <f t="shared" si="108"/>
        <v>547.28194876789507</v>
      </c>
      <c r="R135" s="62">
        <f t="shared" si="109"/>
        <v>840.61528210122833</v>
      </c>
      <c r="S135" s="62">
        <f ca="1">AVERAGE(OFFSET($R$3,0,0,'Données projet'!$E$9+1,1))-AVERAGE(OFFSET($H$3,0,0,'Données projet'!$E$9+1,1))</f>
        <v>352.5736659365665</v>
      </c>
      <c r="T135" s="62">
        <f t="shared" si="142"/>
        <v>343.77208530767069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1.7882521151578208</v>
      </c>
      <c r="AA135" s="23">
        <f>EXP(-LN(2)/25)*AA134+(1-EXP(-LN(2)/25))/(LN(2)/25)*Calculateur!V135*Calculateur!X135*VLOOKUP('Données projet'!$B$9,Paramètres!$A$1:$I$89,3,0)*0.475*44/12</f>
        <v>1.4025112487878513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3.1907633639456723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3.7243808037601412E-14</v>
      </c>
      <c r="AK135" s="14">
        <f t="shared" si="143"/>
        <v>6.2767589361185393E-13</v>
      </c>
      <c r="AL135" s="22">
        <f t="shared" si="112"/>
        <v>1.1580684803728015E-12</v>
      </c>
      <c r="AM135" s="62">
        <f t="shared" si="113"/>
        <v>293.33333333333445</v>
      </c>
      <c r="AN135" s="62">
        <f ca="1">AVERAGE(OFFSET($AM$3,0,0,'Données projet'!$E$10+1,1))-AVERAGE(OFFSET($H$3,0,0,'Données projet'!$E$10+1,1))</f>
        <v>210.08998695869161</v>
      </c>
      <c r="AO135" s="62">
        <f t="shared" si="144"/>
        <v>207.30911916430881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8.2031016210185291E-17</v>
      </c>
      <c r="AX135" s="23">
        <f t="shared" si="114"/>
        <v>8.2031016210185291E-17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335.83558218229564</v>
      </c>
      <c r="BJ135" s="62">
        <f t="shared" si="146"/>
        <v>217.08423061559648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9.3139520831992304E-15</v>
      </c>
      <c r="BS135" s="24">
        <f t="shared" si="117"/>
        <v>9.3139520831992304E-15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5.6843418860808015E-14</v>
      </c>
      <c r="BZ135" s="14">
        <f>BY135*VLOOKUP('Données projet'!$B$12,Paramètres!$A$1:$I$89,3,0)*VLOOKUP('Données projet'!$B$12,Paramètres!$A$1:$I$89,5,0)</f>
        <v>4.4337866711430253E-14</v>
      </c>
      <c r="CA135" s="14">
        <f t="shared" si="147"/>
        <v>7.3222115536967035E-13</v>
      </c>
      <c r="CB135" s="22">
        <f t="shared" si="118"/>
        <v>1.3525069634579169E-12</v>
      </c>
      <c r="CC135" s="62">
        <f t="shared" si="119"/>
        <v>293.33333333333468</v>
      </c>
      <c r="CD135" s="62">
        <f ca="1">AVERAGE(OFFSET($CC$3,0,0,'Données projet'!$E$12+1,1))-AVERAGE(OFFSET($H$3,0,0,'Données projet'!$E$12+1,1))</f>
        <v>288.82868507674738</v>
      </c>
      <c r="CE135" s="62">
        <f t="shared" si="148"/>
        <v>283.48738729114024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0.28805801776076773</v>
      </c>
      <c r="CM135" s="23">
        <f>EXP(-LN(2)/2)*CM134+(1-EXP(-LN(2)/2))/(LN(2)/2)*CG135*CJ135*VLOOKUP('Données projet'!$B$12,Paramètres!$A$1:$I$89,3,0)*0.475*44/12</f>
        <v>1.1456478875637642E-15</v>
      </c>
      <c r="CN135" s="24">
        <f t="shared" si="120"/>
        <v>0.28805801776076889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317.99999999999972</v>
      </c>
      <c r="CU135" s="18">
        <f>CT135*VLOOKUP('Données projet'!$B$13,Paramètres!$A$1:$I$89,3,0)*VLOOKUP('Données projet'!$B$13,Paramètres!$A$1:$I$89,5,0)</f>
        <v>277.80479999999983</v>
      </c>
      <c r="CV135" s="14">
        <f t="shared" si="149"/>
        <v>66.50288772038418</v>
      </c>
      <c r="CW135" s="22">
        <f t="shared" si="121"/>
        <v>599.66922277966887</v>
      </c>
      <c r="CX135" s="62">
        <f t="shared" si="122"/>
        <v>893.00255611300213</v>
      </c>
      <c r="CY135" s="62">
        <f ca="1">AVERAGE(OFFSET($CX$3,0,0,'Données projet'!$E$13+1,1))-AVERAGE(OFFSET($H$3,0,0,'Données projet'!$E$13+1,1))</f>
        <v>383.46266660377637</v>
      </c>
      <c r="CZ135" s="62">
        <f t="shared" si="150"/>
        <v>373.1287543230714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0.94935792437276179</v>
      </c>
      <c r="DH135" s="23">
        <f>EXP(-LN(2)/2)*DH134+(1-EXP(-LN(2)/2))/(LN(2)/2)*DB135*DE135*VLOOKUP('Données projet'!$B$13,Paramètres!$A$1:$I$89,3,0)*0.475*44/12</f>
        <v>9.4308731119989242E-15</v>
      </c>
      <c r="DI135" s="24">
        <f t="shared" si="123"/>
        <v>0.94935792437277122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>
        <f>DO135*VLOOKUP('Données projet'!$B$14,Paramètres!$A$1:$I$89,3,0)*VLOOKUP('Données projet'!$B$14,Paramètres!$A$1:$I$89,5,0)</f>
        <v>0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96.56611521638132</v>
      </c>
      <c r="DU135" s="62">
        <f t="shared" si="152"/>
        <v>465.03257878814094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10.932753764234626</v>
      </c>
      <c r="EB135" s="23">
        <f>EXP(-LN(2)/25)*EB134+(1-EXP(-LN(2)/25))/(LN(2)/25)*Calculateur!DW135*Calculateur!DY135*VLOOKUP('Données projet'!$B$14,Paramètres!$A$1:$I$89,3,0)*0.475*44/12</f>
        <v>1.0861166003308598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12.018870364565485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317.99999999999972</v>
      </c>
      <c r="EK135" s="18">
        <f>EJ135*VLOOKUP('Données projet'!$B$15,Paramètres!$A$1:$I$89,3,0)*VLOOKUP('Données projet'!$B$15,Paramètres!$A$1:$I$89,5,0)</f>
        <v>257.96159999999981</v>
      </c>
      <c r="EL135" s="14">
        <f t="shared" si="153"/>
        <v>62.287674609742425</v>
      </c>
      <c r="EM135" s="22">
        <f t="shared" si="127"/>
        <v>557.76748661196768</v>
      </c>
      <c r="EN135" s="62">
        <f t="shared" si="128"/>
        <v>851.10081994530105</v>
      </c>
      <c r="EO135" s="62">
        <f ca="1">AVERAGE(OFFSET($EN$3,0,0,'Données projet'!$E$15+1,1))-AVERAGE(OFFSET($H$3,0,0,'Données projet'!$E$15+1,1))</f>
        <v>358.75637627589799</v>
      </c>
      <c r="EP135" s="62">
        <f t="shared" si="154"/>
        <v>349.64821164483607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1.2823774022182926</v>
      </c>
      <c r="EW135" s="23">
        <f>EXP(-LN(2)/25)*EW134+(1-EXP(-LN(2)/25))/(LN(2)/25)*Calculateur!ER135*Calculateur!ET135*VLOOKUP('Données projet'!$B$15,Paramètres!$A$1:$I$89,3,0)*0.475*44/12</f>
        <v>0.90691155761177122</v>
      </c>
      <c r="EX135" s="23">
        <f>EXP(-LN(2)/2)*EX134+(1-EXP(-LN(2)/2))/(LN(2)/2)*ER135*EU135*VLOOKUP('Données projet'!$B$15,Paramètres!$A$1:$I$89,3,0)*0.475*44/12</f>
        <v>1.6193180883416659E-15</v>
      </c>
      <c r="EY135" s="24">
        <f t="shared" si="129"/>
        <v>2.1892889598300656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>
        <f>FE135*VLOOKUP('Données projet'!$B$16,Paramètres!$A$1:$I$89,3,0)*VLOOKUP('Données projet'!$B$16,Paramètres!$A$1:$I$89,5,0)</f>
        <v>0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121.28977654040114</v>
      </c>
      <c r="FK135" s="62">
        <f t="shared" si="156"/>
        <v>615.69585264342595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14.730124819599027</v>
      </c>
      <c r="FR135" s="23">
        <f>EXP(-LN(2)/25)*FR134+(1-EXP(-LN(2)/25))/(LN(2)/25)*Calculateur!FM135*Calculateur!FO135*VLOOKUP('Données projet'!$B$16,Paramètres!$A$1:$I$89,3,0)*0.475*44/12</f>
        <v>1.463367184199281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16.193492003798308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317.99999999999972</v>
      </c>
      <c r="O136" s="14">
        <f>N136*VLOOKUP('Données projet'!$B$9,Paramètres!$A$1:$I$89,3,0)*VLOOKUP('Données projet'!$B$9,Paramètres!$A$1:$I$89,5,0)</f>
        <v>253.0007999999998</v>
      </c>
      <c r="P136" s="14">
        <f t="shared" si="141"/>
        <v>61.228070105968683</v>
      </c>
      <c r="Q136" s="22">
        <f t="shared" si="108"/>
        <v>547.28194876789507</v>
      </c>
      <c r="R136" s="62">
        <f t="shared" si="109"/>
        <v>840.61528210122833</v>
      </c>
      <c r="S136" s="62">
        <f ca="1">AVERAGE(OFFSET($R$3,0,0,'Données projet'!$E$9+1,1))-AVERAGE(OFFSET($H$3,0,0,'Données projet'!$E$9+1,1))</f>
        <v>352.5736659365665</v>
      </c>
      <c r="T136" s="62">
        <f t="shared" si="142"/>
        <v>343.77208530767069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1.7531855819056659</v>
      </c>
      <c r="AA136" s="23">
        <f>EXP(-LN(2)/25)*AA135+(1-EXP(-LN(2)/25))/(LN(2)/25)*Calculateur!V136*Calculateur!X136*VLOOKUP('Données projet'!$B$9,Paramètres!$A$1:$I$89,3,0)*0.475*44/12</f>
        <v>1.3641595049348865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3.1173450868405523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3.7243808037601412E-14</v>
      </c>
      <c r="AK136" s="14">
        <f t="shared" si="143"/>
        <v>6.2767589361185393E-13</v>
      </c>
      <c r="AL136" s="22">
        <f t="shared" si="112"/>
        <v>1.1580684803728015E-12</v>
      </c>
      <c r="AM136" s="62">
        <f t="shared" si="113"/>
        <v>293.33333333333445</v>
      </c>
      <c r="AN136" s="62">
        <f ca="1">AVERAGE(OFFSET($AM$3,0,0,'Données projet'!$E$10+1,1))-AVERAGE(OFFSET($H$3,0,0,'Données projet'!$E$10+1,1))</f>
        <v>210.08998695869161</v>
      </c>
      <c r="AO136" s="62">
        <f t="shared" si="144"/>
        <v>207.30911916430881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5.8004687829845621E-17</v>
      </c>
      <c r="AX136" s="23">
        <f t="shared" si="114"/>
        <v>5.8004687829845621E-17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335.83558218229564</v>
      </c>
      <c r="BJ136" s="62">
        <f t="shared" si="146"/>
        <v>217.08423061559648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6.5859586776767467E-15</v>
      </c>
      <c r="BS136" s="24">
        <f t="shared" si="117"/>
        <v>6.5859586776767467E-15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5.6843418860808015E-14</v>
      </c>
      <c r="BZ136" s="14">
        <f>BY136*VLOOKUP('Données projet'!$B$12,Paramètres!$A$1:$I$89,3,0)*VLOOKUP('Données projet'!$B$12,Paramètres!$A$1:$I$89,5,0)</f>
        <v>4.4337866711430253E-14</v>
      </c>
      <c r="CA136" s="14">
        <f t="shared" si="147"/>
        <v>7.3222115536967035E-13</v>
      </c>
      <c r="CB136" s="22">
        <f t="shared" si="118"/>
        <v>1.3525069634579169E-12</v>
      </c>
      <c r="CC136" s="62">
        <f t="shared" si="119"/>
        <v>293.33333333333468</v>
      </c>
      <c r="CD136" s="62">
        <f ca="1">AVERAGE(OFFSET($CC$3,0,0,'Données projet'!$E$12+1,1))-AVERAGE(OFFSET($H$3,0,0,'Données projet'!$E$12+1,1))</f>
        <v>288.82868507674738</v>
      </c>
      <c r="CE136" s="62">
        <f t="shared" si="148"/>
        <v>283.48738729114024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0.28018105611678673</v>
      </c>
      <c r="CM136" s="23">
        <f>EXP(-LN(2)/2)*CM135+(1-EXP(-LN(2)/2))/(LN(2)/2)*CG136*CJ136*VLOOKUP('Données projet'!$B$12,Paramètres!$A$1:$I$89,3,0)*0.475*44/12</f>
        <v>8.1009539014838102E-16</v>
      </c>
      <c r="CN136" s="24">
        <f t="shared" si="120"/>
        <v>0.28018105611678756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317.99999999999972</v>
      </c>
      <c r="CU136" s="18">
        <f>CT136*VLOOKUP('Données projet'!$B$13,Paramètres!$A$1:$I$89,3,0)*VLOOKUP('Données projet'!$B$13,Paramètres!$A$1:$I$89,5,0)</f>
        <v>277.80479999999983</v>
      </c>
      <c r="CV136" s="14">
        <f t="shared" si="149"/>
        <v>66.50288772038418</v>
      </c>
      <c r="CW136" s="22">
        <f t="shared" si="121"/>
        <v>599.66922277966887</v>
      </c>
      <c r="CX136" s="62">
        <f t="shared" si="122"/>
        <v>893.00255611300213</v>
      </c>
      <c r="CY136" s="62">
        <f ca="1">AVERAGE(OFFSET($CX$3,0,0,'Données projet'!$E$13+1,1))-AVERAGE(OFFSET($H$3,0,0,'Données projet'!$E$13+1,1))</f>
        <v>383.46266660377637</v>
      </c>
      <c r="CZ136" s="62">
        <f t="shared" si="150"/>
        <v>373.1287543230714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0.92339768200622518</v>
      </c>
      <c r="DH136" s="23">
        <f>EXP(-LN(2)/2)*DH135+(1-EXP(-LN(2)/2))/(LN(2)/2)*DB136*DE136*VLOOKUP('Données projet'!$B$13,Paramètres!$A$1:$I$89,3,0)*0.475*44/12</f>
        <v>6.6686343300043179E-15</v>
      </c>
      <c r="DI136" s="24">
        <f t="shared" si="123"/>
        <v>0.92339768200623185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>
        <f>DO136*VLOOKUP('Données projet'!$B$14,Paramètres!$A$1:$I$89,3,0)*VLOOKUP('Données projet'!$B$14,Paramètres!$A$1:$I$89,5,0)</f>
        <v>0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96.56611521638132</v>
      </c>
      <c r="DU136" s="62">
        <f t="shared" si="152"/>
        <v>465.03257878814094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10.718369131239339</v>
      </c>
      <c r="EB136" s="23">
        <f>EXP(-LN(2)/25)*EB135+(1-EXP(-LN(2)/25))/(LN(2)/25)*Calculateur!DW136*Calculateur!DY136*VLOOKUP('Données projet'!$B$14,Paramètres!$A$1:$I$89,3,0)*0.475*44/12</f>
        <v>1.0564166847784227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11.774785816017761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317.99999999999972</v>
      </c>
      <c r="EK136" s="18">
        <f>EJ136*VLOOKUP('Données projet'!$B$15,Paramètres!$A$1:$I$89,3,0)*VLOOKUP('Données projet'!$B$15,Paramètres!$A$1:$I$89,5,0)</f>
        <v>257.96159999999981</v>
      </c>
      <c r="EL136" s="14">
        <f t="shared" si="153"/>
        <v>62.287674609742425</v>
      </c>
      <c r="EM136" s="22">
        <f t="shared" si="127"/>
        <v>557.76748661196768</v>
      </c>
      <c r="EN136" s="62">
        <f t="shared" si="128"/>
        <v>851.10081994530105</v>
      </c>
      <c r="EO136" s="62">
        <f ca="1">AVERAGE(OFFSET($EN$3,0,0,'Données projet'!$E$15+1,1))-AVERAGE(OFFSET($H$3,0,0,'Données projet'!$E$15+1,1))</f>
        <v>358.75637627589799</v>
      </c>
      <c r="EP136" s="62">
        <f t="shared" si="154"/>
        <v>349.64821164483607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1.2572307635337741</v>
      </c>
      <c r="EW136" s="23">
        <f>EXP(-LN(2)/25)*EW135+(1-EXP(-LN(2)/25))/(LN(2)/25)*Calculateur!ER136*Calculateur!ET136*VLOOKUP('Données projet'!$B$15,Paramètres!$A$1:$I$89,3,0)*0.475*44/12</f>
        <v>0.88211201337647127</v>
      </c>
      <c r="EX136" s="23">
        <f>EXP(-LN(2)/2)*EX135+(1-EXP(-LN(2)/2))/(LN(2)/2)*ER136*EU136*VLOOKUP('Données projet'!$B$15,Paramètres!$A$1:$I$89,3,0)*0.475*44/12</f>
        <v>1.1450308011644288E-15</v>
      </c>
      <c r="EY136" s="24">
        <f t="shared" si="129"/>
        <v>2.1393427769102469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>
        <f>FE136*VLOOKUP('Données projet'!$B$16,Paramètres!$A$1:$I$89,3,0)*VLOOKUP('Données projet'!$B$16,Paramètres!$A$1:$I$89,5,0)</f>
        <v>0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121.28977654040114</v>
      </c>
      <c r="FK136" s="62">
        <f t="shared" si="156"/>
        <v>615.69585264342595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14.441276056375685</v>
      </c>
      <c r="FR136" s="23">
        <f>EXP(-LN(2)/25)*FR135+(1-EXP(-LN(2)/25))/(LN(2)/25)*Calculateur!FM136*Calculateur!FO136*VLOOKUP('Données projet'!$B$16,Paramètres!$A$1:$I$89,3,0)*0.475*44/12</f>
        <v>1.4233513315922159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15.8646273879679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317.99999999999972</v>
      </c>
      <c r="O137" s="14">
        <f>N137*VLOOKUP('Données projet'!$B$9,Paramètres!$A$1:$I$89,3,0)*VLOOKUP('Données projet'!$B$9,Paramètres!$A$1:$I$89,5,0)</f>
        <v>253.0007999999998</v>
      </c>
      <c r="P137" s="14">
        <f t="shared" si="141"/>
        <v>61.228070105968683</v>
      </c>
      <c r="Q137" s="22">
        <f t="shared" si="108"/>
        <v>547.28194876789507</v>
      </c>
      <c r="R137" s="62">
        <f t="shared" si="109"/>
        <v>840.61528210122833</v>
      </c>
      <c r="S137" s="62">
        <f ca="1">AVERAGE(OFFSET($R$3,0,0,'Données projet'!$E$9+1,1))-AVERAGE(OFFSET($H$3,0,0,'Données projet'!$E$9+1,1))</f>
        <v>352.5736659365665</v>
      </c>
      <c r="T137" s="62">
        <f t="shared" si="142"/>
        <v>343.77208530767069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1.7188066819821124</v>
      </c>
      <c r="AA137" s="23">
        <f>EXP(-LN(2)/25)*AA136+(1-EXP(-LN(2)/25))/(LN(2)/25)*Calculateur!V137*Calculateur!X137*VLOOKUP('Données projet'!$B$9,Paramètres!$A$1:$I$89,3,0)*0.475*44/12</f>
        <v>1.3268564915344114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3.045663173516524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3.7243808037601412E-14</v>
      </c>
      <c r="AK137" s="14">
        <f t="shared" si="143"/>
        <v>6.2767589361185393E-13</v>
      </c>
      <c r="AL137" s="22">
        <f t="shared" si="112"/>
        <v>1.1580684803728015E-12</v>
      </c>
      <c r="AM137" s="62">
        <f t="shared" si="113"/>
        <v>293.33333333333445</v>
      </c>
      <c r="AN137" s="62">
        <f ca="1">AVERAGE(OFFSET($AM$3,0,0,'Données projet'!$E$10+1,1))-AVERAGE(OFFSET($H$3,0,0,'Données projet'!$E$10+1,1))</f>
        <v>210.08998695869161</v>
      </c>
      <c r="AO137" s="62">
        <f t="shared" si="144"/>
        <v>207.30911916430881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4.1015508105092646E-17</v>
      </c>
      <c r="AX137" s="23">
        <f t="shared" si="114"/>
        <v>4.1015508105092646E-17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335.83558218229564</v>
      </c>
      <c r="BJ137" s="62">
        <f t="shared" si="146"/>
        <v>217.08423061559648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4.6569760415996152E-15</v>
      </c>
      <c r="BS137" s="24">
        <f t="shared" si="117"/>
        <v>4.6569760415996152E-15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5.6843418860808015E-14</v>
      </c>
      <c r="BZ137" s="14">
        <f>BY137*VLOOKUP('Données projet'!$B$12,Paramètres!$A$1:$I$89,3,0)*VLOOKUP('Données projet'!$B$12,Paramètres!$A$1:$I$89,5,0)</f>
        <v>4.4337866711430253E-14</v>
      </c>
      <c r="CA137" s="14">
        <f t="shared" si="147"/>
        <v>7.3222115536967035E-13</v>
      </c>
      <c r="CB137" s="22">
        <f t="shared" si="118"/>
        <v>1.3525069634579169E-12</v>
      </c>
      <c r="CC137" s="62">
        <f t="shared" si="119"/>
        <v>293.33333333333468</v>
      </c>
      <c r="CD137" s="62">
        <f ca="1">AVERAGE(OFFSET($CC$3,0,0,'Données projet'!$E$12+1,1))-AVERAGE(OFFSET($H$3,0,0,'Données projet'!$E$12+1,1))</f>
        <v>288.82868507674738</v>
      </c>
      <c r="CE137" s="62">
        <f t="shared" si="148"/>
        <v>283.48738729114024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0.27251949040319184</v>
      </c>
      <c r="CM137" s="23">
        <f>EXP(-LN(2)/2)*CM136+(1-EXP(-LN(2)/2))/(LN(2)/2)*CG137*CJ137*VLOOKUP('Données projet'!$B$12,Paramètres!$A$1:$I$89,3,0)*0.475*44/12</f>
        <v>5.728239437818821E-16</v>
      </c>
      <c r="CN137" s="24">
        <f t="shared" si="120"/>
        <v>0.2725194904031924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317.99999999999972</v>
      </c>
      <c r="CU137" s="18">
        <f>CT137*VLOOKUP('Données projet'!$B$13,Paramètres!$A$1:$I$89,3,0)*VLOOKUP('Données projet'!$B$13,Paramètres!$A$1:$I$89,5,0)</f>
        <v>277.80479999999983</v>
      </c>
      <c r="CV137" s="14">
        <f t="shared" si="149"/>
        <v>66.50288772038418</v>
      </c>
      <c r="CW137" s="22">
        <f t="shared" si="121"/>
        <v>599.66922277966887</v>
      </c>
      <c r="CX137" s="62">
        <f t="shared" si="122"/>
        <v>893.00255611300213</v>
      </c>
      <c r="CY137" s="62">
        <f ca="1">AVERAGE(OFFSET($CX$3,0,0,'Données projet'!$E$13+1,1))-AVERAGE(OFFSET($H$3,0,0,'Données projet'!$E$13+1,1))</f>
        <v>383.46266660377637</v>
      </c>
      <c r="CZ137" s="62">
        <f t="shared" si="150"/>
        <v>373.1287543230714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0.89814732383239126</v>
      </c>
      <c r="DH137" s="23">
        <f>EXP(-LN(2)/2)*DH136+(1-EXP(-LN(2)/2))/(LN(2)/2)*DB137*DE137*VLOOKUP('Données projet'!$B$13,Paramètres!$A$1:$I$89,3,0)*0.475*44/12</f>
        <v>4.7154365559994621E-15</v>
      </c>
      <c r="DI137" s="24">
        <f t="shared" si="123"/>
        <v>0.89814732383239593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>
        <f>DO137*VLOOKUP('Données projet'!$B$14,Paramètres!$A$1:$I$89,3,0)*VLOOKUP('Données projet'!$B$14,Paramètres!$A$1:$I$89,5,0)</f>
        <v>0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96.56611521638132</v>
      </c>
      <c r="DU137" s="62">
        <f t="shared" si="152"/>
        <v>465.03257878814094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10.508188450135375</v>
      </c>
      <c r="EB137" s="23">
        <f>EXP(-LN(2)/25)*EB136+(1-EXP(-LN(2)/25))/(LN(2)/25)*Calculateur!DW137*Calculateur!DY137*VLOOKUP('Données projet'!$B$14,Paramètres!$A$1:$I$89,3,0)*0.475*44/12</f>
        <v>1.0275289149786178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11.535717365113992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317.99999999999972</v>
      </c>
      <c r="EK137" s="18">
        <f>EJ137*VLOOKUP('Données projet'!$B$15,Paramètres!$A$1:$I$89,3,0)*VLOOKUP('Données projet'!$B$15,Paramètres!$A$1:$I$89,5,0)</f>
        <v>257.96159999999981</v>
      </c>
      <c r="EL137" s="14">
        <f t="shared" si="153"/>
        <v>62.287674609742425</v>
      </c>
      <c r="EM137" s="22">
        <f t="shared" si="127"/>
        <v>557.76748661196768</v>
      </c>
      <c r="EN137" s="62">
        <f t="shared" si="128"/>
        <v>851.10081994530105</v>
      </c>
      <c r="EO137" s="62">
        <f ca="1">AVERAGE(OFFSET($EN$3,0,0,'Données projet'!$E$15+1,1))-AVERAGE(OFFSET($H$3,0,0,'Données projet'!$E$15+1,1))</f>
        <v>358.75637627589799</v>
      </c>
      <c r="EP137" s="62">
        <f t="shared" si="154"/>
        <v>349.64821164483607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1.2325772350959239</v>
      </c>
      <c r="EW137" s="23">
        <f>EXP(-LN(2)/25)*EW136+(1-EXP(-LN(2)/25))/(LN(2)/25)*Calculateur!ER137*Calculateur!ET137*VLOOKUP('Données projet'!$B$15,Paramètres!$A$1:$I$89,3,0)*0.475*44/12</f>
        <v>0.85799061398243692</v>
      </c>
      <c r="EX137" s="23">
        <f>EXP(-LN(2)/2)*EX136+(1-EXP(-LN(2)/2))/(LN(2)/2)*ER137*EU137*VLOOKUP('Données projet'!$B$15,Paramètres!$A$1:$I$89,3,0)*0.475*44/12</f>
        <v>8.0965904417083294E-16</v>
      </c>
      <c r="EY137" s="24">
        <f t="shared" si="129"/>
        <v>2.0905678490783615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>
        <f>FE137*VLOOKUP('Données projet'!$B$16,Paramètres!$A$1:$I$89,3,0)*VLOOKUP('Données projet'!$B$16,Paramètres!$A$1:$I$89,5,0)</f>
        <v>0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121.28977654040114</v>
      </c>
      <c r="FK137" s="62">
        <f t="shared" si="156"/>
        <v>615.69585264342595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14.158091441218804</v>
      </c>
      <c r="FR137" s="23">
        <f>EXP(-LN(2)/25)*FR136+(1-EXP(-LN(2)/25))/(LN(2)/25)*Calculateur!FM137*Calculateur!FO137*VLOOKUP('Données projet'!$B$16,Paramètres!$A$1:$I$89,3,0)*0.475*44/12</f>
        <v>1.3844297145790334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15.542521155797838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317.99999999999972</v>
      </c>
      <c r="O138" s="14">
        <f>N138*VLOOKUP('Données projet'!$B$9,Paramètres!$A$1:$I$89,3,0)*VLOOKUP('Données projet'!$B$9,Paramètres!$A$1:$I$89,5,0)</f>
        <v>253.0007999999998</v>
      </c>
      <c r="P138" s="14">
        <f t="shared" si="141"/>
        <v>61.228070105968683</v>
      </c>
      <c r="Q138" s="22">
        <f t="shared" si="108"/>
        <v>547.28194876789507</v>
      </c>
      <c r="R138" s="62">
        <f t="shared" si="109"/>
        <v>840.61528210122833</v>
      </c>
      <c r="S138" s="62">
        <f ca="1">AVERAGE(OFFSET($R$3,0,0,'Données projet'!$E$9+1,1))-AVERAGE(OFFSET($H$3,0,0,'Données projet'!$E$9+1,1))</f>
        <v>352.5736659365665</v>
      </c>
      <c r="T138" s="62">
        <f t="shared" si="142"/>
        <v>343.77208530767069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1.6851019313170015</v>
      </c>
      <c r="AA138" s="23">
        <f>EXP(-LN(2)/25)*AA137+(1-EXP(-LN(2)/25))/(LN(2)/25)*Calculateur!V138*Calculateur!X138*VLOOKUP('Données projet'!$B$9,Paramètres!$A$1:$I$89,3,0)*0.475*44/12</f>
        <v>1.2905735309970527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2.9756754623140544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3.7243808037601412E-14</v>
      </c>
      <c r="AK138" s="14">
        <f t="shared" si="143"/>
        <v>6.2767589361185393E-13</v>
      </c>
      <c r="AL138" s="22">
        <f t="shared" si="112"/>
        <v>1.1580684803728015E-12</v>
      </c>
      <c r="AM138" s="62">
        <f t="shared" si="113"/>
        <v>293.33333333333445</v>
      </c>
      <c r="AN138" s="62">
        <f ca="1">AVERAGE(OFFSET($AM$3,0,0,'Données projet'!$E$10+1,1))-AVERAGE(OFFSET($H$3,0,0,'Données projet'!$E$10+1,1))</f>
        <v>210.08998695869161</v>
      </c>
      <c r="AO138" s="62">
        <f t="shared" si="144"/>
        <v>207.30911916430881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2.9002343914922811E-17</v>
      </c>
      <c r="AX138" s="23">
        <f t="shared" si="114"/>
        <v>2.9002343914922811E-17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335.83558218229564</v>
      </c>
      <c r="BJ138" s="62">
        <f t="shared" si="146"/>
        <v>217.08423061559648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3.2929793388383734E-15</v>
      </c>
      <c r="BS138" s="24">
        <f t="shared" si="117"/>
        <v>3.2929793388383734E-15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5.6843418860808015E-14</v>
      </c>
      <c r="BZ138" s="14">
        <f>BY138*VLOOKUP('Données projet'!$B$12,Paramètres!$A$1:$I$89,3,0)*VLOOKUP('Données projet'!$B$12,Paramètres!$A$1:$I$89,5,0)</f>
        <v>4.4337866711430253E-14</v>
      </c>
      <c r="CA138" s="14">
        <f t="shared" si="147"/>
        <v>7.3222115536967035E-13</v>
      </c>
      <c r="CB138" s="22">
        <f t="shared" si="118"/>
        <v>1.3525069634579169E-12</v>
      </c>
      <c r="CC138" s="62">
        <f t="shared" si="119"/>
        <v>293.33333333333468</v>
      </c>
      <c r="CD138" s="62">
        <f ca="1">AVERAGE(OFFSET($CC$3,0,0,'Données projet'!$E$12+1,1))-AVERAGE(OFFSET($H$3,0,0,'Données projet'!$E$12+1,1))</f>
        <v>288.82868507674738</v>
      </c>
      <c r="CE138" s="62">
        <f t="shared" si="148"/>
        <v>283.48738729114024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0.26506743060693944</v>
      </c>
      <c r="CM138" s="23">
        <f>EXP(-LN(2)/2)*CM137+(1-EXP(-LN(2)/2))/(LN(2)/2)*CG138*CJ138*VLOOKUP('Données projet'!$B$12,Paramètres!$A$1:$I$89,3,0)*0.475*44/12</f>
        <v>4.0504769507419051E-16</v>
      </c>
      <c r="CN138" s="24">
        <f t="shared" si="120"/>
        <v>0.26506743060693982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317.99999999999972</v>
      </c>
      <c r="CU138" s="18">
        <f>CT138*VLOOKUP('Données projet'!$B$13,Paramètres!$A$1:$I$89,3,0)*VLOOKUP('Données projet'!$B$13,Paramètres!$A$1:$I$89,5,0)</f>
        <v>277.80479999999983</v>
      </c>
      <c r="CV138" s="14">
        <f t="shared" si="149"/>
        <v>66.50288772038418</v>
      </c>
      <c r="CW138" s="22">
        <f t="shared" si="121"/>
        <v>599.66922277966887</v>
      </c>
      <c r="CX138" s="62">
        <f t="shared" si="122"/>
        <v>893.00255611300213</v>
      </c>
      <c r="CY138" s="62">
        <f ca="1">AVERAGE(OFFSET($CX$3,0,0,'Données projet'!$E$13+1,1))-AVERAGE(OFFSET($H$3,0,0,'Données projet'!$E$13+1,1))</f>
        <v>383.46266660377637</v>
      </c>
      <c r="CZ138" s="62">
        <f t="shared" si="150"/>
        <v>373.1287543230714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0.87358743803067951</v>
      </c>
      <c r="DH138" s="23">
        <f>EXP(-LN(2)/2)*DH137+(1-EXP(-LN(2)/2))/(LN(2)/2)*DB138*DE138*VLOOKUP('Données projet'!$B$13,Paramètres!$A$1:$I$89,3,0)*0.475*44/12</f>
        <v>3.3343171650021589E-15</v>
      </c>
      <c r="DI138" s="24">
        <f t="shared" si="123"/>
        <v>0.87358743803068284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>
        <f>DO138*VLOOKUP('Données projet'!$B$14,Paramètres!$A$1:$I$89,3,0)*VLOOKUP('Données projet'!$B$14,Paramètres!$A$1:$I$89,5,0)</f>
        <v>0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96.56611521638132</v>
      </c>
      <c r="DU138" s="62">
        <f t="shared" si="152"/>
        <v>465.03257878814094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10.302129283990302</v>
      </c>
      <c r="EB138" s="23">
        <f>EXP(-LN(2)/25)*EB137+(1-EXP(-LN(2)/25))/(LN(2)/25)*Calculateur!DW138*Calculateur!DY138*VLOOKUP('Données projet'!$B$14,Paramètres!$A$1:$I$89,3,0)*0.475*44/12</f>
        <v>0.99943108276313031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11.301560366753433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317.99999999999972</v>
      </c>
      <c r="EK138" s="18">
        <f>EJ138*VLOOKUP('Données projet'!$B$15,Paramètres!$A$1:$I$89,3,0)*VLOOKUP('Données projet'!$B$15,Paramètres!$A$1:$I$89,5,0)</f>
        <v>257.96159999999981</v>
      </c>
      <c r="EL138" s="14">
        <f t="shared" si="153"/>
        <v>62.287674609742425</v>
      </c>
      <c r="EM138" s="22">
        <f t="shared" si="127"/>
        <v>557.76748661196768</v>
      </c>
      <c r="EN138" s="62">
        <f t="shared" si="128"/>
        <v>851.10081994530105</v>
      </c>
      <c r="EO138" s="62">
        <f ca="1">AVERAGE(OFFSET($EN$3,0,0,'Données projet'!$E$15+1,1))-AVERAGE(OFFSET($H$3,0,0,'Données projet'!$E$15+1,1))</f>
        <v>358.75637627589799</v>
      </c>
      <c r="EP138" s="62">
        <f t="shared" si="154"/>
        <v>349.64821164483607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1.2084071473135722</v>
      </c>
      <c r="EW138" s="23">
        <f>EXP(-LN(2)/25)*EW137+(1-EXP(-LN(2)/25))/(LN(2)/25)*Calculateur!ER138*Calculateur!ET138*VLOOKUP('Données projet'!$B$15,Paramètres!$A$1:$I$89,3,0)*0.475*44/12</f>
        <v>0.83452881552332181</v>
      </c>
      <c r="EX138" s="23">
        <f>EXP(-LN(2)/2)*EX137+(1-EXP(-LN(2)/2))/(LN(2)/2)*ER138*EU138*VLOOKUP('Données projet'!$B$15,Paramètres!$A$1:$I$89,3,0)*0.475*44/12</f>
        <v>5.7251540058221438E-16</v>
      </c>
      <c r="EY138" s="24">
        <f t="shared" si="129"/>
        <v>2.0429359628368946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>
        <f>FE138*VLOOKUP('Données projet'!$B$16,Paramètres!$A$1:$I$89,3,0)*VLOOKUP('Données projet'!$B$16,Paramètres!$A$1:$I$89,5,0)</f>
        <v>0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121.28977654040114</v>
      </c>
      <c r="FK138" s="62">
        <f t="shared" si="156"/>
        <v>615.69585264342595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13.88045990363959</v>
      </c>
      <c r="FR138" s="23">
        <f>EXP(-LN(2)/25)*FR137+(1-EXP(-LN(2)/25))/(LN(2)/25)*Calculateur!FM138*Calculateur!FO138*VLOOKUP('Données projet'!$B$16,Paramètres!$A$1:$I$89,3,0)*0.475*44/12</f>
        <v>1.3465724112298751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15.227032314869465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317.99999999999972</v>
      </c>
      <c r="O139" s="14">
        <f>N139*VLOOKUP('Données projet'!$B$9,Paramètres!$A$1:$I$89,3,0)*VLOOKUP('Données projet'!$B$9,Paramètres!$A$1:$I$89,5,0)</f>
        <v>253.0007999999998</v>
      </c>
      <c r="P139" s="14">
        <f t="shared" si="141"/>
        <v>61.228070105968683</v>
      </c>
      <c r="Q139" s="22">
        <f t="shared" si="108"/>
        <v>547.28194876789507</v>
      </c>
      <c r="R139" s="62">
        <f t="shared" si="109"/>
        <v>840.61528210122833</v>
      </c>
      <c r="S139" s="62">
        <f ca="1">AVERAGE(OFFSET($R$3,0,0,'Données projet'!$E$9+1,1))-AVERAGE(OFFSET($H$3,0,0,'Données projet'!$E$9+1,1))</f>
        <v>352.5736659365665</v>
      </c>
      <c r="T139" s="62">
        <f t="shared" si="142"/>
        <v>343.77208530767069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1.6520581102545653</v>
      </c>
      <c r="AA139" s="23">
        <f>EXP(-LN(2)/25)*AA138+(1-EXP(-LN(2)/25))/(LN(2)/25)*Calculateur!V139*Calculateur!X139*VLOOKUP('Données projet'!$B$9,Paramètres!$A$1:$I$89,3,0)*0.475*44/12</f>
        <v>1.255282729923626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2.9073408401781915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3.7243808037601412E-14</v>
      </c>
      <c r="AK139" s="14">
        <f t="shared" si="143"/>
        <v>6.2767589361185393E-13</v>
      </c>
      <c r="AL139" s="22">
        <f t="shared" si="112"/>
        <v>1.1580684803728015E-12</v>
      </c>
      <c r="AM139" s="62">
        <f t="shared" si="113"/>
        <v>293.33333333333445</v>
      </c>
      <c r="AN139" s="62">
        <f ca="1">AVERAGE(OFFSET($AM$3,0,0,'Données projet'!$E$10+1,1))-AVERAGE(OFFSET($H$3,0,0,'Données projet'!$E$10+1,1))</f>
        <v>210.08998695869161</v>
      </c>
      <c r="AO139" s="62">
        <f t="shared" si="144"/>
        <v>207.30911916430881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2.0507754052546323E-17</v>
      </c>
      <c r="AX139" s="23">
        <f t="shared" si="114"/>
        <v>2.0507754052546323E-17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335.83558218229564</v>
      </c>
      <c r="BJ139" s="62">
        <f t="shared" si="146"/>
        <v>217.08423061559648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2.3284880207998076E-15</v>
      </c>
      <c r="BS139" s="24">
        <f t="shared" si="117"/>
        <v>2.3284880207998076E-15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5.6843418860808015E-14</v>
      </c>
      <c r="BZ139" s="14">
        <f>BY139*VLOOKUP('Données projet'!$B$12,Paramètres!$A$1:$I$89,3,0)*VLOOKUP('Données projet'!$B$12,Paramètres!$A$1:$I$89,5,0)</f>
        <v>4.4337866711430253E-14</v>
      </c>
      <c r="CA139" s="14">
        <f t="shared" si="147"/>
        <v>7.3222115536967035E-13</v>
      </c>
      <c r="CB139" s="22">
        <f t="shared" si="118"/>
        <v>1.3525069634579169E-12</v>
      </c>
      <c r="CC139" s="62">
        <f t="shared" si="119"/>
        <v>293.33333333333468</v>
      </c>
      <c r="CD139" s="62">
        <f ca="1">AVERAGE(OFFSET($CC$3,0,0,'Données projet'!$E$12+1,1))-AVERAGE(OFFSET($H$3,0,0,'Données projet'!$E$12+1,1))</f>
        <v>288.82868507674738</v>
      </c>
      <c r="CE139" s="62">
        <f t="shared" si="148"/>
        <v>283.48738729114024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0.25781914777770232</v>
      </c>
      <c r="CM139" s="23">
        <f>EXP(-LN(2)/2)*CM138+(1-EXP(-LN(2)/2))/(LN(2)/2)*CG139*CJ139*VLOOKUP('Données projet'!$B$12,Paramètres!$A$1:$I$89,3,0)*0.475*44/12</f>
        <v>2.8641197189094105E-16</v>
      </c>
      <c r="CN139" s="24">
        <f t="shared" si="120"/>
        <v>0.2578191477777026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317.99999999999972</v>
      </c>
      <c r="CU139" s="18">
        <f>CT139*VLOOKUP('Données projet'!$B$13,Paramètres!$A$1:$I$89,3,0)*VLOOKUP('Données projet'!$B$13,Paramètres!$A$1:$I$89,5,0)</f>
        <v>277.80479999999983</v>
      </c>
      <c r="CV139" s="14">
        <f t="shared" si="149"/>
        <v>66.50288772038418</v>
      </c>
      <c r="CW139" s="22">
        <f t="shared" si="121"/>
        <v>599.66922277966887</v>
      </c>
      <c r="CX139" s="62">
        <f t="shared" si="122"/>
        <v>893.00255611300213</v>
      </c>
      <c r="CY139" s="62">
        <f ca="1">AVERAGE(OFFSET($CX$3,0,0,'Données projet'!$E$13+1,1))-AVERAGE(OFFSET($H$3,0,0,'Données projet'!$E$13+1,1))</f>
        <v>383.46266660377637</v>
      </c>
      <c r="CZ139" s="62">
        <f t="shared" si="150"/>
        <v>373.1287543230714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0.84969914359776377</v>
      </c>
      <c r="DH139" s="23">
        <f>EXP(-LN(2)/2)*DH138+(1-EXP(-LN(2)/2))/(LN(2)/2)*DB139*DE139*VLOOKUP('Données projet'!$B$13,Paramètres!$A$1:$I$89,3,0)*0.475*44/12</f>
        <v>2.3577182779997311E-15</v>
      </c>
      <c r="DI139" s="24">
        <f t="shared" si="123"/>
        <v>0.8496991435977661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>
        <f>DO139*VLOOKUP('Données projet'!$B$14,Paramètres!$A$1:$I$89,3,0)*VLOOKUP('Données projet'!$B$14,Paramètres!$A$1:$I$89,5,0)</f>
        <v>0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96.56611521638132</v>
      </c>
      <c r="DU139" s="62">
        <f t="shared" si="152"/>
        <v>465.03257878814094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10.100110812409653</v>
      </c>
      <c r="EB139" s="23">
        <f>EXP(-LN(2)/25)*EB138+(1-EXP(-LN(2)/25))/(LN(2)/25)*Calculateur!DW139*Calculateur!DY139*VLOOKUP('Données projet'!$B$14,Paramètres!$A$1:$I$89,3,0)*0.475*44/12</f>
        <v>0.9721015872471761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11.072212399656829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317.99999999999972</v>
      </c>
      <c r="EK139" s="18">
        <f>EJ139*VLOOKUP('Données projet'!$B$15,Paramètres!$A$1:$I$89,3,0)*VLOOKUP('Données projet'!$B$15,Paramètres!$A$1:$I$89,5,0)</f>
        <v>257.96159999999981</v>
      </c>
      <c r="EL139" s="14">
        <f t="shared" si="153"/>
        <v>62.287674609742425</v>
      </c>
      <c r="EM139" s="22">
        <f t="shared" si="127"/>
        <v>557.76748661196768</v>
      </c>
      <c r="EN139" s="62">
        <f t="shared" si="128"/>
        <v>851.10081994530105</v>
      </c>
      <c r="EO139" s="62">
        <f ca="1">AVERAGE(OFFSET($EN$3,0,0,'Données projet'!$E$15+1,1))-AVERAGE(OFFSET($H$3,0,0,'Données projet'!$E$15+1,1))</f>
        <v>358.75637627589799</v>
      </c>
      <c r="EP139" s="62">
        <f t="shared" si="154"/>
        <v>349.64821164483607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1.1847110202103348</v>
      </c>
      <c r="EW139" s="23">
        <f>EXP(-LN(2)/25)*EW138+(1-EXP(-LN(2)/25))/(LN(2)/25)*Calculateur!ER139*Calculateur!ET139*VLOOKUP('Données projet'!$B$15,Paramètres!$A$1:$I$89,3,0)*0.475*44/12</f>
        <v>0.8117085811768735</v>
      </c>
      <c r="EX139" s="23">
        <f>EXP(-LN(2)/2)*EX138+(1-EXP(-LN(2)/2))/(LN(2)/2)*ER139*EU139*VLOOKUP('Données projet'!$B$15,Paramètres!$A$1:$I$89,3,0)*0.475*44/12</f>
        <v>4.0482952208541647E-16</v>
      </c>
      <c r="EY139" s="24">
        <f t="shared" si="129"/>
        <v>1.9964196013872089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>
        <f>FE139*VLOOKUP('Données projet'!$B$16,Paramètres!$A$1:$I$89,3,0)*VLOOKUP('Données projet'!$B$16,Paramètres!$A$1:$I$89,5,0)</f>
        <v>0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121.28977654040114</v>
      </c>
      <c r="FK139" s="62">
        <f t="shared" si="156"/>
        <v>615.69585264342595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13.608272551173787</v>
      </c>
      <c r="FR139" s="23">
        <f>EXP(-LN(2)/25)*FR138+(1-EXP(-LN(2)/25))/(LN(2)/25)*Calculateur!FM139*Calculateur!FO139*VLOOKUP('Données projet'!$B$16,Paramètres!$A$1:$I$89,3,0)*0.475*44/12</f>
        <v>1.3097503178316288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14.918022869005416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317.99999999999972</v>
      </c>
      <c r="O140" s="14">
        <f>N140*VLOOKUP('Données projet'!$B$9,Paramètres!$A$1:$I$89,3,0)*VLOOKUP('Données projet'!$B$9,Paramètres!$A$1:$I$89,5,0)</f>
        <v>253.0007999999998</v>
      </c>
      <c r="P140" s="14">
        <f t="shared" si="141"/>
        <v>61.228070105968683</v>
      </c>
      <c r="Q140" s="22">
        <f t="shared" si="108"/>
        <v>547.28194876789507</v>
      </c>
      <c r="R140" s="62">
        <f t="shared" si="109"/>
        <v>840.61528210122833</v>
      </c>
      <c r="S140" s="62">
        <f ca="1">AVERAGE(OFFSET($R$3,0,0,'Données projet'!$E$9+1,1))-AVERAGE(OFFSET($H$3,0,0,'Données projet'!$E$9+1,1))</f>
        <v>352.5736659365665</v>
      </c>
      <c r="T140" s="62">
        <f t="shared" si="142"/>
        <v>343.77208530767069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1.6196622583684228</v>
      </c>
      <c r="AA140" s="23">
        <f>EXP(-LN(2)/25)*AA139+(1-EXP(-LN(2)/25))/(LN(2)/25)*Calculateur!V140*Calculateur!X140*VLOOKUP('Données projet'!$B$9,Paramètres!$A$1:$I$89,3,0)*0.475*44/12</f>
        <v>1.2209569576614148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2.8406192160298378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3.7243808037601412E-14</v>
      </c>
      <c r="AK140" s="14">
        <f t="shared" si="143"/>
        <v>6.2767589361185393E-13</v>
      </c>
      <c r="AL140" s="22">
        <f t="shared" si="112"/>
        <v>1.1580684803728015E-12</v>
      </c>
      <c r="AM140" s="62">
        <f t="shared" si="113"/>
        <v>293.33333333333445</v>
      </c>
      <c r="AN140" s="62">
        <f ca="1">AVERAGE(OFFSET($AM$3,0,0,'Données projet'!$E$10+1,1))-AVERAGE(OFFSET($H$3,0,0,'Données projet'!$E$10+1,1))</f>
        <v>210.08998695869161</v>
      </c>
      <c r="AO140" s="62">
        <f t="shared" si="144"/>
        <v>207.30911916430881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1.4501171957461405E-17</v>
      </c>
      <c r="AX140" s="23">
        <f t="shared" si="114"/>
        <v>1.4501171957461405E-17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335.83558218229564</v>
      </c>
      <c r="BJ140" s="62">
        <f t="shared" si="146"/>
        <v>217.08423061559648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1.6464896694191867E-15</v>
      </c>
      <c r="BS140" s="24">
        <f t="shared" si="117"/>
        <v>1.6464896694191867E-15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5.6843418860808015E-14</v>
      </c>
      <c r="BZ140" s="14">
        <f>BY140*VLOOKUP('Données projet'!$B$12,Paramètres!$A$1:$I$89,3,0)*VLOOKUP('Données projet'!$B$12,Paramètres!$A$1:$I$89,5,0)</f>
        <v>4.4337866711430253E-14</v>
      </c>
      <c r="CA140" s="14">
        <f t="shared" si="147"/>
        <v>7.3222115536967035E-13</v>
      </c>
      <c r="CB140" s="22">
        <f t="shared" si="118"/>
        <v>1.3525069634579169E-12</v>
      </c>
      <c r="CC140" s="62">
        <f t="shared" si="119"/>
        <v>293.33333333333468</v>
      </c>
      <c r="CD140" s="62">
        <f ca="1">AVERAGE(OFFSET($CC$3,0,0,'Données projet'!$E$12+1,1))-AVERAGE(OFFSET($H$3,0,0,'Données projet'!$E$12+1,1))</f>
        <v>288.82868507674738</v>
      </c>
      <c r="CE140" s="62">
        <f t="shared" si="148"/>
        <v>283.48738729114024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0.25076906962360129</v>
      </c>
      <c r="CM140" s="23">
        <f>EXP(-LN(2)/2)*CM139+(1-EXP(-LN(2)/2))/(LN(2)/2)*CG140*CJ140*VLOOKUP('Données projet'!$B$12,Paramètres!$A$1:$I$89,3,0)*0.475*44/12</f>
        <v>2.0252384753709525E-16</v>
      </c>
      <c r="CN140" s="24">
        <f t="shared" si="120"/>
        <v>0.25076906962360151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317.99999999999972</v>
      </c>
      <c r="CU140" s="18">
        <f>CT140*VLOOKUP('Données projet'!$B$13,Paramètres!$A$1:$I$89,3,0)*VLOOKUP('Données projet'!$B$13,Paramètres!$A$1:$I$89,5,0)</f>
        <v>277.80479999999983</v>
      </c>
      <c r="CV140" s="14">
        <f t="shared" si="149"/>
        <v>66.50288772038418</v>
      </c>
      <c r="CW140" s="22">
        <f t="shared" si="121"/>
        <v>599.66922277966887</v>
      </c>
      <c r="CX140" s="62">
        <f t="shared" si="122"/>
        <v>893.00255611300213</v>
      </c>
      <c r="CY140" s="62">
        <f ca="1">AVERAGE(OFFSET($CX$3,0,0,'Données projet'!$E$13+1,1))-AVERAGE(OFFSET($H$3,0,0,'Données projet'!$E$13+1,1))</f>
        <v>383.46266660377637</v>
      </c>
      <c r="CZ140" s="62">
        <f t="shared" si="150"/>
        <v>373.1287543230714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0.82646407583234693</v>
      </c>
      <c r="DH140" s="23">
        <f>EXP(-LN(2)/2)*DH139+(1-EXP(-LN(2)/2))/(LN(2)/2)*DB140*DE140*VLOOKUP('Données projet'!$B$13,Paramètres!$A$1:$I$89,3,0)*0.475*44/12</f>
        <v>1.6671585825010795E-15</v>
      </c>
      <c r="DI140" s="24">
        <f t="shared" si="123"/>
        <v>0.8264640758323486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>
        <f>DO140*VLOOKUP('Données projet'!$B$14,Paramètres!$A$1:$I$89,3,0)*VLOOKUP('Données projet'!$B$14,Paramètres!$A$1:$I$89,5,0)</f>
        <v>0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96.56611521638132</v>
      </c>
      <c r="DU140" s="62">
        <f t="shared" si="152"/>
        <v>465.03257878814094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9.902053799837601</v>
      </c>
      <c r="EB140" s="23">
        <f>EXP(-LN(2)/25)*EB139+(1-EXP(-LN(2)/25))/(LN(2)/25)*Calculateur!DW140*Calculateur!DY140*VLOOKUP('Données projet'!$B$14,Paramètres!$A$1:$I$89,3,0)*0.475*44/12</f>
        <v>0.94551941822330132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10.847573218060901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317.99999999999972</v>
      </c>
      <c r="EK140" s="18">
        <f>EJ140*VLOOKUP('Données projet'!$B$15,Paramètres!$A$1:$I$89,3,0)*VLOOKUP('Données projet'!$B$15,Paramètres!$A$1:$I$89,5,0)</f>
        <v>257.96159999999981</v>
      </c>
      <c r="EL140" s="14">
        <f t="shared" si="153"/>
        <v>62.287674609742425</v>
      </c>
      <c r="EM140" s="22">
        <f t="shared" si="127"/>
        <v>557.76748661196768</v>
      </c>
      <c r="EN140" s="62">
        <f t="shared" si="128"/>
        <v>851.10081994530105</v>
      </c>
      <c r="EO140" s="62">
        <f ca="1">AVERAGE(OFFSET($EN$3,0,0,'Données projet'!$E$15+1,1))-AVERAGE(OFFSET($H$3,0,0,'Données projet'!$E$15+1,1))</f>
        <v>358.75637627589799</v>
      </c>
      <c r="EP140" s="62">
        <f t="shared" si="154"/>
        <v>349.64821164483607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1.1614795597063814</v>
      </c>
      <c r="EW140" s="23">
        <f>EXP(-LN(2)/25)*EW139+(1-EXP(-LN(2)/25))/(LN(2)/25)*Calculateur!ER140*Calculateur!ET140*VLOOKUP('Données projet'!$B$15,Paramètres!$A$1:$I$89,3,0)*0.475*44/12</f>
        <v>0.78951236733869279</v>
      </c>
      <c r="EX140" s="23">
        <f>EXP(-LN(2)/2)*EX139+(1-EXP(-LN(2)/2))/(LN(2)/2)*ER140*EU140*VLOOKUP('Données projet'!$B$15,Paramètres!$A$1:$I$89,3,0)*0.475*44/12</f>
        <v>2.8625770029110719E-16</v>
      </c>
      <c r="EY140" s="24">
        <f t="shared" si="129"/>
        <v>1.9509919270450744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>
        <f>FE140*VLOOKUP('Données projet'!$B$16,Paramètres!$A$1:$I$89,3,0)*VLOOKUP('Données projet'!$B$16,Paramètres!$A$1:$I$89,5,0)</f>
        <v>0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121.28977654040114</v>
      </c>
      <c r="FK140" s="62">
        <f t="shared" si="156"/>
        <v>615.69585264342595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13.341422626671946</v>
      </c>
      <c r="FR140" s="23">
        <f>EXP(-LN(2)/25)*FR139+(1-EXP(-LN(2)/25))/(LN(2)/25)*Calculateur!FM140*Calculateur!FO140*VLOOKUP('Données projet'!$B$16,Paramètres!$A$1:$I$89,3,0)*0.475*44/12</f>
        <v>1.2739351265137471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14.615357753185693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317.99999999999972</v>
      </c>
      <c r="O141" s="14">
        <f>N141*VLOOKUP('Données projet'!$B$9,Paramètres!$A$1:$I$89,3,0)*VLOOKUP('Données projet'!$B$9,Paramètres!$A$1:$I$89,5,0)</f>
        <v>253.0007999999998</v>
      </c>
      <c r="P141" s="14">
        <f t="shared" si="141"/>
        <v>61.228070105968683</v>
      </c>
      <c r="Q141" s="22">
        <f t="shared" si="108"/>
        <v>547.28194876789507</v>
      </c>
      <c r="R141" s="62">
        <f t="shared" si="109"/>
        <v>840.61528210122833</v>
      </c>
      <c r="S141" s="62">
        <f ca="1">AVERAGE(OFFSET($R$3,0,0,'Données projet'!$E$9+1,1))-AVERAGE(OFFSET($H$3,0,0,'Données projet'!$E$9+1,1))</f>
        <v>352.5736659365665</v>
      </c>
      <c r="T141" s="62">
        <f t="shared" si="142"/>
        <v>343.77208530767069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1.5879016693782491</v>
      </c>
      <c r="AA141" s="23">
        <f>EXP(-LN(2)/25)*AA140+(1-EXP(-LN(2)/25))/(LN(2)/25)*Calculateur!V141*Calculateur!X141*VLOOKUP('Données projet'!$B$9,Paramètres!$A$1:$I$89,3,0)*0.475*44/12</f>
        <v>1.1875698254468274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2.7754714948250765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3.7243808037601412E-14</v>
      </c>
      <c r="AK141" s="14">
        <f t="shared" si="143"/>
        <v>6.2767589361185393E-13</v>
      </c>
      <c r="AL141" s="22">
        <f t="shared" si="112"/>
        <v>1.1580684803728015E-12</v>
      </c>
      <c r="AM141" s="62">
        <f t="shared" si="113"/>
        <v>293.33333333333445</v>
      </c>
      <c r="AN141" s="62">
        <f ca="1">AVERAGE(OFFSET($AM$3,0,0,'Données projet'!$E$10+1,1))-AVERAGE(OFFSET($H$3,0,0,'Données projet'!$E$10+1,1))</f>
        <v>210.08998695869161</v>
      </c>
      <c r="AO141" s="62">
        <f t="shared" si="144"/>
        <v>207.30911916430881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1.0253877026273161E-17</v>
      </c>
      <c r="AX141" s="23">
        <f t="shared" si="114"/>
        <v>1.0253877026273161E-17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335.83558218229564</v>
      </c>
      <c r="BJ141" s="62">
        <f t="shared" si="146"/>
        <v>217.08423061559648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1.1642440103999038E-15</v>
      </c>
      <c r="BS141" s="24">
        <f t="shared" si="117"/>
        <v>1.1642440103999038E-15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5.6843418860808015E-14</v>
      </c>
      <c r="BZ141" s="14">
        <f>BY141*VLOOKUP('Données projet'!$B$12,Paramètres!$A$1:$I$89,3,0)*VLOOKUP('Données projet'!$B$12,Paramètres!$A$1:$I$89,5,0)</f>
        <v>4.4337866711430253E-14</v>
      </c>
      <c r="CA141" s="14">
        <f t="shared" si="147"/>
        <v>7.3222115536967035E-13</v>
      </c>
      <c r="CB141" s="22">
        <f t="shared" si="118"/>
        <v>1.3525069634579169E-12</v>
      </c>
      <c r="CC141" s="62">
        <f t="shared" si="119"/>
        <v>293.33333333333468</v>
      </c>
      <c r="CD141" s="62">
        <f ca="1">AVERAGE(OFFSET($CC$3,0,0,'Données projet'!$E$12+1,1))-AVERAGE(OFFSET($H$3,0,0,'Données projet'!$E$12+1,1))</f>
        <v>288.82868507674738</v>
      </c>
      <c r="CE141" s="62">
        <f t="shared" si="148"/>
        <v>283.48738729114024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0.24391177622737167</v>
      </c>
      <c r="CM141" s="23">
        <f>EXP(-LN(2)/2)*CM140+(1-EXP(-LN(2)/2))/(LN(2)/2)*CG141*CJ141*VLOOKUP('Données projet'!$B$12,Paramètres!$A$1:$I$89,3,0)*0.475*44/12</f>
        <v>1.4320598594547052E-16</v>
      </c>
      <c r="CN141" s="24">
        <f t="shared" si="120"/>
        <v>0.24391177622737181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317.99999999999972</v>
      </c>
      <c r="CU141" s="18">
        <f>CT141*VLOOKUP('Données projet'!$B$13,Paramètres!$A$1:$I$89,3,0)*VLOOKUP('Données projet'!$B$13,Paramètres!$A$1:$I$89,5,0)</f>
        <v>277.80479999999983</v>
      </c>
      <c r="CV141" s="14">
        <f t="shared" si="149"/>
        <v>66.50288772038418</v>
      </c>
      <c r="CW141" s="22">
        <f t="shared" si="121"/>
        <v>599.66922277966887</v>
      </c>
      <c r="CX141" s="62">
        <f t="shared" si="122"/>
        <v>893.00255611300213</v>
      </c>
      <c r="CY141" s="62">
        <f ca="1">AVERAGE(OFFSET($CX$3,0,0,'Données projet'!$E$13+1,1))-AVERAGE(OFFSET($H$3,0,0,'Données projet'!$E$13+1,1))</f>
        <v>383.46266660377637</v>
      </c>
      <c r="CZ141" s="62">
        <f t="shared" si="150"/>
        <v>373.1287543230714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0.80386437221685458</v>
      </c>
      <c r="DH141" s="23">
        <f>EXP(-LN(2)/2)*DH140+(1-EXP(-LN(2)/2))/(LN(2)/2)*DB141*DE141*VLOOKUP('Données projet'!$B$13,Paramètres!$A$1:$I$89,3,0)*0.475*44/12</f>
        <v>1.1788591389998655E-15</v>
      </c>
      <c r="DI141" s="24">
        <f t="shared" si="123"/>
        <v>0.8038643722168558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>
        <f>DO141*VLOOKUP('Données projet'!$B$14,Paramètres!$A$1:$I$89,3,0)*VLOOKUP('Données projet'!$B$14,Paramètres!$A$1:$I$89,5,0)</f>
        <v>0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96.56611521638132</v>
      </c>
      <c r="DU141" s="62">
        <f t="shared" si="152"/>
        <v>465.03257878814094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9.7078805644792379</v>
      </c>
      <c r="EB141" s="23">
        <f>EXP(-LN(2)/25)*EB140+(1-EXP(-LN(2)/25))/(LN(2)/25)*Calculateur!DW141*Calculateur!DY141*VLOOKUP('Données projet'!$B$14,Paramètres!$A$1:$I$89,3,0)*0.475*44/12</f>
        <v>0.91966414000927998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10.627544704488518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317.99999999999972</v>
      </c>
      <c r="EK141" s="18">
        <f>EJ141*VLOOKUP('Données projet'!$B$15,Paramètres!$A$1:$I$89,3,0)*VLOOKUP('Données projet'!$B$15,Paramètres!$A$1:$I$89,5,0)</f>
        <v>257.96159999999981</v>
      </c>
      <c r="EL141" s="14">
        <f t="shared" si="153"/>
        <v>62.287674609742425</v>
      </c>
      <c r="EM141" s="22">
        <f t="shared" si="127"/>
        <v>557.76748661196768</v>
      </c>
      <c r="EN141" s="62">
        <f t="shared" si="128"/>
        <v>851.10081994530105</v>
      </c>
      <c r="EO141" s="62">
        <f ca="1">AVERAGE(OFFSET($EN$3,0,0,'Données projet'!$E$15+1,1))-AVERAGE(OFFSET($H$3,0,0,'Données projet'!$E$15+1,1))</f>
        <v>358.75637627589799</v>
      </c>
      <c r="EP141" s="62">
        <f t="shared" si="154"/>
        <v>349.64821164483607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1.1387036539731188</v>
      </c>
      <c r="EW141" s="23">
        <f>EXP(-LN(2)/25)*EW140+(1-EXP(-LN(2)/25))/(LN(2)/25)*Calculateur!ER141*Calculateur!ET141*VLOOKUP('Données projet'!$B$15,Paramètres!$A$1:$I$89,3,0)*0.475*44/12</f>
        <v>0.76792311013516534</v>
      </c>
      <c r="EX141" s="23">
        <f>EXP(-LN(2)/2)*EX140+(1-EXP(-LN(2)/2))/(LN(2)/2)*ER141*EU141*VLOOKUP('Données projet'!$B$15,Paramètres!$A$1:$I$89,3,0)*0.475*44/12</f>
        <v>2.0241476104270823E-16</v>
      </c>
      <c r="EY141" s="24">
        <f t="shared" si="129"/>
        <v>1.9066267641082844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>
        <f>FE141*VLOOKUP('Données projet'!$B$16,Paramètres!$A$1:$I$89,3,0)*VLOOKUP('Données projet'!$B$16,Paramètres!$A$1:$I$89,5,0)</f>
        <v>0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121.28977654040114</v>
      </c>
      <c r="FK141" s="62">
        <f t="shared" si="156"/>
        <v>615.69585264342595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13.079805466427203</v>
      </c>
      <c r="FR141" s="23">
        <f>EXP(-LN(2)/25)*FR140+(1-EXP(-LN(2)/25))/(LN(2)/25)*Calculateur!FM141*Calculateur!FO141*VLOOKUP('Données projet'!$B$16,Paramètres!$A$1:$I$89,3,0)*0.475*44/12</f>
        <v>1.2390993034858919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14.318904769913095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317.99999999999972</v>
      </c>
      <c r="O142" s="14">
        <f>N142*VLOOKUP('Données projet'!$B$9,Paramètres!$A$1:$I$89,3,0)*VLOOKUP('Données projet'!$B$9,Paramètres!$A$1:$I$89,5,0)</f>
        <v>253.0007999999998</v>
      </c>
      <c r="P142" s="14">
        <f t="shared" si="141"/>
        <v>61.228070105968683</v>
      </c>
      <c r="Q142" s="22">
        <f t="shared" si="108"/>
        <v>547.28194876789507</v>
      </c>
      <c r="R142" s="62">
        <f t="shared" si="109"/>
        <v>840.61528210122833</v>
      </c>
      <c r="S142" s="62">
        <f ca="1">AVERAGE(OFFSET($R$3,0,0,'Données projet'!$E$9+1,1))-AVERAGE(OFFSET($H$3,0,0,'Données projet'!$E$9+1,1))</f>
        <v>352.5736659365665</v>
      </c>
      <c r="T142" s="62">
        <f t="shared" si="142"/>
        <v>343.77208530767069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1.5567638861661262</v>
      </c>
      <c r="AA142" s="23">
        <f>EXP(-LN(2)/25)*AA141+(1-EXP(-LN(2)/25))/(LN(2)/25)*Calculateur!V142*Calculateur!X142*VLOOKUP('Données projet'!$B$9,Paramètres!$A$1:$I$89,3,0)*0.475*44/12</f>
        <v>1.1550956661184011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2.711859552284527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3.7243808037601412E-14</v>
      </c>
      <c r="AK142" s="14">
        <f t="shared" si="143"/>
        <v>6.2767589361185393E-13</v>
      </c>
      <c r="AL142" s="22">
        <f t="shared" si="112"/>
        <v>1.1580684803728015E-12</v>
      </c>
      <c r="AM142" s="62">
        <f t="shared" si="113"/>
        <v>293.33333333333445</v>
      </c>
      <c r="AN142" s="62">
        <f ca="1">AVERAGE(OFFSET($AM$3,0,0,'Données projet'!$E$10+1,1))-AVERAGE(OFFSET($H$3,0,0,'Données projet'!$E$10+1,1))</f>
        <v>210.08998695869161</v>
      </c>
      <c r="AO142" s="62">
        <f t="shared" si="144"/>
        <v>207.30911916430881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7.2505859787307027E-18</v>
      </c>
      <c r="AX142" s="23">
        <f t="shared" si="114"/>
        <v>7.2505859787307027E-18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335.83558218229564</v>
      </c>
      <c r="BJ142" s="62">
        <f t="shared" si="146"/>
        <v>217.08423061559648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8.2324483470959334E-16</v>
      </c>
      <c r="BS142" s="24">
        <f t="shared" si="117"/>
        <v>8.2324483470959334E-16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5.6843418860808015E-14</v>
      </c>
      <c r="BZ142" s="14">
        <f>BY142*VLOOKUP('Données projet'!$B$12,Paramètres!$A$1:$I$89,3,0)*VLOOKUP('Données projet'!$B$12,Paramètres!$A$1:$I$89,5,0)</f>
        <v>4.4337866711430253E-14</v>
      </c>
      <c r="CA142" s="14">
        <f t="shared" si="147"/>
        <v>7.3222115536967035E-13</v>
      </c>
      <c r="CB142" s="22">
        <f t="shared" si="118"/>
        <v>1.3525069634579169E-12</v>
      </c>
      <c r="CC142" s="62">
        <f t="shared" si="119"/>
        <v>293.33333333333468</v>
      </c>
      <c r="CD142" s="62">
        <f ca="1">AVERAGE(OFFSET($CC$3,0,0,'Données projet'!$E$12+1,1))-AVERAGE(OFFSET($H$3,0,0,'Données projet'!$E$12+1,1))</f>
        <v>288.82868507674738</v>
      </c>
      <c r="CE142" s="62">
        <f t="shared" si="148"/>
        <v>283.48738729114024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0.23724199587967135</v>
      </c>
      <c r="CM142" s="23">
        <f>EXP(-LN(2)/2)*CM141+(1-EXP(-LN(2)/2))/(LN(2)/2)*CG142*CJ142*VLOOKUP('Données projet'!$B$12,Paramètres!$A$1:$I$89,3,0)*0.475*44/12</f>
        <v>1.0126192376854763E-16</v>
      </c>
      <c r="CN142" s="24">
        <f t="shared" si="120"/>
        <v>0.23724199587967146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317.99999999999972</v>
      </c>
      <c r="CU142" s="18">
        <f>CT142*VLOOKUP('Données projet'!$B$13,Paramètres!$A$1:$I$89,3,0)*VLOOKUP('Données projet'!$B$13,Paramètres!$A$1:$I$89,5,0)</f>
        <v>277.80479999999983</v>
      </c>
      <c r="CV142" s="14">
        <f t="shared" si="149"/>
        <v>66.50288772038418</v>
      </c>
      <c r="CW142" s="22">
        <f t="shared" si="121"/>
        <v>599.66922277966887</v>
      </c>
      <c r="CX142" s="62">
        <f t="shared" si="122"/>
        <v>893.00255611300213</v>
      </c>
      <c r="CY142" s="62">
        <f ca="1">AVERAGE(OFFSET($CX$3,0,0,'Données projet'!$E$13+1,1))-AVERAGE(OFFSET($H$3,0,0,'Données projet'!$E$13+1,1))</f>
        <v>383.46266660377637</v>
      </c>
      <c r="CZ142" s="62">
        <f t="shared" si="150"/>
        <v>373.1287543230714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0.78188265868519458</v>
      </c>
      <c r="DH142" s="23">
        <f>EXP(-LN(2)/2)*DH141+(1-EXP(-LN(2)/2))/(LN(2)/2)*DB142*DE142*VLOOKUP('Données projet'!$B$13,Paramètres!$A$1:$I$89,3,0)*0.475*44/12</f>
        <v>8.3357929125053974E-16</v>
      </c>
      <c r="DI142" s="24">
        <f t="shared" si="123"/>
        <v>0.78188265868519546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>
        <f>DO142*VLOOKUP('Données projet'!$B$14,Paramètres!$A$1:$I$89,3,0)*VLOOKUP('Données projet'!$B$14,Paramètres!$A$1:$I$89,5,0)</f>
        <v>0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96.56611521638132</v>
      </c>
      <c r="DU142" s="62">
        <f t="shared" si="152"/>
        <v>465.03257878814094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9.5175149478322716</v>
      </c>
      <c r="EB142" s="23">
        <f>EXP(-LN(2)/25)*EB141+(1-EXP(-LN(2)/25))/(LN(2)/25)*Calculateur!DW142*Calculateur!DY142*VLOOKUP('Données projet'!$B$14,Paramètres!$A$1:$I$89,3,0)*0.475*44/12</f>
        <v>0.89451587573769098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10.412030823569962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317.99999999999972</v>
      </c>
      <c r="EK142" s="18">
        <f>EJ142*VLOOKUP('Données projet'!$B$15,Paramètres!$A$1:$I$89,3,0)*VLOOKUP('Données projet'!$B$15,Paramètres!$A$1:$I$89,5,0)</f>
        <v>257.96159999999981</v>
      </c>
      <c r="EL142" s="14">
        <f t="shared" si="153"/>
        <v>62.287674609742425</v>
      </c>
      <c r="EM142" s="22">
        <f t="shared" si="127"/>
        <v>557.76748661196768</v>
      </c>
      <c r="EN142" s="62">
        <f t="shared" si="128"/>
        <v>851.10081994530105</v>
      </c>
      <c r="EO142" s="62">
        <f ca="1">AVERAGE(OFFSET($EN$3,0,0,'Données projet'!$E$15+1,1))-AVERAGE(OFFSET($H$3,0,0,'Données projet'!$E$15+1,1))</f>
        <v>358.75637627589799</v>
      </c>
      <c r="EP142" s="62">
        <f t="shared" si="154"/>
        <v>349.64821164483607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1.1163743698593547</v>
      </c>
      <c r="EW142" s="23">
        <f>EXP(-LN(2)/25)*EW141+(1-EXP(-LN(2)/25))/(LN(2)/25)*Calculateur!ER142*Calculateur!ET142*VLOOKUP('Données projet'!$B$15,Paramètres!$A$1:$I$89,3,0)*0.475*44/12</f>
        <v>0.74692421230519801</v>
      </c>
      <c r="EX142" s="23">
        <f>EXP(-LN(2)/2)*EX141+(1-EXP(-LN(2)/2))/(LN(2)/2)*ER142*EU142*VLOOKUP('Données projet'!$B$15,Paramètres!$A$1:$I$89,3,0)*0.475*44/12</f>
        <v>1.4312885014555359E-16</v>
      </c>
      <c r="EY142" s="24">
        <f t="shared" si="129"/>
        <v>1.8632985821645529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>
        <f>FE142*VLOOKUP('Données projet'!$B$16,Paramètres!$A$1:$I$89,3,0)*VLOOKUP('Données projet'!$B$16,Paramètres!$A$1:$I$89,5,0)</f>
        <v>0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121.28977654040114</v>
      </c>
      <c r="FK142" s="62">
        <f t="shared" si="156"/>
        <v>615.69585264342595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12.823318459124149</v>
      </c>
      <c r="FR142" s="23">
        <f>EXP(-LN(2)/25)*FR141+(1-EXP(-LN(2)/25))/(LN(2)/25)*Calculateur!FM142*Calculateur!FO142*VLOOKUP('Données projet'!$B$16,Paramètres!$A$1:$I$89,3,0)*0.475*44/12</f>
        <v>1.2052160678706698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14.028534526994818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317.99999999999972</v>
      </c>
      <c r="O143" s="14">
        <f>N143*VLOOKUP('Données projet'!$B$9,Paramètres!$A$1:$I$89,3,0)*VLOOKUP('Données projet'!$B$9,Paramètres!$A$1:$I$89,5,0)</f>
        <v>253.0007999999998</v>
      </c>
      <c r="P143" s="14">
        <f t="shared" si="141"/>
        <v>61.228070105968683</v>
      </c>
      <c r="Q143" s="22">
        <f t="shared" si="108"/>
        <v>547.28194876789507</v>
      </c>
      <c r="R143" s="62">
        <f t="shared" si="109"/>
        <v>840.61528210122833</v>
      </c>
      <c r="S143" s="62">
        <f ca="1">AVERAGE(OFFSET($R$3,0,0,'Données projet'!$E$9+1,1))-AVERAGE(OFFSET($H$3,0,0,'Données projet'!$E$9+1,1))</f>
        <v>352.5736659365665</v>
      </c>
      <c r="T143" s="62">
        <f t="shared" si="142"/>
        <v>343.77208530767069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1.5262366958906204</v>
      </c>
      <c r="AA143" s="23">
        <f>EXP(-LN(2)/25)*AA142+(1-EXP(-LN(2)/25))/(LN(2)/25)*Calculateur!V143*Calculateur!X143*VLOOKUP('Données projet'!$B$9,Paramètres!$A$1:$I$89,3,0)*0.475*44/12</f>
        <v>1.1235095143845524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2.6497462102751728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3.7243808037601412E-14</v>
      </c>
      <c r="AK143" s="14">
        <f t="shared" si="143"/>
        <v>6.2767589361185393E-13</v>
      </c>
      <c r="AL143" s="22">
        <f t="shared" si="112"/>
        <v>1.1580684803728015E-12</v>
      </c>
      <c r="AM143" s="62">
        <f t="shared" si="113"/>
        <v>293.33333333333445</v>
      </c>
      <c r="AN143" s="62">
        <f ca="1">AVERAGE(OFFSET($AM$3,0,0,'Données projet'!$E$10+1,1))-AVERAGE(OFFSET($H$3,0,0,'Données projet'!$E$10+1,1))</f>
        <v>210.08998695869161</v>
      </c>
      <c r="AO143" s="62">
        <f t="shared" si="144"/>
        <v>207.30911916430881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5.1269385131365807E-18</v>
      </c>
      <c r="AX143" s="23">
        <f t="shared" si="114"/>
        <v>5.1269385131365807E-18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335.83558218229564</v>
      </c>
      <c r="BJ143" s="62">
        <f t="shared" si="146"/>
        <v>217.08423061559648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5.821220051999519E-16</v>
      </c>
      <c r="BS143" s="24">
        <f t="shared" si="117"/>
        <v>5.821220051999519E-16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5.6843418860808015E-14</v>
      </c>
      <c r="BZ143" s="14">
        <f>BY143*VLOOKUP('Données projet'!$B$12,Paramètres!$A$1:$I$89,3,0)*VLOOKUP('Données projet'!$B$12,Paramètres!$A$1:$I$89,5,0)</f>
        <v>4.4337866711430253E-14</v>
      </c>
      <c r="CA143" s="14">
        <f t="shared" si="147"/>
        <v>7.3222115536967035E-13</v>
      </c>
      <c r="CB143" s="22">
        <f t="shared" si="118"/>
        <v>1.3525069634579169E-12</v>
      </c>
      <c r="CC143" s="62">
        <f t="shared" si="119"/>
        <v>293.33333333333468</v>
      </c>
      <c r="CD143" s="62">
        <f ca="1">AVERAGE(OFFSET($CC$3,0,0,'Données projet'!$E$12+1,1))-AVERAGE(OFFSET($H$3,0,0,'Données projet'!$E$12+1,1))</f>
        <v>288.82868507674738</v>
      </c>
      <c r="CE143" s="62">
        <f t="shared" si="148"/>
        <v>283.48738729114024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0.23075460102632739</v>
      </c>
      <c r="CM143" s="23">
        <f>EXP(-LN(2)/2)*CM142+(1-EXP(-LN(2)/2))/(LN(2)/2)*CG143*CJ143*VLOOKUP('Données projet'!$B$12,Paramètres!$A$1:$I$89,3,0)*0.475*44/12</f>
        <v>7.1602992972735262E-17</v>
      </c>
      <c r="CN143" s="24">
        <f t="shared" si="120"/>
        <v>0.23075460102632747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317.99999999999972</v>
      </c>
      <c r="CU143" s="18">
        <f>CT143*VLOOKUP('Données projet'!$B$13,Paramètres!$A$1:$I$89,3,0)*VLOOKUP('Données projet'!$B$13,Paramètres!$A$1:$I$89,5,0)</f>
        <v>277.80479999999983</v>
      </c>
      <c r="CV143" s="14">
        <f t="shared" si="149"/>
        <v>66.50288772038418</v>
      </c>
      <c r="CW143" s="22">
        <f t="shared" si="121"/>
        <v>599.66922277966887</v>
      </c>
      <c r="CX143" s="62">
        <f t="shared" si="122"/>
        <v>893.00255611300213</v>
      </c>
      <c r="CY143" s="62">
        <f ca="1">AVERAGE(OFFSET($CX$3,0,0,'Données projet'!$E$13+1,1))-AVERAGE(OFFSET($H$3,0,0,'Données projet'!$E$13+1,1))</f>
        <v>383.46266660377637</v>
      </c>
      <c r="CZ143" s="62">
        <f t="shared" si="150"/>
        <v>373.1287543230714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0.76050203626602597</v>
      </c>
      <c r="DH143" s="23">
        <f>EXP(-LN(2)/2)*DH142+(1-EXP(-LN(2)/2))/(LN(2)/2)*DB143*DE143*VLOOKUP('Données projet'!$B$13,Paramètres!$A$1:$I$89,3,0)*0.475*44/12</f>
        <v>5.8942956949993276E-16</v>
      </c>
      <c r="DI143" s="24">
        <f t="shared" si="123"/>
        <v>0.76050203626602653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>
        <f>DO143*VLOOKUP('Données projet'!$B$14,Paramètres!$A$1:$I$89,3,0)*VLOOKUP('Données projet'!$B$14,Paramètres!$A$1:$I$89,5,0)</f>
        <v>0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96.56611521638132</v>
      </c>
      <c r="DU143" s="62">
        <f t="shared" si="152"/>
        <v>465.03257878814094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9.330882284816191</v>
      </c>
      <c r="EB143" s="23">
        <f>EXP(-LN(2)/25)*EB142+(1-EXP(-LN(2)/25))/(LN(2)/25)*Calculateur!DW143*Calculateur!DY143*VLOOKUP('Données projet'!$B$14,Paramètres!$A$1:$I$89,3,0)*0.475*44/12</f>
        <v>0.87005529207509835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10.20093757689129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317.99999999999972</v>
      </c>
      <c r="EK143" s="18">
        <f>EJ143*VLOOKUP('Données projet'!$B$15,Paramètres!$A$1:$I$89,3,0)*VLOOKUP('Données projet'!$B$15,Paramètres!$A$1:$I$89,5,0)</f>
        <v>257.96159999999981</v>
      </c>
      <c r="EL143" s="14">
        <f t="shared" si="153"/>
        <v>62.287674609742425</v>
      </c>
      <c r="EM143" s="22">
        <f t="shared" si="127"/>
        <v>557.76748661196768</v>
      </c>
      <c r="EN143" s="62">
        <f t="shared" si="128"/>
        <v>851.10081994530105</v>
      </c>
      <c r="EO143" s="62">
        <f ca="1">AVERAGE(OFFSET($EN$3,0,0,'Données projet'!$E$15+1,1))-AVERAGE(OFFSET($H$3,0,0,'Données projet'!$E$15+1,1))</f>
        <v>358.75637627589799</v>
      </c>
      <c r="EP143" s="62">
        <f t="shared" si="154"/>
        <v>349.64821164483607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1.094482949387543</v>
      </c>
      <c r="EW143" s="23">
        <f>EXP(-LN(2)/25)*EW142+(1-EXP(-LN(2)/25))/(LN(2)/25)*Calculateur!ER143*Calculateur!ET143*VLOOKUP('Données projet'!$B$15,Paramètres!$A$1:$I$89,3,0)*0.475*44/12</f>
        <v>0.72649953044067517</v>
      </c>
      <c r="EX143" s="23">
        <f>EXP(-LN(2)/2)*EX142+(1-EXP(-LN(2)/2))/(LN(2)/2)*ER143*EU143*VLOOKUP('Données projet'!$B$15,Paramètres!$A$1:$I$89,3,0)*0.475*44/12</f>
        <v>1.0120738052135412E-16</v>
      </c>
      <c r="EY143" s="24">
        <f t="shared" si="129"/>
        <v>1.8209824798282181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>
        <f>FE143*VLOOKUP('Données projet'!$B$16,Paramètres!$A$1:$I$89,3,0)*VLOOKUP('Données projet'!$B$16,Paramètres!$A$1:$I$89,5,0)</f>
        <v>0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121.28977654040114</v>
      </c>
      <c r="FK143" s="62">
        <f t="shared" si="156"/>
        <v>615.69585264342595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12.57186100559268</v>
      </c>
      <c r="FR143" s="23">
        <f>EXP(-LN(2)/25)*FR142+(1-EXP(-LN(2)/25))/(LN(2)/25)*Calculateur!FM143*Calculateur!FO143*VLOOKUP('Données projet'!$B$16,Paramètres!$A$1:$I$89,3,0)*0.475*44/12</f>
        <v>1.1722593711151879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13.744120376707869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317.99999999999972</v>
      </c>
      <c r="O144" s="14">
        <f>N144*VLOOKUP('Données projet'!$B$9,Paramètres!$A$1:$I$89,3,0)*VLOOKUP('Données projet'!$B$9,Paramètres!$A$1:$I$89,5,0)</f>
        <v>253.0007999999998</v>
      </c>
      <c r="P144" s="14">
        <f t="shared" si="141"/>
        <v>61.228070105968683</v>
      </c>
      <c r="Q144" s="22">
        <f t="shared" si="108"/>
        <v>547.28194876789507</v>
      </c>
      <c r="R144" s="62">
        <f t="shared" si="109"/>
        <v>840.61528210122833</v>
      </c>
      <c r="S144" s="62">
        <f ca="1">AVERAGE(OFFSET($R$3,0,0,'Données projet'!$E$9+1,1))-AVERAGE(OFFSET($H$3,0,0,'Données projet'!$E$9+1,1))</f>
        <v>352.5736659365665</v>
      </c>
      <c r="T144" s="62">
        <f t="shared" si="142"/>
        <v>343.77208530767069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1.4963081251966699</v>
      </c>
      <c r="AA144" s="23">
        <f>EXP(-LN(2)/25)*AA143+(1-EXP(-LN(2)/25))/(LN(2)/25)*Calculateur!V144*Calculateur!X144*VLOOKUP('Données projet'!$B$9,Paramètres!$A$1:$I$89,3,0)*0.475*44/12</f>
        <v>1.0927870876309091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2.589095212827579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3.7243808037601412E-14</v>
      </c>
      <c r="AK144" s="14">
        <f t="shared" si="143"/>
        <v>6.2767589361185393E-13</v>
      </c>
      <c r="AL144" s="22">
        <f t="shared" si="112"/>
        <v>1.1580684803728015E-12</v>
      </c>
      <c r="AM144" s="62">
        <f t="shared" si="113"/>
        <v>293.33333333333445</v>
      </c>
      <c r="AN144" s="62">
        <f ca="1">AVERAGE(OFFSET($AM$3,0,0,'Données projet'!$E$10+1,1))-AVERAGE(OFFSET($H$3,0,0,'Données projet'!$E$10+1,1))</f>
        <v>210.08998695869161</v>
      </c>
      <c r="AO144" s="62">
        <f t="shared" si="144"/>
        <v>207.30911916430881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3.6252929893653513E-18</v>
      </c>
      <c r="AX144" s="23">
        <f t="shared" si="114"/>
        <v>3.6252929893653513E-18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335.83558218229564</v>
      </c>
      <c r="BJ144" s="62">
        <f t="shared" si="146"/>
        <v>217.08423061559648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4.1162241735479667E-16</v>
      </c>
      <c r="BS144" s="24">
        <f t="shared" si="117"/>
        <v>4.1162241735479667E-16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5.6843418860808015E-14</v>
      </c>
      <c r="BZ144" s="14">
        <f>BY144*VLOOKUP('Données projet'!$B$12,Paramètres!$A$1:$I$89,3,0)*VLOOKUP('Données projet'!$B$12,Paramètres!$A$1:$I$89,5,0)</f>
        <v>4.4337866711430253E-14</v>
      </c>
      <c r="CA144" s="14">
        <f t="shared" si="147"/>
        <v>7.3222115536967035E-13</v>
      </c>
      <c r="CB144" s="22">
        <f t="shared" si="118"/>
        <v>1.3525069634579169E-12</v>
      </c>
      <c r="CC144" s="62">
        <f t="shared" si="119"/>
        <v>293.33333333333468</v>
      </c>
      <c r="CD144" s="62">
        <f ca="1">AVERAGE(OFFSET($CC$3,0,0,'Données projet'!$E$12+1,1))-AVERAGE(OFFSET($H$3,0,0,'Données projet'!$E$12+1,1))</f>
        <v>288.82868507674738</v>
      </c>
      <c r="CE144" s="62">
        <f t="shared" si="148"/>
        <v>283.48738729114024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0.22444460432640539</v>
      </c>
      <c r="CM144" s="23">
        <f>EXP(-LN(2)/2)*CM143+(1-EXP(-LN(2)/2))/(LN(2)/2)*CG144*CJ144*VLOOKUP('Données projet'!$B$12,Paramètres!$A$1:$I$89,3,0)*0.475*44/12</f>
        <v>5.0630961884273814E-17</v>
      </c>
      <c r="CN144" s="24">
        <f t="shared" si="120"/>
        <v>0.22444460432640545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317.99999999999972</v>
      </c>
      <c r="CU144" s="18">
        <f>CT144*VLOOKUP('Données projet'!$B$13,Paramètres!$A$1:$I$89,3,0)*VLOOKUP('Données projet'!$B$13,Paramètres!$A$1:$I$89,5,0)</f>
        <v>277.80479999999983</v>
      </c>
      <c r="CV144" s="14">
        <f t="shared" si="149"/>
        <v>66.50288772038418</v>
      </c>
      <c r="CW144" s="22">
        <f t="shared" si="121"/>
        <v>599.66922277966887</v>
      </c>
      <c r="CX144" s="62">
        <f t="shared" si="122"/>
        <v>893.00255611300213</v>
      </c>
      <c r="CY144" s="62">
        <f ca="1">AVERAGE(OFFSET($CX$3,0,0,'Données projet'!$E$13+1,1))-AVERAGE(OFFSET($H$3,0,0,'Données projet'!$E$13+1,1))</f>
        <v>383.46266660377637</v>
      </c>
      <c r="CZ144" s="62">
        <f t="shared" si="150"/>
        <v>373.1287543230714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0.7397060680912676</v>
      </c>
      <c r="DH144" s="23">
        <f>EXP(-LN(2)/2)*DH143+(1-EXP(-LN(2)/2))/(LN(2)/2)*DB144*DE144*VLOOKUP('Données projet'!$B$13,Paramètres!$A$1:$I$89,3,0)*0.475*44/12</f>
        <v>4.1678964562526987E-16</v>
      </c>
      <c r="DI144" s="24">
        <f t="shared" si="123"/>
        <v>0.73970606809126804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>
        <f>DO144*VLOOKUP('Données projet'!$B$14,Paramètres!$A$1:$I$89,3,0)*VLOOKUP('Données projet'!$B$14,Paramètres!$A$1:$I$89,5,0)</f>
        <v>0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96.56611521638132</v>
      </c>
      <c r="DU144" s="62">
        <f t="shared" si="152"/>
        <v>465.03257878814094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9.1479093744871722</v>
      </c>
      <c r="EB144" s="23">
        <f>EXP(-LN(2)/25)*EB143+(1-EXP(-LN(2)/25))/(LN(2)/25)*Calculateur!DW144*Calculateur!DY144*VLOOKUP('Données projet'!$B$14,Paramètres!$A$1:$I$89,3,0)*0.475*44/12</f>
        <v>0.84626358435908555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9.9941729588462582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317.99999999999972</v>
      </c>
      <c r="EK144" s="18">
        <f>EJ144*VLOOKUP('Données projet'!$B$15,Paramètres!$A$1:$I$89,3,0)*VLOOKUP('Données projet'!$B$15,Paramètres!$A$1:$I$89,5,0)</f>
        <v>257.96159999999981</v>
      </c>
      <c r="EL144" s="14">
        <f t="shared" si="153"/>
        <v>62.287674609742425</v>
      </c>
      <c r="EM144" s="22">
        <f t="shared" si="127"/>
        <v>557.76748661196768</v>
      </c>
      <c r="EN144" s="62">
        <f t="shared" si="128"/>
        <v>851.10081994530105</v>
      </c>
      <c r="EO144" s="62">
        <f ca="1">AVERAGE(OFFSET($EN$3,0,0,'Données projet'!$E$15+1,1))-AVERAGE(OFFSET($H$3,0,0,'Données projet'!$E$15+1,1))</f>
        <v>358.75637627589799</v>
      </c>
      <c r="EP144" s="62">
        <f t="shared" si="154"/>
        <v>349.64821164483607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1.0730208063187354</v>
      </c>
      <c r="EW144" s="23">
        <f>EXP(-LN(2)/25)*EW143+(1-EXP(-LN(2)/25))/(LN(2)/25)*Calculateur!ER144*Calculateur!ET144*VLOOKUP('Données projet'!$B$15,Paramètres!$A$1:$I$89,3,0)*0.475*44/12</f>
        <v>0.70663336257582499</v>
      </c>
      <c r="EX144" s="23">
        <f>EXP(-LN(2)/2)*EX143+(1-EXP(-LN(2)/2))/(LN(2)/2)*ER144*EU144*VLOOKUP('Données projet'!$B$15,Paramètres!$A$1:$I$89,3,0)*0.475*44/12</f>
        <v>7.1564425072776797E-17</v>
      </c>
      <c r="EY144" s="24">
        <f t="shared" si="129"/>
        <v>1.7796541688945604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>
        <f>FE144*VLOOKUP('Données projet'!$B$16,Paramètres!$A$1:$I$89,3,0)*VLOOKUP('Données projet'!$B$16,Paramètres!$A$1:$I$89,5,0)</f>
        <v>0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121.28977654040114</v>
      </c>
      <c r="FK144" s="62">
        <f t="shared" si="156"/>
        <v>615.69585264342595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12.325334479351062</v>
      </c>
      <c r="FR144" s="23">
        <f>EXP(-LN(2)/25)*FR143+(1-EXP(-LN(2)/25))/(LN(2)/25)*Calculateur!FM144*Calculateur!FO144*VLOOKUP('Données projet'!$B$16,Paramètres!$A$1:$I$89,3,0)*0.475*44/12</f>
        <v>1.140203876965602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13.465538356316664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317.99999999999972</v>
      </c>
      <c r="O145" s="14">
        <f>N145*VLOOKUP('Données projet'!$B$9,Paramètres!$A$1:$I$89,3,0)*VLOOKUP('Données projet'!$B$9,Paramètres!$A$1:$I$89,5,0)</f>
        <v>253.0007999999998</v>
      </c>
      <c r="P145" s="14">
        <f t="shared" si="141"/>
        <v>61.228070105968683</v>
      </c>
      <c r="Q145" s="22">
        <f t="shared" si="108"/>
        <v>547.28194876789507</v>
      </c>
      <c r="R145" s="62">
        <f t="shared" si="109"/>
        <v>840.61528210122833</v>
      </c>
      <c r="S145" s="62">
        <f ca="1">AVERAGE(OFFSET($R$3,0,0,'Données projet'!$E$9+1,1))-AVERAGE(OFFSET($H$3,0,0,'Données projet'!$E$9+1,1))</f>
        <v>352.5736659365665</v>
      </c>
      <c r="T145" s="62">
        <f t="shared" si="142"/>
        <v>343.77208530767069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1.4669664355194021</v>
      </c>
      <c r="AA145" s="23">
        <f>EXP(-LN(2)/25)*AA144+(1-EXP(-LN(2)/25))/(LN(2)/25)*Calculateur!V145*Calculateur!X145*VLOOKUP('Données projet'!$B$9,Paramètres!$A$1:$I$89,3,0)*0.475*44/12</f>
        <v>1.0629047672524665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2.5298712027718686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3.7243808037601412E-14</v>
      </c>
      <c r="AK145" s="14">
        <f t="shared" si="143"/>
        <v>6.2767589361185393E-13</v>
      </c>
      <c r="AL145" s="22">
        <f t="shared" si="112"/>
        <v>1.1580684803728015E-12</v>
      </c>
      <c r="AM145" s="62">
        <f t="shared" si="113"/>
        <v>293.33333333333445</v>
      </c>
      <c r="AN145" s="62">
        <f ca="1">AVERAGE(OFFSET($AM$3,0,0,'Données projet'!$E$10+1,1))-AVERAGE(OFFSET($H$3,0,0,'Données projet'!$E$10+1,1))</f>
        <v>210.08998695869161</v>
      </c>
      <c r="AO145" s="62">
        <f t="shared" si="144"/>
        <v>207.30911916430881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2.5634692565682903E-18</v>
      </c>
      <c r="AX145" s="23">
        <f t="shared" si="114"/>
        <v>2.5634692565682903E-18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335.83558218229564</v>
      </c>
      <c r="BJ145" s="62">
        <f t="shared" si="146"/>
        <v>217.08423061559648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2.9106100259997595E-16</v>
      </c>
      <c r="BS145" s="24">
        <f t="shared" si="117"/>
        <v>2.9106100259997595E-16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5.6843418860808015E-14</v>
      </c>
      <c r="BZ145" s="14">
        <f>BY145*VLOOKUP('Données projet'!$B$12,Paramètres!$A$1:$I$89,3,0)*VLOOKUP('Données projet'!$B$12,Paramètres!$A$1:$I$89,5,0)</f>
        <v>4.4337866711430253E-14</v>
      </c>
      <c r="CA145" s="14">
        <f t="shared" si="147"/>
        <v>7.3222115536967035E-13</v>
      </c>
      <c r="CB145" s="22">
        <f t="shared" si="118"/>
        <v>1.3525069634579169E-12</v>
      </c>
      <c r="CC145" s="62">
        <f t="shared" si="119"/>
        <v>293.33333333333468</v>
      </c>
      <c r="CD145" s="62">
        <f ca="1">AVERAGE(OFFSET($CC$3,0,0,'Données projet'!$E$12+1,1))-AVERAGE(OFFSET($H$3,0,0,'Données projet'!$E$12+1,1))</f>
        <v>288.82868507674738</v>
      </c>
      <c r="CE145" s="62">
        <f t="shared" si="148"/>
        <v>283.48738729114024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0.21830715481807109</v>
      </c>
      <c r="CM145" s="23">
        <f>EXP(-LN(2)/2)*CM144+(1-EXP(-LN(2)/2))/(LN(2)/2)*CG145*CJ145*VLOOKUP('Données projet'!$B$12,Paramètres!$A$1:$I$89,3,0)*0.475*44/12</f>
        <v>3.5801496486367631E-17</v>
      </c>
      <c r="CN145" s="24">
        <f t="shared" si="120"/>
        <v>0.21830715481807111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317.99999999999972</v>
      </c>
      <c r="CU145" s="18">
        <f>CT145*VLOOKUP('Données projet'!$B$13,Paramètres!$A$1:$I$89,3,0)*VLOOKUP('Données projet'!$B$13,Paramètres!$A$1:$I$89,5,0)</f>
        <v>277.80479999999983</v>
      </c>
      <c r="CV145" s="14">
        <f t="shared" si="149"/>
        <v>66.50288772038418</v>
      </c>
      <c r="CW145" s="22">
        <f t="shared" si="121"/>
        <v>599.66922277966887</v>
      </c>
      <c r="CX145" s="62">
        <f t="shared" si="122"/>
        <v>893.00255611300213</v>
      </c>
      <c r="CY145" s="62">
        <f ca="1">AVERAGE(OFFSET($CX$3,0,0,'Données projet'!$E$13+1,1))-AVERAGE(OFFSET($H$3,0,0,'Données projet'!$E$13+1,1))</f>
        <v>383.46266660377637</v>
      </c>
      <c r="CZ145" s="62">
        <f t="shared" si="150"/>
        <v>373.1287543230714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0.71947876675986033</v>
      </c>
      <c r="DH145" s="23">
        <f>EXP(-LN(2)/2)*DH144+(1-EXP(-LN(2)/2))/(LN(2)/2)*DB145*DE145*VLOOKUP('Données projet'!$B$13,Paramètres!$A$1:$I$89,3,0)*0.475*44/12</f>
        <v>2.9471478474996638E-16</v>
      </c>
      <c r="DI145" s="24">
        <f t="shared" si="123"/>
        <v>0.71947876675986067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>
        <f>DO145*VLOOKUP('Données projet'!$B$14,Paramètres!$A$1:$I$89,3,0)*VLOOKUP('Données projet'!$B$14,Paramètres!$A$1:$I$89,5,0)</f>
        <v>0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96.56611521638132</v>
      </c>
      <c r="DU145" s="62">
        <f t="shared" si="152"/>
        <v>465.03257878814094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8.9685244513272497</v>
      </c>
      <c r="EB145" s="23">
        <f>EXP(-LN(2)/25)*EB144+(1-EXP(-LN(2)/25))/(LN(2)/25)*Calculateur!DW145*Calculateur!DY145*VLOOKUP('Données projet'!$B$14,Paramètres!$A$1:$I$89,3,0)*0.475*44/12</f>
        <v>0.82312246214171858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9.7916469134689681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317.99999999999972</v>
      </c>
      <c r="EK145" s="18">
        <f>EJ145*VLOOKUP('Données projet'!$B$15,Paramètres!$A$1:$I$89,3,0)*VLOOKUP('Données projet'!$B$15,Paramètres!$A$1:$I$89,5,0)</f>
        <v>257.96159999999981</v>
      </c>
      <c r="EL145" s="14">
        <f t="shared" si="153"/>
        <v>62.287674609742425</v>
      </c>
      <c r="EM145" s="22">
        <f t="shared" si="127"/>
        <v>557.76748661196768</v>
      </c>
      <c r="EN145" s="62">
        <f t="shared" si="128"/>
        <v>851.10081994530105</v>
      </c>
      <c r="EO145" s="62">
        <f ca="1">AVERAGE(OFFSET($EN$3,0,0,'Données projet'!$E$15+1,1))-AVERAGE(OFFSET($H$3,0,0,'Données projet'!$E$15+1,1))</f>
        <v>358.75637627589799</v>
      </c>
      <c r="EP145" s="62">
        <f t="shared" si="154"/>
        <v>349.64821164483607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1.0519795227848925</v>
      </c>
      <c r="EW145" s="23">
        <f>EXP(-LN(2)/25)*EW144+(1-EXP(-LN(2)/25))/(LN(2)/25)*Calculateur!ER145*Calculateur!ET145*VLOOKUP('Données projet'!$B$15,Paramètres!$A$1:$I$89,3,0)*0.475*44/12</f>
        <v>0.68731043611595555</v>
      </c>
      <c r="EX145" s="23">
        <f>EXP(-LN(2)/2)*EX144+(1-EXP(-LN(2)/2))/(LN(2)/2)*ER145*EU145*VLOOKUP('Données projet'!$B$15,Paramètres!$A$1:$I$89,3,0)*0.475*44/12</f>
        <v>5.0603690260677059E-17</v>
      </c>
      <c r="EY145" s="24">
        <f t="shared" si="129"/>
        <v>1.7392899589008479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>
        <f>FE145*VLOOKUP('Données projet'!$B$16,Paramètres!$A$1:$I$89,3,0)*VLOOKUP('Données projet'!$B$16,Paramètres!$A$1:$I$89,5,0)</f>
        <v>0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121.28977654040114</v>
      </c>
      <c r="FK145" s="62">
        <f t="shared" si="156"/>
        <v>615.69585264342595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12.083642187922708</v>
      </c>
      <c r="FR145" s="23">
        <f>EXP(-LN(2)/25)*FR144+(1-EXP(-LN(2)/25))/(LN(2)/25)*Calculateur!FM145*Calculateur!FO145*VLOOKUP('Données projet'!$B$16,Paramètres!$A$1:$I$89,3,0)*0.475*44/12</f>
        <v>1.1090249419892617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13.192667129911969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317.99999999999972</v>
      </c>
      <c r="O146" s="14">
        <f>N146*VLOOKUP('Données projet'!$B$9,Paramètres!$A$1:$I$89,3,0)*VLOOKUP('Données projet'!$B$9,Paramètres!$A$1:$I$89,5,0)</f>
        <v>253.0007999999998</v>
      </c>
      <c r="P146" s="14">
        <f t="shared" si="141"/>
        <v>61.228070105968683</v>
      </c>
      <c r="Q146" s="22">
        <f t="shared" si="108"/>
        <v>547.28194876789507</v>
      </c>
      <c r="R146" s="62">
        <f t="shared" si="109"/>
        <v>840.61528210122833</v>
      </c>
      <c r="S146" s="62">
        <f ca="1">AVERAGE(OFFSET($R$3,0,0,'Données projet'!$E$9+1,1))-AVERAGE(OFFSET($H$3,0,0,'Données projet'!$E$9+1,1))</f>
        <v>352.5736659365665</v>
      </c>
      <c r="T146" s="62">
        <f t="shared" si="142"/>
        <v>343.77208530767069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1.4382001184800419</v>
      </c>
      <c r="AA146" s="23">
        <f>EXP(-LN(2)/25)*AA145+(1-EXP(-LN(2)/25))/(LN(2)/25)*Calculateur!V146*Calculateur!X146*VLOOKUP('Données projet'!$B$9,Paramètres!$A$1:$I$89,3,0)*0.475*44/12</f>
        <v>1.0338395804962155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2.4720396989762574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3.7243808037601412E-14</v>
      </c>
      <c r="AK146" s="14">
        <f t="shared" si="143"/>
        <v>6.2767589361185393E-13</v>
      </c>
      <c r="AL146" s="22">
        <f t="shared" si="112"/>
        <v>1.1580684803728015E-12</v>
      </c>
      <c r="AM146" s="62">
        <f t="shared" si="113"/>
        <v>293.33333333333445</v>
      </c>
      <c r="AN146" s="62">
        <f ca="1">AVERAGE(OFFSET($AM$3,0,0,'Données projet'!$E$10+1,1))-AVERAGE(OFFSET($H$3,0,0,'Données projet'!$E$10+1,1))</f>
        <v>210.08998695869161</v>
      </c>
      <c r="AO146" s="62">
        <f t="shared" si="144"/>
        <v>207.30911916430881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1.8126464946826757E-18</v>
      </c>
      <c r="AX146" s="23">
        <f t="shared" si="114"/>
        <v>1.8126464946826757E-18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335.83558218229564</v>
      </c>
      <c r="BJ146" s="62">
        <f t="shared" si="146"/>
        <v>217.08423061559648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2.0581120867739834E-16</v>
      </c>
      <c r="BS146" s="24">
        <f t="shared" si="117"/>
        <v>2.0581120867739834E-16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5.6843418860808015E-14</v>
      </c>
      <c r="BZ146" s="14">
        <f>BY146*VLOOKUP('Données projet'!$B$12,Paramètres!$A$1:$I$89,3,0)*VLOOKUP('Données projet'!$B$12,Paramètres!$A$1:$I$89,5,0)</f>
        <v>4.4337866711430253E-14</v>
      </c>
      <c r="CA146" s="14">
        <f t="shared" si="147"/>
        <v>7.3222115536967035E-13</v>
      </c>
      <c r="CB146" s="22">
        <f t="shared" si="118"/>
        <v>1.3525069634579169E-12</v>
      </c>
      <c r="CC146" s="62">
        <f t="shared" si="119"/>
        <v>293.33333333333468</v>
      </c>
      <c r="CD146" s="62">
        <f ca="1">AVERAGE(OFFSET($CC$3,0,0,'Données projet'!$E$12+1,1))-AVERAGE(OFFSET($H$3,0,0,'Données projet'!$E$12+1,1))</f>
        <v>288.82868507674738</v>
      </c>
      <c r="CE146" s="62">
        <f t="shared" si="148"/>
        <v>283.48738729114024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0.2123375341892966</v>
      </c>
      <c r="CM146" s="23">
        <f>EXP(-LN(2)/2)*CM145+(1-EXP(-LN(2)/2))/(LN(2)/2)*CG146*CJ146*VLOOKUP('Données projet'!$B$12,Paramètres!$A$1:$I$89,3,0)*0.475*44/12</f>
        <v>2.5315480942136907E-17</v>
      </c>
      <c r="CN146" s="24">
        <f t="shared" si="120"/>
        <v>0.21233753418929663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317.99999999999972</v>
      </c>
      <c r="CU146" s="18">
        <f>CT146*VLOOKUP('Données projet'!$B$13,Paramètres!$A$1:$I$89,3,0)*VLOOKUP('Données projet'!$B$13,Paramètres!$A$1:$I$89,5,0)</f>
        <v>277.80479999999983</v>
      </c>
      <c r="CV146" s="14">
        <f t="shared" si="149"/>
        <v>66.50288772038418</v>
      </c>
      <c r="CW146" s="22">
        <f t="shared" si="121"/>
        <v>599.66922277966887</v>
      </c>
      <c r="CX146" s="62">
        <f t="shared" si="122"/>
        <v>893.00255611300213</v>
      </c>
      <c r="CY146" s="62">
        <f ca="1">AVERAGE(OFFSET($CX$3,0,0,'Données projet'!$E$13+1,1))-AVERAGE(OFFSET($H$3,0,0,'Données projet'!$E$13+1,1))</f>
        <v>383.46266660377637</v>
      </c>
      <c r="CZ146" s="62">
        <f t="shared" si="150"/>
        <v>373.1287543230714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0.69980458204706797</v>
      </c>
      <c r="DH146" s="23">
        <f>EXP(-LN(2)/2)*DH145+(1-EXP(-LN(2)/2))/(LN(2)/2)*DB146*DE146*VLOOKUP('Données projet'!$B$13,Paramètres!$A$1:$I$89,3,0)*0.475*44/12</f>
        <v>2.0839482281263493E-16</v>
      </c>
      <c r="DI146" s="24">
        <f t="shared" si="123"/>
        <v>0.69980458204706819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>
        <f>DO146*VLOOKUP('Données projet'!$B$14,Paramètres!$A$1:$I$89,3,0)*VLOOKUP('Données projet'!$B$14,Paramètres!$A$1:$I$89,5,0)</f>
        <v>0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96.56611521638132</v>
      </c>
      <c r="DU146" s="62">
        <f t="shared" si="152"/>
        <v>465.03257878814094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8.7926571570964942</v>
      </c>
      <c r="EB146" s="23">
        <f>EXP(-LN(2)/25)*EB145+(1-EXP(-LN(2)/25))/(LN(2)/25)*Calculateur!DW146*Calculateur!DY146*VLOOKUP('Données projet'!$B$14,Paramètres!$A$1:$I$89,3,0)*0.475*44/12</f>
        <v>0.80061413512832424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9.5932712922248182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317.99999999999972</v>
      </c>
      <c r="EK146" s="18">
        <f>EJ146*VLOOKUP('Données projet'!$B$15,Paramètres!$A$1:$I$89,3,0)*VLOOKUP('Données projet'!$B$15,Paramètres!$A$1:$I$89,5,0)</f>
        <v>257.96159999999981</v>
      </c>
      <c r="EL146" s="14">
        <f t="shared" si="153"/>
        <v>62.287674609742425</v>
      </c>
      <c r="EM146" s="22">
        <f t="shared" si="127"/>
        <v>557.76748661196768</v>
      </c>
      <c r="EN146" s="62">
        <f t="shared" si="128"/>
        <v>851.10081994530105</v>
      </c>
      <c r="EO146" s="62">
        <f ca="1">AVERAGE(OFFSET($EN$3,0,0,'Données projet'!$E$15+1,1))-AVERAGE(OFFSET($H$3,0,0,'Données projet'!$E$15+1,1))</f>
        <v>358.75637627589799</v>
      </c>
      <c r="EP146" s="62">
        <f t="shared" si="154"/>
        <v>349.64821164483607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1.0313508459872325</v>
      </c>
      <c r="EW146" s="23">
        <f>EXP(-LN(2)/25)*EW145+(1-EXP(-LN(2)/25))/(LN(2)/25)*Calculateur!ER146*Calculateur!ET146*VLOOKUP('Données projet'!$B$15,Paramètres!$A$1:$I$89,3,0)*0.475*44/12</f>
        <v>0.66851589609627982</v>
      </c>
      <c r="EX146" s="23">
        <f>EXP(-LN(2)/2)*EX145+(1-EXP(-LN(2)/2))/(LN(2)/2)*ER146*EU146*VLOOKUP('Données projet'!$B$15,Paramètres!$A$1:$I$89,3,0)*0.475*44/12</f>
        <v>3.5782212536388398E-17</v>
      </c>
      <c r="EY146" s="24">
        <f t="shared" si="129"/>
        <v>1.6998667420835123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>
        <f>FE146*VLOOKUP('Données projet'!$B$16,Paramètres!$A$1:$I$89,3,0)*VLOOKUP('Données projet'!$B$16,Paramètres!$A$1:$I$89,5,0)</f>
        <v>0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121.28977654040114</v>
      </c>
      <c r="FK146" s="62">
        <f t="shared" si="156"/>
        <v>615.69585264342595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11.846689334911522</v>
      </c>
      <c r="FR146" s="23">
        <f>EXP(-LN(2)/25)*FR145+(1-EXP(-LN(2)/25))/(LN(2)/25)*Calculateur!FM146*Calculateur!FO146*VLOOKUP('Données projet'!$B$16,Paramètres!$A$1:$I$89,3,0)*0.475*44/12</f>
        <v>1.0786985966294784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12.925387931541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317.99999999999972</v>
      </c>
      <c r="O147" s="14">
        <f>N147*VLOOKUP('Données projet'!$B$9,Paramètres!$A$1:$I$89,3,0)*VLOOKUP('Données projet'!$B$9,Paramètres!$A$1:$I$89,5,0)</f>
        <v>253.0007999999998</v>
      </c>
      <c r="P147" s="14">
        <f t="shared" si="141"/>
        <v>61.228070105968683</v>
      </c>
      <c r="Q147" s="22">
        <f t="shared" si="108"/>
        <v>547.28194876789507</v>
      </c>
      <c r="R147" s="62">
        <f t="shared" si="109"/>
        <v>840.61528210122833</v>
      </c>
      <c r="S147" s="62">
        <f ca="1">AVERAGE(OFFSET($R$3,0,0,'Données projet'!$E$9+1,1))-AVERAGE(OFFSET($H$3,0,0,'Données projet'!$E$9+1,1))</f>
        <v>352.5736659365665</v>
      </c>
      <c r="T147" s="62">
        <f t="shared" si="142"/>
        <v>343.77208530767069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1.4099978913721027</v>
      </c>
      <c r="AA147" s="23">
        <f>EXP(-LN(2)/25)*AA146+(1-EXP(-LN(2)/25))/(LN(2)/25)*Calculateur!V147*Calculateur!X147*VLOOKUP('Données projet'!$B$9,Paramètres!$A$1:$I$89,3,0)*0.475*44/12</f>
        <v>1.0055691828002857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2.4155670741723885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3.7243808037601412E-14</v>
      </c>
      <c r="AK147" s="14">
        <f t="shared" si="143"/>
        <v>6.2767589361185393E-13</v>
      </c>
      <c r="AL147" s="22">
        <f t="shared" si="112"/>
        <v>1.1580684803728015E-12</v>
      </c>
      <c r="AM147" s="62">
        <f t="shared" si="113"/>
        <v>293.33333333333445</v>
      </c>
      <c r="AN147" s="62">
        <f ca="1">AVERAGE(OFFSET($AM$3,0,0,'Données projet'!$E$10+1,1))-AVERAGE(OFFSET($H$3,0,0,'Données projet'!$E$10+1,1))</f>
        <v>210.08998695869161</v>
      </c>
      <c r="AO147" s="62">
        <f t="shared" si="144"/>
        <v>207.30911916430881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1.2817346282841452E-18</v>
      </c>
      <c r="AX147" s="23">
        <f t="shared" si="114"/>
        <v>1.2817346282841452E-18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335.83558218229564</v>
      </c>
      <c r="BJ147" s="62">
        <f t="shared" si="146"/>
        <v>217.08423061559648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1.4553050129998797E-16</v>
      </c>
      <c r="BS147" s="24">
        <f t="shared" si="117"/>
        <v>1.4553050129998797E-16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5.6843418860808015E-14</v>
      </c>
      <c r="BZ147" s="14">
        <f>BY147*VLOOKUP('Données projet'!$B$12,Paramètres!$A$1:$I$89,3,0)*VLOOKUP('Données projet'!$B$12,Paramètres!$A$1:$I$89,5,0)</f>
        <v>4.4337866711430253E-14</v>
      </c>
      <c r="CA147" s="14">
        <f t="shared" si="147"/>
        <v>7.3222115536967035E-13</v>
      </c>
      <c r="CB147" s="22">
        <f t="shared" si="118"/>
        <v>1.3525069634579169E-12</v>
      </c>
      <c r="CC147" s="62">
        <f t="shared" si="119"/>
        <v>293.33333333333468</v>
      </c>
      <c r="CD147" s="62">
        <f ca="1">AVERAGE(OFFSET($CC$3,0,0,'Données projet'!$E$12+1,1))-AVERAGE(OFFSET($H$3,0,0,'Données projet'!$E$12+1,1))</f>
        <v>288.82868507674738</v>
      </c>
      <c r="CE147" s="62">
        <f t="shared" si="148"/>
        <v>283.48738729114024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0.20653115315054466</v>
      </c>
      <c r="CM147" s="23">
        <f>EXP(-LN(2)/2)*CM146+(1-EXP(-LN(2)/2))/(LN(2)/2)*CG147*CJ147*VLOOKUP('Données projet'!$B$12,Paramètres!$A$1:$I$89,3,0)*0.475*44/12</f>
        <v>1.7900748243183816E-17</v>
      </c>
      <c r="CN147" s="24">
        <f t="shared" si="120"/>
        <v>0.20653115315054468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317.99999999999972</v>
      </c>
      <c r="CU147" s="18">
        <f>CT147*VLOOKUP('Données projet'!$B$13,Paramètres!$A$1:$I$89,3,0)*VLOOKUP('Données projet'!$B$13,Paramètres!$A$1:$I$89,5,0)</f>
        <v>277.80479999999983</v>
      </c>
      <c r="CV147" s="14">
        <f t="shared" si="149"/>
        <v>66.50288772038418</v>
      </c>
      <c r="CW147" s="22">
        <f t="shared" si="121"/>
        <v>599.66922277966887</v>
      </c>
      <c r="CX147" s="62">
        <f t="shared" si="122"/>
        <v>893.00255611300213</v>
      </c>
      <c r="CY147" s="62">
        <f ca="1">AVERAGE(OFFSET($CX$3,0,0,'Données projet'!$E$13+1,1))-AVERAGE(OFFSET($H$3,0,0,'Données projet'!$E$13+1,1))</f>
        <v>383.46266660377637</v>
      </c>
      <c r="CZ147" s="62">
        <f t="shared" si="150"/>
        <v>373.1287543230714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0.68066838894986736</v>
      </c>
      <c r="DH147" s="23">
        <f>EXP(-LN(2)/2)*DH146+(1-EXP(-LN(2)/2))/(LN(2)/2)*DB147*DE147*VLOOKUP('Données projet'!$B$13,Paramètres!$A$1:$I$89,3,0)*0.475*44/12</f>
        <v>1.4735739237498319E-16</v>
      </c>
      <c r="DI147" s="24">
        <f t="shared" si="123"/>
        <v>0.68066838894986748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>
        <f>DO147*VLOOKUP('Données projet'!$B$14,Paramètres!$A$1:$I$89,3,0)*VLOOKUP('Données projet'!$B$14,Paramètres!$A$1:$I$89,5,0)</f>
        <v>0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96.56611521638132</v>
      </c>
      <c r="DU147" s="62">
        <f t="shared" si="152"/>
        <v>465.03257878814094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8.6202385132371457</v>
      </c>
      <c r="EB147" s="23">
        <f>EXP(-LN(2)/25)*EB146+(1-EXP(-LN(2)/25))/(LN(2)/25)*Calculateur!DW147*Calculateur!DY147*VLOOKUP('Données projet'!$B$14,Paramètres!$A$1:$I$89,3,0)*0.475*44/12</f>
        <v>0.77872129950077273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9.3989598127379193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317.99999999999972</v>
      </c>
      <c r="EK147" s="18">
        <f>EJ147*VLOOKUP('Données projet'!$B$15,Paramètres!$A$1:$I$89,3,0)*VLOOKUP('Données projet'!$B$15,Paramètres!$A$1:$I$89,5,0)</f>
        <v>257.96159999999981</v>
      </c>
      <c r="EL147" s="14">
        <f t="shared" si="153"/>
        <v>62.287674609742425</v>
      </c>
      <c r="EM147" s="22">
        <f t="shared" si="127"/>
        <v>557.76748661196768</v>
      </c>
      <c r="EN147" s="62">
        <f t="shared" si="128"/>
        <v>851.10081994530105</v>
      </c>
      <c r="EO147" s="62">
        <f ca="1">AVERAGE(OFFSET($EN$3,0,0,'Données projet'!$E$15+1,1))-AVERAGE(OFFSET($H$3,0,0,'Données projet'!$E$15+1,1))</f>
        <v>358.75637627589799</v>
      </c>
      <c r="EP147" s="62">
        <f t="shared" si="154"/>
        <v>349.64821164483607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1.0111266849593241</v>
      </c>
      <c r="EW147" s="23">
        <f>EXP(-LN(2)/25)*EW146+(1-EXP(-LN(2)/25))/(LN(2)/25)*Calculateur!ER147*Calculateur!ET147*VLOOKUP('Données projet'!$B$15,Paramètres!$A$1:$I$89,3,0)*0.475*44/12</f>
        <v>0.650235293761804</v>
      </c>
      <c r="EX147" s="23">
        <f>EXP(-LN(2)/2)*EX146+(1-EXP(-LN(2)/2))/(LN(2)/2)*ER147*EU147*VLOOKUP('Données projet'!$B$15,Paramètres!$A$1:$I$89,3,0)*0.475*44/12</f>
        <v>2.5301845130338529E-17</v>
      </c>
      <c r="EY147" s="24">
        <f t="shared" si="129"/>
        <v>1.661361978721128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>
        <f>FE147*VLOOKUP('Données projet'!$B$16,Paramètres!$A$1:$I$89,3,0)*VLOOKUP('Données projet'!$B$16,Paramètres!$A$1:$I$89,5,0)</f>
        <v>0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121.28977654040114</v>
      </c>
      <c r="FK147" s="62">
        <f t="shared" si="156"/>
        <v>615.69585264342595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11.614382982820917</v>
      </c>
      <c r="FR147" s="23">
        <f>EXP(-LN(2)/25)*FR146+(1-EXP(-LN(2)/25))/(LN(2)/25)*Calculateur!FM147*Calculateur!FO147*VLOOKUP('Données projet'!$B$16,Paramètres!$A$1:$I$89,3,0)*0.475*44/12</f>
        <v>1.0492015267783514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12.663584509599268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317.99999999999972</v>
      </c>
      <c r="O148" s="14">
        <f>N148*VLOOKUP('Données projet'!$B$9,Paramètres!$A$1:$I$89,3,0)*VLOOKUP('Données projet'!$B$9,Paramètres!$A$1:$I$89,5,0)</f>
        <v>253.0007999999998</v>
      </c>
      <c r="P148" s="14">
        <f t="shared" si="141"/>
        <v>61.228070105968683</v>
      </c>
      <c r="Q148" s="22">
        <f t="shared" si="108"/>
        <v>547.28194876789507</v>
      </c>
      <c r="R148" s="62">
        <f t="shared" si="109"/>
        <v>840.61528210122833</v>
      </c>
      <c r="S148" s="62">
        <f ca="1">AVERAGE(OFFSET($R$3,0,0,'Données projet'!$E$9+1,1))-AVERAGE(OFFSET($H$3,0,0,'Données projet'!$E$9+1,1))</f>
        <v>352.5736659365665</v>
      </c>
      <c r="T148" s="62">
        <f t="shared" si="142"/>
        <v>343.77208530767069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1.3823486927360902</v>
      </c>
      <c r="AA148" s="23">
        <f>EXP(-LN(2)/25)*AA147+(1-EXP(-LN(2)/25))/(LN(2)/25)*Calculateur!V148*Calculateur!X148*VLOOKUP('Données projet'!$B$9,Paramètres!$A$1:$I$89,3,0)*0.475*44/12</f>
        <v>0.97807184061602681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2.3604205333521171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3.7243808037601412E-14</v>
      </c>
      <c r="AK148" s="14">
        <f t="shared" si="143"/>
        <v>6.2767589361185393E-13</v>
      </c>
      <c r="AL148" s="22">
        <f t="shared" si="112"/>
        <v>1.1580684803728015E-12</v>
      </c>
      <c r="AM148" s="62">
        <f t="shared" si="113"/>
        <v>293.33333333333445</v>
      </c>
      <c r="AN148" s="62">
        <f ca="1">AVERAGE(OFFSET($AM$3,0,0,'Données projet'!$E$10+1,1))-AVERAGE(OFFSET($H$3,0,0,'Données projet'!$E$10+1,1))</f>
        <v>210.08998695869161</v>
      </c>
      <c r="AO148" s="62">
        <f t="shared" si="144"/>
        <v>207.30911916430881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9.0632324734133783E-19</v>
      </c>
      <c r="AX148" s="23">
        <f t="shared" si="114"/>
        <v>9.0632324734133783E-19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335.83558218229564</v>
      </c>
      <c r="BJ148" s="62">
        <f t="shared" si="146"/>
        <v>217.08423061559648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1.0290560433869917E-16</v>
      </c>
      <c r="BS148" s="24">
        <f t="shared" si="117"/>
        <v>1.0290560433869917E-16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5.6843418860808015E-14</v>
      </c>
      <c r="BZ148" s="14">
        <f>BY148*VLOOKUP('Données projet'!$B$12,Paramètres!$A$1:$I$89,3,0)*VLOOKUP('Données projet'!$B$12,Paramètres!$A$1:$I$89,5,0)</f>
        <v>4.4337866711430253E-14</v>
      </c>
      <c r="CA148" s="14">
        <f t="shared" si="147"/>
        <v>7.3222115536967035E-13</v>
      </c>
      <c r="CB148" s="22">
        <f t="shared" si="118"/>
        <v>1.3525069634579169E-12</v>
      </c>
      <c r="CC148" s="62">
        <f t="shared" si="119"/>
        <v>293.33333333333468</v>
      </c>
      <c r="CD148" s="62">
        <f ca="1">AVERAGE(OFFSET($CC$3,0,0,'Données projet'!$E$12+1,1))-AVERAGE(OFFSET($H$3,0,0,'Données projet'!$E$12+1,1))</f>
        <v>288.82868507674738</v>
      </c>
      <c r="CE148" s="62">
        <f t="shared" si="148"/>
        <v>283.48738729114024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0.2008835479066417</v>
      </c>
      <c r="CM148" s="23">
        <f>EXP(-LN(2)/2)*CM147+(1-EXP(-LN(2)/2))/(LN(2)/2)*CG148*CJ148*VLOOKUP('Données projet'!$B$12,Paramètres!$A$1:$I$89,3,0)*0.475*44/12</f>
        <v>1.2657740471068453E-17</v>
      </c>
      <c r="CN148" s="24">
        <f t="shared" si="120"/>
        <v>0.2008835479066417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317.99999999999972</v>
      </c>
      <c r="CU148" s="18">
        <f>CT148*VLOOKUP('Données projet'!$B$13,Paramètres!$A$1:$I$89,3,0)*VLOOKUP('Données projet'!$B$13,Paramètres!$A$1:$I$89,5,0)</f>
        <v>277.80479999999983</v>
      </c>
      <c r="CV148" s="14">
        <f t="shared" si="149"/>
        <v>66.50288772038418</v>
      </c>
      <c r="CW148" s="22">
        <f t="shared" si="121"/>
        <v>599.66922277966887</v>
      </c>
      <c r="CX148" s="62">
        <f t="shared" si="122"/>
        <v>893.00255611300213</v>
      </c>
      <c r="CY148" s="62">
        <f ca="1">AVERAGE(OFFSET($CX$3,0,0,'Données projet'!$E$13+1,1))-AVERAGE(OFFSET($H$3,0,0,'Données projet'!$E$13+1,1))</f>
        <v>383.46266660377637</v>
      </c>
      <c r="CZ148" s="62">
        <f t="shared" si="150"/>
        <v>373.1287543230714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0.66205547605923831</v>
      </c>
      <c r="DH148" s="23">
        <f>EXP(-LN(2)/2)*DH147+(1-EXP(-LN(2)/2))/(LN(2)/2)*DB148*DE148*VLOOKUP('Données projet'!$B$13,Paramètres!$A$1:$I$89,3,0)*0.475*44/12</f>
        <v>1.0419741140631747E-16</v>
      </c>
      <c r="DI148" s="24">
        <f t="shared" si="123"/>
        <v>0.66205547605923842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>
        <f>DO148*VLOOKUP('Données projet'!$B$14,Paramètres!$A$1:$I$89,3,0)*VLOOKUP('Données projet'!$B$14,Paramètres!$A$1:$I$89,5,0)</f>
        <v>0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96.56611521638132</v>
      </c>
      <c r="DU148" s="62">
        <f t="shared" si="152"/>
        <v>465.03257878814094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8.4512008938188909</v>
      </c>
      <c r="EB148" s="23">
        <f>EXP(-LN(2)/25)*EB147+(1-EXP(-LN(2)/25))/(LN(2)/25)*Calculateur!DW148*Calculateur!DY148*VLOOKUP('Données projet'!$B$14,Paramètres!$A$1:$I$89,3,0)*0.475*44/12</f>
        <v>0.7574271246147507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9.2086280184336413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317.99999999999972</v>
      </c>
      <c r="EK148" s="18">
        <f>EJ148*VLOOKUP('Données projet'!$B$15,Paramètres!$A$1:$I$89,3,0)*VLOOKUP('Données projet'!$B$15,Paramètres!$A$1:$I$89,5,0)</f>
        <v>257.96159999999981</v>
      </c>
      <c r="EL148" s="14">
        <f t="shared" si="153"/>
        <v>62.287674609742425</v>
      </c>
      <c r="EM148" s="22">
        <f t="shared" si="127"/>
        <v>557.76748661196768</v>
      </c>
      <c r="EN148" s="62">
        <f t="shared" si="128"/>
        <v>851.10081994530105</v>
      </c>
      <c r="EO148" s="62">
        <f ca="1">AVERAGE(OFFSET($EN$3,0,0,'Données projet'!$E$15+1,1))-AVERAGE(OFFSET($H$3,0,0,'Données projet'!$E$15+1,1))</f>
        <v>358.75637627589799</v>
      </c>
      <c r="EP148" s="62">
        <f t="shared" si="154"/>
        <v>349.64821164483607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0.9912991073936529</v>
      </c>
      <c r="EW148" s="23">
        <f>EXP(-LN(2)/25)*EW147+(1-EXP(-LN(2)/25))/(LN(2)/25)*Calculateur!ER148*Calculateur!ET148*VLOOKUP('Données projet'!$B$15,Paramètres!$A$1:$I$89,3,0)*0.475*44/12</f>
        <v>0.63245457545949946</v>
      </c>
      <c r="EX148" s="23">
        <f>EXP(-LN(2)/2)*EX147+(1-EXP(-LN(2)/2))/(LN(2)/2)*ER148*EU148*VLOOKUP('Données projet'!$B$15,Paramètres!$A$1:$I$89,3,0)*0.475*44/12</f>
        <v>1.7891106268194199E-17</v>
      </c>
      <c r="EY148" s="24">
        <f t="shared" si="129"/>
        <v>1.6237536828531525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>
        <f>FE148*VLOOKUP('Données projet'!$B$16,Paramètres!$A$1:$I$89,3,0)*VLOOKUP('Données projet'!$B$16,Paramètres!$A$1:$I$89,5,0)</f>
        <v>0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121.28977654040114</v>
      </c>
      <c r="FK148" s="62">
        <f t="shared" si="156"/>
        <v>615.69585264342595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11.386632016601924</v>
      </c>
      <c r="FR148" s="23">
        <f>EXP(-LN(2)/25)*FR147+(1-EXP(-LN(2)/25))/(LN(2)/25)*Calculateur!FM148*Calculateur!FO148*VLOOKUP('Données projet'!$B$16,Paramètres!$A$1:$I$89,3,0)*0.475*44/12</f>
        <v>1.0205110558534871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12.407143072455412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317.99999999999972</v>
      </c>
      <c r="O149" s="14">
        <f>N149*VLOOKUP('Données projet'!$B$9,Paramètres!$A$1:$I$89,3,0)*VLOOKUP('Données projet'!$B$9,Paramètres!$A$1:$I$89,5,0)</f>
        <v>253.0007999999998</v>
      </c>
      <c r="P149" s="14">
        <f t="shared" si="141"/>
        <v>61.228070105968683</v>
      </c>
      <c r="Q149" s="22">
        <f t="shared" si="108"/>
        <v>547.28194876789507</v>
      </c>
      <c r="R149" s="62">
        <f t="shared" si="109"/>
        <v>840.61528210122833</v>
      </c>
      <c r="S149" s="62">
        <f ca="1">AVERAGE(OFFSET($R$3,0,0,'Données projet'!$E$9+1,1))-AVERAGE(OFFSET($H$3,0,0,'Données projet'!$E$9+1,1))</f>
        <v>352.5736659365665</v>
      </c>
      <c r="T149" s="62">
        <f t="shared" si="142"/>
        <v>343.77208530767069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1.3552416780209839</v>
      </c>
      <c r="AA149" s="23">
        <f>EXP(-LN(2)/25)*AA148+(1-EXP(-LN(2)/25))/(LN(2)/25)*Calculateur!V149*Calculateur!X149*VLOOKUP('Données projet'!$B$9,Paramètres!$A$1:$I$89,3,0)*0.475*44/12</f>
        <v>0.95132641469981882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2.306568092720803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3.7243808037601412E-14</v>
      </c>
      <c r="AK149" s="14">
        <f t="shared" si="143"/>
        <v>6.2767589361185393E-13</v>
      </c>
      <c r="AL149" s="22">
        <f t="shared" si="112"/>
        <v>1.1580684803728015E-12</v>
      </c>
      <c r="AM149" s="62">
        <f t="shared" si="113"/>
        <v>293.33333333333445</v>
      </c>
      <c r="AN149" s="62">
        <f ca="1">AVERAGE(OFFSET($AM$3,0,0,'Données projet'!$E$10+1,1))-AVERAGE(OFFSET($H$3,0,0,'Données projet'!$E$10+1,1))</f>
        <v>210.08998695869161</v>
      </c>
      <c r="AO149" s="62">
        <f t="shared" si="144"/>
        <v>207.30911916430881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6.4086731414207259E-19</v>
      </c>
      <c r="AX149" s="23">
        <f t="shared" si="114"/>
        <v>6.4086731414207259E-19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335.83558218229564</v>
      </c>
      <c r="BJ149" s="62">
        <f t="shared" si="146"/>
        <v>217.08423061559648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7.2765250649993987E-17</v>
      </c>
      <c r="BS149" s="24">
        <f t="shared" si="117"/>
        <v>7.2765250649993987E-17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5.6843418860808015E-14</v>
      </c>
      <c r="BZ149" s="14">
        <f>BY149*VLOOKUP('Données projet'!$B$12,Paramètres!$A$1:$I$89,3,0)*VLOOKUP('Données projet'!$B$12,Paramètres!$A$1:$I$89,5,0)</f>
        <v>4.4337866711430253E-14</v>
      </c>
      <c r="CA149" s="14">
        <f t="shared" si="147"/>
        <v>7.3222115536967035E-13</v>
      </c>
      <c r="CB149" s="22">
        <f t="shared" si="118"/>
        <v>1.3525069634579169E-12</v>
      </c>
      <c r="CC149" s="62">
        <f t="shared" si="119"/>
        <v>293.33333333333468</v>
      </c>
      <c r="CD149" s="62">
        <f ca="1">AVERAGE(OFFSET($CC$3,0,0,'Données projet'!$E$12+1,1))-AVERAGE(OFFSET($H$3,0,0,'Données projet'!$E$12+1,1))</f>
        <v>288.82868507674738</v>
      </c>
      <c r="CE149" s="62">
        <f t="shared" si="148"/>
        <v>283.48738729114024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0.19539037672512793</v>
      </c>
      <c r="CM149" s="23">
        <f>EXP(-LN(2)/2)*CM148+(1-EXP(-LN(2)/2))/(LN(2)/2)*CG149*CJ149*VLOOKUP('Données projet'!$B$12,Paramètres!$A$1:$I$89,3,0)*0.475*44/12</f>
        <v>8.9503741215919078E-18</v>
      </c>
      <c r="CN149" s="24">
        <f t="shared" si="120"/>
        <v>0.19539037672512793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317.99999999999972</v>
      </c>
      <c r="CU149" s="18">
        <f>CT149*VLOOKUP('Données projet'!$B$13,Paramètres!$A$1:$I$89,3,0)*VLOOKUP('Données projet'!$B$13,Paramètres!$A$1:$I$89,5,0)</f>
        <v>277.80479999999983</v>
      </c>
      <c r="CV149" s="14">
        <f t="shared" si="149"/>
        <v>66.50288772038418</v>
      </c>
      <c r="CW149" s="22">
        <f t="shared" si="121"/>
        <v>599.66922277966887</v>
      </c>
      <c r="CX149" s="62">
        <f t="shared" si="122"/>
        <v>893.00255611300213</v>
      </c>
      <c r="CY149" s="62">
        <f ca="1">AVERAGE(OFFSET($CX$3,0,0,'Données projet'!$E$13+1,1))-AVERAGE(OFFSET($H$3,0,0,'Données projet'!$E$13+1,1))</f>
        <v>383.46266660377637</v>
      </c>
      <c r="CZ149" s="62">
        <f t="shared" si="150"/>
        <v>373.1287543230714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0.64395153425041407</v>
      </c>
      <c r="DH149" s="23">
        <f>EXP(-LN(2)/2)*DH148+(1-EXP(-LN(2)/2))/(LN(2)/2)*DB149*DE149*VLOOKUP('Données projet'!$B$13,Paramètres!$A$1:$I$89,3,0)*0.475*44/12</f>
        <v>7.3678696187491595E-17</v>
      </c>
      <c r="DI149" s="24">
        <f t="shared" si="123"/>
        <v>0.64395153425041418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>
        <f>DO149*VLOOKUP('Données projet'!$B$14,Paramètres!$A$1:$I$89,3,0)*VLOOKUP('Données projet'!$B$14,Paramètres!$A$1:$I$89,5,0)</f>
        <v>0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96.56611521638132</v>
      </c>
      <c r="DU149" s="62">
        <f t="shared" si="152"/>
        <v>465.03257878814094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8.2854779990146614</v>
      </c>
      <c r="EB149" s="23">
        <f>EXP(-LN(2)/25)*EB148+(1-EXP(-LN(2)/25))/(LN(2)/25)*Calculateur!DW149*Calculateur!DY149*VLOOKUP('Données projet'!$B$14,Paramètres!$A$1:$I$89,3,0)*0.475*44/12</f>
        <v>0.73671524006079903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9.0221932390754596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317.99999999999972</v>
      </c>
      <c r="EK149" s="18">
        <f>EJ149*VLOOKUP('Données projet'!$B$15,Paramètres!$A$1:$I$89,3,0)*VLOOKUP('Données projet'!$B$15,Paramètres!$A$1:$I$89,5,0)</f>
        <v>257.96159999999981</v>
      </c>
      <c r="EL149" s="14">
        <f t="shared" si="153"/>
        <v>62.287674609742425</v>
      </c>
      <c r="EM149" s="22">
        <f t="shared" si="127"/>
        <v>557.76748661196768</v>
      </c>
      <c r="EN149" s="62">
        <f t="shared" si="128"/>
        <v>851.10081994530105</v>
      </c>
      <c r="EO149" s="62">
        <f ca="1">AVERAGE(OFFSET($EN$3,0,0,'Données projet'!$E$15+1,1))-AVERAGE(OFFSET($H$3,0,0,'Données projet'!$E$15+1,1))</f>
        <v>358.75637627589799</v>
      </c>
      <c r="EP149" s="62">
        <f t="shared" si="154"/>
        <v>349.64821164483607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0.97186033653041637</v>
      </c>
      <c r="EW149" s="23">
        <f>EXP(-LN(2)/25)*EW148+(1-EXP(-LN(2)/25))/(LN(2)/25)*Calculateur!ER149*Calculateur!ET149*VLOOKUP('Données projet'!$B$15,Paramètres!$A$1:$I$89,3,0)*0.475*44/12</f>
        <v>0.61516007183421884</v>
      </c>
      <c r="EX149" s="23">
        <f>EXP(-LN(2)/2)*EX148+(1-EXP(-LN(2)/2))/(LN(2)/2)*ER149*EU149*VLOOKUP('Données projet'!$B$15,Paramètres!$A$1:$I$89,3,0)*0.475*44/12</f>
        <v>1.2650922565169265E-17</v>
      </c>
      <c r="EY149" s="24">
        <f t="shared" si="129"/>
        <v>1.5870204083646353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>
        <f>FE149*VLOOKUP('Données projet'!$B$16,Paramètres!$A$1:$I$89,3,0)*VLOOKUP('Données projet'!$B$16,Paramètres!$A$1:$I$89,5,0)</f>
        <v>0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121.28977654040114</v>
      </c>
      <c r="FK149" s="62">
        <f t="shared" si="156"/>
        <v>615.69585264342595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11.163347107916113</v>
      </c>
      <c r="FR149" s="23">
        <f>EXP(-LN(2)/25)*FR148+(1-EXP(-LN(2)/25))/(LN(2)/25)*Calculateur!FM149*Calculateur!FO149*VLOOKUP('Données projet'!$B$16,Paramètres!$A$1:$I$89,3,0)*0.475*44/12</f>
        <v>0.99260512736482953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12.155952235280942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317.99999999999972</v>
      </c>
      <c r="O150" s="14">
        <f>N150*VLOOKUP('Données projet'!$B$9,Paramètres!$A$1:$I$89,3,0)*VLOOKUP('Données projet'!$B$9,Paramètres!$A$1:$I$89,5,0)</f>
        <v>253.0007999999998</v>
      </c>
      <c r="P150" s="14">
        <f t="shared" si="141"/>
        <v>61.228070105968683</v>
      </c>
      <c r="Q150" s="22">
        <f t="shared" si="108"/>
        <v>547.28194876789507</v>
      </c>
      <c r="R150" s="62">
        <f t="shared" si="109"/>
        <v>840.61528210122833</v>
      </c>
      <c r="S150" s="62">
        <f ca="1">AVERAGE(OFFSET($R$3,0,0,'Données projet'!$E$9+1,1))-AVERAGE(OFFSET($H$3,0,0,'Données projet'!$E$9+1,1))</f>
        <v>352.5736659365665</v>
      </c>
      <c r="T150" s="62">
        <f t="shared" si="142"/>
        <v>343.77208530767069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1.3286662153307944</v>
      </c>
      <c r="AA150" s="23">
        <f>EXP(-LN(2)/25)*AA149+(1-EXP(-LN(2)/25))/(LN(2)/25)*Calculateur!V150*Calculateur!X150*VLOOKUP('Données projet'!$B$9,Paramètres!$A$1:$I$89,3,0)*0.475*44/12</f>
        <v>0.92531234386177041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2.2539785591925647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3.7243808037601412E-14</v>
      </c>
      <c r="AK150" s="14">
        <f t="shared" si="143"/>
        <v>6.2767589361185393E-13</v>
      </c>
      <c r="AL150" s="22">
        <f t="shared" si="112"/>
        <v>1.1580684803728015E-12</v>
      </c>
      <c r="AM150" s="62">
        <f t="shared" si="113"/>
        <v>293.33333333333445</v>
      </c>
      <c r="AN150" s="62">
        <f ca="1">AVERAGE(OFFSET($AM$3,0,0,'Données projet'!$E$10+1,1))-AVERAGE(OFFSET($H$3,0,0,'Données projet'!$E$10+1,1))</f>
        <v>210.08998695869161</v>
      </c>
      <c r="AO150" s="62">
        <f t="shared" si="144"/>
        <v>207.30911916430881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4.5316162367066892E-19</v>
      </c>
      <c r="AX150" s="23">
        <f t="shared" si="114"/>
        <v>4.5316162367066892E-19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335.83558218229564</v>
      </c>
      <c r="BJ150" s="62">
        <f t="shared" si="146"/>
        <v>217.08423061559648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5.1452802169349584E-17</v>
      </c>
      <c r="BS150" s="24">
        <f t="shared" si="117"/>
        <v>5.1452802169349584E-17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5.6843418860808015E-14</v>
      </c>
      <c r="BZ150" s="14">
        <f>BY150*VLOOKUP('Données projet'!$B$12,Paramètres!$A$1:$I$89,3,0)*VLOOKUP('Données projet'!$B$12,Paramètres!$A$1:$I$89,5,0)</f>
        <v>4.4337866711430253E-14</v>
      </c>
      <c r="CA150" s="14">
        <f t="shared" si="147"/>
        <v>7.3222115536967035E-13</v>
      </c>
      <c r="CB150" s="22">
        <f t="shared" si="118"/>
        <v>1.3525069634579169E-12</v>
      </c>
      <c r="CC150" s="62">
        <f t="shared" si="119"/>
        <v>293.33333333333468</v>
      </c>
      <c r="CD150" s="62">
        <f ca="1">AVERAGE(OFFSET($CC$3,0,0,'Données projet'!$E$12+1,1))-AVERAGE(OFFSET($H$3,0,0,'Données projet'!$E$12+1,1))</f>
        <v>288.82868507674738</v>
      </c>
      <c r="CE150" s="62">
        <f t="shared" si="148"/>
        <v>283.48738729114024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0.19004741659844596</v>
      </c>
      <c r="CM150" s="23">
        <f>EXP(-LN(2)/2)*CM149+(1-EXP(-LN(2)/2))/(LN(2)/2)*CG150*CJ150*VLOOKUP('Données projet'!$B$12,Paramètres!$A$1:$I$89,3,0)*0.475*44/12</f>
        <v>6.3288702355342267E-18</v>
      </c>
      <c r="CN150" s="24">
        <f t="shared" si="120"/>
        <v>0.19004741659844596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317.99999999999972</v>
      </c>
      <c r="CU150" s="18">
        <f>CT150*VLOOKUP('Données projet'!$B$13,Paramètres!$A$1:$I$89,3,0)*VLOOKUP('Données projet'!$B$13,Paramètres!$A$1:$I$89,5,0)</f>
        <v>277.80479999999983</v>
      </c>
      <c r="CV150" s="14">
        <f t="shared" si="149"/>
        <v>66.50288772038418</v>
      </c>
      <c r="CW150" s="22">
        <f t="shared" si="121"/>
        <v>599.66922277966887</v>
      </c>
      <c r="CX150" s="62">
        <f t="shared" si="122"/>
        <v>893.00255611300213</v>
      </c>
      <c r="CY150" s="62">
        <f ca="1">AVERAGE(OFFSET($CX$3,0,0,'Données projet'!$E$13+1,1))-AVERAGE(OFFSET($H$3,0,0,'Données projet'!$E$13+1,1))</f>
        <v>383.46266660377637</v>
      </c>
      <c r="CZ150" s="62">
        <f t="shared" si="150"/>
        <v>373.1287543230714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0.62634264568239706</v>
      </c>
      <c r="DH150" s="23">
        <f>EXP(-LN(2)/2)*DH149+(1-EXP(-LN(2)/2))/(LN(2)/2)*DB150*DE150*VLOOKUP('Données projet'!$B$13,Paramètres!$A$1:$I$89,3,0)*0.475*44/12</f>
        <v>5.2098705703158734E-17</v>
      </c>
      <c r="DI150" s="24">
        <f t="shared" si="123"/>
        <v>0.62634264568239706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>
        <f>DO150*VLOOKUP('Données projet'!$B$14,Paramètres!$A$1:$I$89,3,0)*VLOOKUP('Données projet'!$B$14,Paramètres!$A$1:$I$89,5,0)</f>
        <v>0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96.56611521638132</v>
      </c>
      <c r="DU150" s="62">
        <f t="shared" si="152"/>
        <v>465.03257878814094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8.1230048290965584</v>
      </c>
      <c r="EB150" s="23">
        <f>EXP(-LN(2)/25)*EB149+(1-EXP(-LN(2)/25))/(LN(2)/25)*Calculateur!DW150*Calculateur!DY150*VLOOKUP('Données projet'!$B$14,Paramètres!$A$1:$I$89,3,0)*0.475*44/12</f>
        <v>0.71656972307916578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8.8395745521757245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317.99999999999972</v>
      </c>
      <c r="EK150" s="18">
        <f>EJ150*VLOOKUP('Données projet'!$B$15,Paramètres!$A$1:$I$89,3,0)*VLOOKUP('Données projet'!$B$15,Paramètres!$A$1:$I$89,5,0)</f>
        <v>257.96159999999981</v>
      </c>
      <c r="EL150" s="14">
        <f t="shared" si="153"/>
        <v>62.287674609742425</v>
      </c>
      <c r="EM150" s="22">
        <f t="shared" si="127"/>
        <v>557.76748661196768</v>
      </c>
      <c r="EN150" s="62">
        <f t="shared" si="128"/>
        <v>851.10081994530105</v>
      </c>
      <c r="EO150" s="62">
        <f ca="1">AVERAGE(OFFSET($EN$3,0,0,'Données projet'!$E$15+1,1))-AVERAGE(OFFSET($H$3,0,0,'Données projet'!$E$15+1,1))</f>
        <v>358.75637627589799</v>
      </c>
      <c r="EP150" s="62">
        <f t="shared" si="154"/>
        <v>349.64821164483607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0.95280274810732835</v>
      </c>
      <c r="EW150" s="23">
        <f>EXP(-LN(2)/25)*EW149+(1-EXP(-LN(2)/25))/(LN(2)/25)*Calculateur!ER150*Calculateur!ET150*VLOOKUP('Données projet'!$B$15,Paramètres!$A$1:$I$89,3,0)*0.475*44/12</f>
        <v>0.59833848732004991</v>
      </c>
      <c r="EX150" s="23">
        <f>EXP(-LN(2)/2)*EX149+(1-EXP(-LN(2)/2))/(LN(2)/2)*ER150*EU150*VLOOKUP('Données projet'!$B$15,Paramètres!$A$1:$I$89,3,0)*0.475*44/12</f>
        <v>8.9455531340970996E-18</v>
      </c>
      <c r="EY150" s="24">
        <f t="shared" si="129"/>
        <v>1.5511412354273784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>
        <f>FE150*VLOOKUP('Données projet'!$B$16,Paramètres!$A$1:$I$89,3,0)*VLOOKUP('Données projet'!$B$16,Paramètres!$A$1:$I$89,5,0)</f>
        <v>0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121.28977654040114</v>
      </c>
      <c r="FK150" s="62">
        <f t="shared" si="156"/>
        <v>615.69585264342595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10.944440680099284</v>
      </c>
      <c r="FR150" s="23">
        <f>EXP(-LN(2)/25)*FR149+(1-EXP(-LN(2)/25))/(LN(2)/25)*Calculateur!FM150*Calculateur!FO150*VLOOKUP('Données projet'!$B$16,Paramètres!$A$1:$I$89,3,0)*0.475*44/12</f>
        <v>0.96546228795820321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11.909902968057487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317.99999999999972</v>
      </c>
      <c r="O151" s="14">
        <f>N151*VLOOKUP('Données projet'!$B$9,Paramètres!$A$1:$I$89,3,0)*VLOOKUP('Données projet'!$B$9,Paramètres!$A$1:$I$89,5,0)</f>
        <v>253.0007999999998</v>
      </c>
      <c r="P151" s="14">
        <f t="shared" si="141"/>
        <v>61.228070105968683</v>
      </c>
      <c r="Q151" s="22">
        <f t="shared" si="108"/>
        <v>547.28194876789507</v>
      </c>
      <c r="R151" s="62">
        <f t="shared" si="109"/>
        <v>840.61528210122833</v>
      </c>
      <c r="S151" s="62">
        <f ca="1">AVERAGE(OFFSET($R$3,0,0,'Données projet'!$E$9+1,1))-AVERAGE(OFFSET($H$3,0,0,'Données projet'!$E$9+1,1))</f>
        <v>352.5736659365665</v>
      </c>
      <c r="T151" s="62">
        <f t="shared" si="142"/>
        <v>343.77208530767069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1.302611881254528</v>
      </c>
      <c r="AA151" s="23">
        <f>EXP(-LN(2)/25)*AA150+(1-EXP(-LN(2)/25))/(LN(2)/25)*Calculateur!V151*Calculateur!X151*VLOOKUP('Données projet'!$B$9,Paramètres!$A$1:$I$89,3,0)*0.475*44/12</f>
        <v>0.900009629158809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2.2026215104133371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3.7243808037601412E-14</v>
      </c>
      <c r="AK151" s="14">
        <f t="shared" si="143"/>
        <v>6.2767589361185393E-13</v>
      </c>
      <c r="AL151" s="22">
        <f t="shared" si="112"/>
        <v>1.1580684803728015E-12</v>
      </c>
      <c r="AM151" s="62">
        <f t="shared" si="113"/>
        <v>293.33333333333445</v>
      </c>
      <c r="AN151" s="62">
        <f ca="1">AVERAGE(OFFSET($AM$3,0,0,'Données projet'!$E$10+1,1))-AVERAGE(OFFSET($H$3,0,0,'Données projet'!$E$10+1,1))</f>
        <v>210.08998695869161</v>
      </c>
      <c r="AO151" s="62">
        <f t="shared" si="144"/>
        <v>207.30911916430881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3.2043365707103629E-19</v>
      </c>
      <c r="AX151" s="23">
        <f t="shared" si="114"/>
        <v>3.2043365707103629E-19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335.83558218229564</v>
      </c>
      <c r="BJ151" s="62">
        <f t="shared" si="146"/>
        <v>217.08423061559648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3.6382625324996994E-17</v>
      </c>
      <c r="BS151" s="24">
        <f t="shared" si="117"/>
        <v>3.6382625324996994E-17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5.6843418860808015E-14</v>
      </c>
      <c r="BZ151" s="14">
        <f>BY151*VLOOKUP('Données projet'!$B$12,Paramètres!$A$1:$I$89,3,0)*VLOOKUP('Données projet'!$B$12,Paramètres!$A$1:$I$89,5,0)</f>
        <v>4.4337866711430253E-14</v>
      </c>
      <c r="CA151" s="14">
        <f t="shared" si="147"/>
        <v>7.3222115536967035E-13</v>
      </c>
      <c r="CB151" s="22">
        <f t="shared" si="118"/>
        <v>1.3525069634579169E-12</v>
      </c>
      <c r="CC151" s="62">
        <f t="shared" si="119"/>
        <v>293.33333333333468</v>
      </c>
      <c r="CD151" s="62">
        <f ca="1">AVERAGE(OFFSET($CC$3,0,0,'Données projet'!$E$12+1,1))-AVERAGE(OFFSET($H$3,0,0,'Données projet'!$E$12+1,1))</f>
        <v>288.82868507674738</v>
      </c>
      <c r="CE151" s="62">
        <f t="shared" si="148"/>
        <v>283.48738729114024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0.18485055999740216</v>
      </c>
      <c r="CM151" s="23">
        <f>EXP(-LN(2)/2)*CM150+(1-EXP(-LN(2)/2))/(LN(2)/2)*CG151*CJ151*VLOOKUP('Données projet'!$B$12,Paramètres!$A$1:$I$89,3,0)*0.475*44/12</f>
        <v>4.4751870607959539E-18</v>
      </c>
      <c r="CN151" s="24">
        <f t="shared" si="120"/>
        <v>0.18485055999740216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317.99999999999972</v>
      </c>
      <c r="CU151" s="18">
        <f>CT151*VLOOKUP('Données projet'!$B$13,Paramètres!$A$1:$I$89,3,0)*VLOOKUP('Données projet'!$B$13,Paramètres!$A$1:$I$89,5,0)</f>
        <v>277.80479999999983</v>
      </c>
      <c r="CV151" s="14">
        <f t="shared" si="149"/>
        <v>66.50288772038418</v>
      </c>
      <c r="CW151" s="22">
        <f t="shared" si="121"/>
        <v>599.66922277966887</v>
      </c>
      <c r="CX151" s="62">
        <f t="shared" si="122"/>
        <v>893.00255611300213</v>
      </c>
      <c r="CY151" s="62">
        <f ca="1">AVERAGE(OFFSET($CX$3,0,0,'Données projet'!$E$13+1,1))-AVERAGE(OFFSET($H$3,0,0,'Données projet'!$E$13+1,1))</f>
        <v>383.46266660377637</v>
      </c>
      <c r="CZ151" s="62">
        <f t="shared" si="150"/>
        <v>373.1287543230714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0.60921527309828372</v>
      </c>
      <c r="DH151" s="23">
        <f>EXP(-LN(2)/2)*DH150+(1-EXP(-LN(2)/2))/(LN(2)/2)*DB151*DE151*VLOOKUP('Données projet'!$B$13,Paramètres!$A$1:$I$89,3,0)*0.475*44/12</f>
        <v>3.6839348093745798E-17</v>
      </c>
      <c r="DI151" s="24">
        <f t="shared" si="123"/>
        <v>0.60921527309828372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>
        <f>DO151*VLOOKUP('Données projet'!$B$14,Paramètres!$A$1:$I$89,3,0)*VLOOKUP('Données projet'!$B$14,Paramètres!$A$1:$I$89,5,0)</f>
        <v>0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96.56611521638132</v>
      </c>
      <c r="DU151" s="62">
        <f t="shared" si="152"/>
        <v>465.03257878814094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7.9637176589417003</v>
      </c>
      <c r="EB151" s="23">
        <f>EXP(-LN(2)/25)*EB150+(1-EXP(-LN(2)/25))/(LN(2)/25)*Calculateur!DW151*Calculateur!DY151*VLOOKUP('Données projet'!$B$14,Paramètres!$A$1:$I$89,3,0)*0.475*44/12</f>
        <v>0.69697508631880201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8.6606927452605014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317.99999999999972</v>
      </c>
      <c r="EK151" s="18">
        <f>EJ151*VLOOKUP('Données projet'!$B$15,Paramètres!$A$1:$I$89,3,0)*VLOOKUP('Données projet'!$B$15,Paramètres!$A$1:$I$89,5,0)</f>
        <v>257.96159999999981</v>
      </c>
      <c r="EL151" s="14">
        <f t="shared" si="153"/>
        <v>62.287674609742425</v>
      </c>
      <c r="EM151" s="22">
        <f t="shared" si="127"/>
        <v>557.76748661196768</v>
      </c>
      <c r="EN151" s="62">
        <f t="shared" si="128"/>
        <v>851.10081994530105</v>
      </c>
      <c r="EO151" s="62">
        <f ca="1">AVERAGE(OFFSET($EN$3,0,0,'Données projet'!$E$15+1,1))-AVERAGE(OFFSET($H$3,0,0,'Données projet'!$E$15+1,1))</f>
        <v>358.75637627589799</v>
      </c>
      <c r="EP151" s="62">
        <f t="shared" si="154"/>
        <v>349.64821164483607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0.93411886736923599</v>
      </c>
      <c r="EW151" s="23">
        <f>EXP(-LN(2)/25)*EW150+(1-EXP(-LN(2)/25))/(LN(2)/25)*Calculateur!ER151*Calculateur!ET151*VLOOKUP('Données projet'!$B$15,Paramètres!$A$1:$I$89,3,0)*0.475*44/12</f>
        <v>0.58197688991902963</v>
      </c>
      <c r="EX151" s="23">
        <f>EXP(-LN(2)/2)*EX150+(1-EXP(-LN(2)/2))/(LN(2)/2)*ER151*EU151*VLOOKUP('Données projet'!$B$15,Paramètres!$A$1:$I$89,3,0)*0.475*44/12</f>
        <v>6.3254612825846323E-18</v>
      </c>
      <c r="EY151" s="24">
        <f t="shared" si="129"/>
        <v>1.5160957572882656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>
        <f>FE151*VLOOKUP('Données projet'!$B$16,Paramètres!$A$1:$I$89,3,0)*VLOOKUP('Données projet'!$B$16,Paramètres!$A$1:$I$89,5,0)</f>
        <v>0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121.28977654040114</v>
      </c>
      <c r="FK151" s="62">
        <f t="shared" si="156"/>
        <v>615.69585264342595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10.729826873812206</v>
      </c>
      <c r="FR151" s="23">
        <f>EXP(-LN(2)/25)*FR150+(1-EXP(-LN(2)/25))/(LN(2)/25)*Calculateur!FM151*Calculateur!FO151*VLOOKUP('Données projet'!$B$16,Paramètres!$A$1:$I$89,3,0)*0.475*44/12</f>
        <v>0.93906167092253101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11.668888544734736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317.99999999999972</v>
      </c>
      <c r="O152" s="14">
        <f>N152*VLOOKUP('Données projet'!$B$9,Paramètres!$A$1:$I$89,3,0)*VLOOKUP('Données projet'!$B$9,Paramètres!$A$1:$I$89,5,0)</f>
        <v>253.0007999999998</v>
      </c>
      <c r="P152" s="14">
        <f t="shared" si="141"/>
        <v>61.228070105968683</v>
      </c>
      <c r="Q152" s="22">
        <f t="shared" si="108"/>
        <v>547.28194876789507</v>
      </c>
      <c r="R152" s="62">
        <f t="shared" si="109"/>
        <v>840.61528210122833</v>
      </c>
      <c r="S152" s="62">
        <f ca="1">AVERAGE(OFFSET($R$3,0,0,'Données projet'!$E$9+1,1))-AVERAGE(OFFSET($H$3,0,0,'Données projet'!$E$9+1,1))</f>
        <v>352.5736659365665</v>
      </c>
      <c r="T152" s="62">
        <f t="shared" si="142"/>
        <v>343.77208530767069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1.2770684567779225</v>
      </c>
      <c r="AA152" s="23">
        <f>EXP(-LN(2)/25)*AA151+(1-EXP(-LN(2)/25))/(LN(2)/25)*Calculateur!V152*Calculateur!X152*VLOOKUP('Données projet'!$B$9,Paramètres!$A$1:$I$89,3,0)*0.475*44/12</f>
        <v>0.875398818520012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2.1524672752979344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3.7243808037601412E-14</v>
      </c>
      <c r="AK152" s="14">
        <f t="shared" si="143"/>
        <v>6.2767589361185393E-13</v>
      </c>
      <c r="AL152" s="22">
        <f t="shared" si="112"/>
        <v>1.1580684803728015E-12</v>
      </c>
      <c r="AM152" s="62">
        <f t="shared" si="113"/>
        <v>293.33333333333445</v>
      </c>
      <c r="AN152" s="62">
        <f ca="1">AVERAGE(OFFSET($AM$3,0,0,'Données projet'!$E$10+1,1))-AVERAGE(OFFSET($H$3,0,0,'Données projet'!$E$10+1,1))</f>
        <v>210.08998695869161</v>
      </c>
      <c r="AO152" s="62">
        <f t="shared" si="144"/>
        <v>207.30911916430881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2.2658081183533446E-19</v>
      </c>
      <c r="AX152" s="23">
        <f t="shared" si="114"/>
        <v>2.2658081183533446E-19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335.83558218229564</v>
      </c>
      <c r="BJ152" s="62">
        <f t="shared" si="146"/>
        <v>217.08423061559648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2.5726401084674792E-17</v>
      </c>
      <c r="BS152" s="24">
        <f t="shared" si="117"/>
        <v>2.5726401084674792E-17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5.6843418860808015E-14</v>
      </c>
      <c r="BZ152" s="14">
        <f>BY152*VLOOKUP('Données projet'!$B$12,Paramètres!$A$1:$I$89,3,0)*VLOOKUP('Données projet'!$B$12,Paramètres!$A$1:$I$89,5,0)</f>
        <v>4.4337866711430253E-14</v>
      </c>
      <c r="CA152" s="14">
        <f t="shared" si="147"/>
        <v>7.3222115536967035E-13</v>
      </c>
      <c r="CB152" s="22">
        <f t="shared" si="118"/>
        <v>1.3525069634579169E-12</v>
      </c>
      <c r="CC152" s="62">
        <f t="shared" si="119"/>
        <v>293.33333333333468</v>
      </c>
      <c r="CD152" s="62">
        <f ca="1">AVERAGE(OFFSET($CC$3,0,0,'Données projet'!$E$12+1,1))-AVERAGE(OFFSET($H$3,0,0,'Données projet'!$E$12+1,1))</f>
        <v>288.82868507674738</v>
      </c>
      <c r="CE152" s="62">
        <f t="shared" si="148"/>
        <v>283.48738729114024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0.17979581171340472</v>
      </c>
      <c r="CM152" s="23">
        <f>EXP(-LN(2)/2)*CM151+(1-EXP(-LN(2)/2))/(LN(2)/2)*CG152*CJ152*VLOOKUP('Données projet'!$B$12,Paramètres!$A$1:$I$89,3,0)*0.475*44/12</f>
        <v>3.1644351177671134E-18</v>
      </c>
      <c r="CN152" s="24">
        <f t="shared" si="120"/>
        <v>0.17979581171340472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317.99999999999972</v>
      </c>
      <c r="CU152" s="18">
        <f>CT152*VLOOKUP('Données projet'!$B$13,Paramètres!$A$1:$I$89,3,0)*VLOOKUP('Données projet'!$B$13,Paramètres!$A$1:$I$89,5,0)</f>
        <v>277.80479999999983</v>
      </c>
      <c r="CV152" s="14">
        <f t="shared" si="149"/>
        <v>66.50288772038418</v>
      </c>
      <c r="CW152" s="22">
        <f t="shared" si="121"/>
        <v>599.66922277966887</v>
      </c>
      <c r="CX152" s="62">
        <f t="shared" si="122"/>
        <v>893.00255611300213</v>
      </c>
      <c r="CY152" s="62">
        <f ca="1">AVERAGE(OFFSET($CX$3,0,0,'Données projet'!$E$13+1,1))-AVERAGE(OFFSET($H$3,0,0,'Données projet'!$E$13+1,1))</f>
        <v>383.46266660377637</v>
      </c>
      <c r="CZ152" s="62">
        <f t="shared" si="150"/>
        <v>373.1287543230714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0.59255624941817231</v>
      </c>
      <c r="DH152" s="23">
        <f>EXP(-LN(2)/2)*DH151+(1-EXP(-LN(2)/2))/(LN(2)/2)*DB152*DE152*VLOOKUP('Données projet'!$B$13,Paramètres!$A$1:$I$89,3,0)*0.475*44/12</f>
        <v>2.6049352851579367E-17</v>
      </c>
      <c r="DI152" s="24">
        <f t="shared" si="123"/>
        <v>0.59255624941817231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>
        <f>DO152*VLOOKUP('Données projet'!$B$14,Paramètres!$A$1:$I$89,3,0)*VLOOKUP('Données projet'!$B$14,Paramètres!$A$1:$I$89,5,0)</f>
        <v>0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96.56611521638132</v>
      </c>
      <c r="DU152" s="62">
        <f t="shared" si="152"/>
        <v>465.03257878814094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7.8075540130379979</v>
      </c>
      <c r="EB152" s="23">
        <f>EXP(-LN(2)/25)*EB151+(1-EXP(-LN(2)/25))/(LN(2)/25)*Calculateur!DW152*Calculateur!DY152*VLOOKUP('Données projet'!$B$14,Paramètres!$A$1:$I$89,3,0)*0.475*44/12</f>
        <v>0.67791626593108756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8.4854702789690855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317.99999999999972</v>
      </c>
      <c r="EK152" s="18">
        <f>EJ152*VLOOKUP('Données projet'!$B$15,Paramètres!$A$1:$I$89,3,0)*VLOOKUP('Données projet'!$B$15,Paramètres!$A$1:$I$89,5,0)</f>
        <v>257.96159999999981</v>
      </c>
      <c r="EL152" s="14">
        <f t="shared" si="153"/>
        <v>62.287674609742425</v>
      </c>
      <c r="EM152" s="22">
        <f t="shared" si="127"/>
        <v>557.76748661196768</v>
      </c>
      <c r="EN152" s="62">
        <f t="shared" si="128"/>
        <v>851.10081994530105</v>
      </c>
      <c r="EO152" s="62">
        <f ca="1">AVERAGE(OFFSET($EN$3,0,0,'Données projet'!$E$15+1,1))-AVERAGE(OFFSET($H$3,0,0,'Données projet'!$E$15+1,1))</f>
        <v>358.75637627589799</v>
      </c>
      <c r="EP152" s="62">
        <f t="shared" si="154"/>
        <v>349.64821164483607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0.91580136613637564</v>
      </c>
      <c r="EW152" s="23">
        <f>EXP(-LN(2)/25)*EW151+(1-EXP(-LN(2)/25))/(LN(2)/25)*Calculateur!ER152*Calculateur!ET152*VLOOKUP('Données projet'!$B$15,Paramètres!$A$1:$I$89,3,0)*0.475*44/12</f>
        <v>0.5660627012593592</v>
      </c>
      <c r="EX152" s="23">
        <f>EXP(-LN(2)/2)*EX151+(1-EXP(-LN(2)/2))/(LN(2)/2)*ER152*EU152*VLOOKUP('Données projet'!$B$15,Paramètres!$A$1:$I$89,3,0)*0.475*44/12</f>
        <v>4.4727765670485498E-18</v>
      </c>
      <c r="EY152" s="24">
        <f t="shared" si="129"/>
        <v>1.4818640673957348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>
        <f>FE152*VLOOKUP('Données projet'!$B$16,Paramètres!$A$1:$I$89,3,0)*VLOOKUP('Données projet'!$B$16,Paramètres!$A$1:$I$89,5,0)</f>
        <v>0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121.28977654040114</v>
      </c>
      <c r="FK152" s="62">
        <f t="shared" si="156"/>
        <v>615.69585264342595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10.519421513364922</v>
      </c>
      <c r="FR152" s="23">
        <f>EXP(-LN(2)/25)*FR151+(1-EXP(-LN(2)/25))/(LN(2)/25)*Calculateur!FM152*Calculateur!FO152*VLOOKUP('Données projet'!$B$16,Paramètres!$A$1:$I$89,3,0)*0.475*44/12</f>
        <v>0.91338298014804742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11.432804493512968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317.99999999999972</v>
      </c>
      <c r="O153" s="14">
        <f>N153*VLOOKUP('Données projet'!$B$9,Paramètres!$A$1:$I$89,3,0)*VLOOKUP('Données projet'!$B$9,Paramètres!$A$1:$I$89,5,0)</f>
        <v>253.0007999999998</v>
      </c>
      <c r="P153" s="14">
        <f t="shared" si="141"/>
        <v>61.228070105968683</v>
      </c>
      <c r="Q153" s="22">
        <f t="shared" si="108"/>
        <v>547.28194876789507</v>
      </c>
      <c r="R153" s="62">
        <f t="shared" si="109"/>
        <v>840.61528210122833</v>
      </c>
      <c r="S153" s="62">
        <f ca="1">AVERAGE(OFFSET($R$3,0,0,'Données projet'!$E$9+1,1))-AVERAGE(OFFSET($H$3,0,0,'Données projet'!$E$9+1,1))</f>
        <v>352.5736659365665</v>
      </c>
      <c r="T153" s="62">
        <f t="shared" si="142"/>
        <v>343.77208530767069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1.2520259232753526</v>
      </c>
      <c r="AA153" s="23">
        <f>EXP(-LN(2)/25)*AA152+(1-EXP(-LN(2)/25))/(LN(2)/25)*Calculateur!V153*Calculateur!X153*VLOOKUP('Données projet'!$B$9,Paramètres!$A$1:$I$89,3,0)*0.475*44/12</f>
        <v>0.85146099179235912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2.1034869150677116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3.7243808037601412E-14</v>
      </c>
      <c r="AK153" s="14">
        <f t="shared" si="143"/>
        <v>6.2767589361185393E-13</v>
      </c>
      <c r="AL153" s="22">
        <f t="shared" si="112"/>
        <v>1.1580684803728015E-12</v>
      </c>
      <c r="AM153" s="62">
        <f t="shared" si="113"/>
        <v>293.33333333333445</v>
      </c>
      <c r="AN153" s="62">
        <f ca="1">AVERAGE(OFFSET($AM$3,0,0,'Données projet'!$E$10+1,1))-AVERAGE(OFFSET($H$3,0,0,'Données projet'!$E$10+1,1))</f>
        <v>210.08998695869161</v>
      </c>
      <c r="AO153" s="62">
        <f t="shared" si="144"/>
        <v>207.30911916430881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1.6021682853551815E-19</v>
      </c>
      <c r="AX153" s="23">
        <f t="shared" si="114"/>
        <v>1.6021682853551815E-19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335.83558218229564</v>
      </c>
      <c r="BJ153" s="62">
        <f t="shared" si="146"/>
        <v>217.08423061559648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1.8191312662498497E-17</v>
      </c>
      <c r="BS153" s="24">
        <f t="shared" si="117"/>
        <v>1.8191312662498497E-17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5.6843418860808015E-14</v>
      </c>
      <c r="BZ153" s="14">
        <f>BY153*VLOOKUP('Données projet'!$B$12,Paramètres!$A$1:$I$89,3,0)*VLOOKUP('Données projet'!$B$12,Paramètres!$A$1:$I$89,5,0)</f>
        <v>4.4337866711430253E-14</v>
      </c>
      <c r="CA153" s="14">
        <f t="shared" si="147"/>
        <v>7.3222115536967035E-13</v>
      </c>
      <c r="CB153" s="22">
        <f t="shared" si="118"/>
        <v>1.3525069634579169E-12</v>
      </c>
      <c r="CC153" s="62">
        <f t="shared" si="119"/>
        <v>293.33333333333468</v>
      </c>
      <c r="CD153" s="62">
        <f ca="1">AVERAGE(OFFSET($CC$3,0,0,'Données projet'!$E$12+1,1))-AVERAGE(OFFSET($H$3,0,0,'Données projet'!$E$12+1,1))</f>
        <v>288.82868507674738</v>
      </c>
      <c r="CE153" s="62">
        <f t="shared" si="148"/>
        <v>283.48738729114024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0.17487928578705086</v>
      </c>
      <c r="CM153" s="23">
        <f>EXP(-LN(2)/2)*CM152+(1-EXP(-LN(2)/2))/(LN(2)/2)*CG153*CJ153*VLOOKUP('Données projet'!$B$12,Paramètres!$A$1:$I$89,3,0)*0.475*44/12</f>
        <v>2.2375935303979769E-18</v>
      </c>
      <c r="CN153" s="24">
        <f t="shared" si="120"/>
        <v>0.17487928578705086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317.99999999999972</v>
      </c>
      <c r="CU153" s="18">
        <f>CT153*VLOOKUP('Données projet'!$B$13,Paramètres!$A$1:$I$89,3,0)*VLOOKUP('Données projet'!$B$13,Paramètres!$A$1:$I$89,5,0)</f>
        <v>277.80479999999983</v>
      </c>
      <c r="CV153" s="14">
        <f t="shared" si="149"/>
        <v>66.50288772038418</v>
      </c>
      <c r="CW153" s="22">
        <f t="shared" si="121"/>
        <v>599.66922277966887</v>
      </c>
      <c r="CX153" s="62">
        <f t="shared" si="122"/>
        <v>893.00255611300213</v>
      </c>
      <c r="CY153" s="62">
        <f ca="1">AVERAGE(OFFSET($CX$3,0,0,'Données projet'!$E$13+1,1))-AVERAGE(OFFSET($H$3,0,0,'Données projet'!$E$13+1,1))</f>
        <v>383.46266660377637</v>
      </c>
      <c r="CZ153" s="62">
        <f t="shared" si="150"/>
        <v>373.1287543230714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0.57635276761665355</v>
      </c>
      <c r="DH153" s="23">
        <f>EXP(-LN(2)/2)*DH152+(1-EXP(-LN(2)/2))/(LN(2)/2)*DB153*DE153*VLOOKUP('Données projet'!$B$13,Paramètres!$A$1:$I$89,3,0)*0.475*44/12</f>
        <v>1.8419674046872899E-17</v>
      </c>
      <c r="DI153" s="24">
        <f t="shared" si="123"/>
        <v>0.57635276761665355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>
        <f>DO153*VLOOKUP('Données projet'!$B$14,Paramètres!$A$1:$I$89,3,0)*VLOOKUP('Données projet'!$B$14,Paramètres!$A$1:$I$89,5,0)</f>
        <v>0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96.56611521638132</v>
      </c>
      <c r="DU153" s="62">
        <f t="shared" si="152"/>
        <v>465.03257878814094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7.6544526409800486</v>
      </c>
      <c r="EB153" s="23">
        <f>EXP(-LN(2)/25)*EB152+(1-EXP(-LN(2)/25))/(LN(2)/25)*Calculateur!DW153*Calculateur!DY153*VLOOKUP('Données projet'!$B$14,Paramètres!$A$1:$I$89,3,0)*0.475*44/12</f>
        <v>0.65937860998913489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8.3138312509691836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317.99999999999972</v>
      </c>
      <c r="EK153" s="18">
        <f>EJ153*VLOOKUP('Données projet'!$B$15,Paramètres!$A$1:$I$89,3,0)*VLOOKUP('Données projet'!$B$15,Paramètres!$A$1:$I$89,5,0)</f>
        <v>257.96159999999981</v>
      </c>
      <c r="EL153" s="14">
        <f t="shared" si="153"/>
        <v>62.287674609742425</v>
      </c>
      <c r="EM153" s="22">
        <f t="shared" si="127"/>
        <v>557.76748661196768</v>
      </c>
      <c r="EN153" s="62">
        <f t="shared" si="128"/>
        <v>851.10081994530105</v>
      </c>
      <c r="EO153" s="62">
        <f ca="1">AVERAGE(OFFSET($EN$3,0,0,'Données projet'!$E$15+1,1))-AVERAGE(OFFSET($H$3,0,0,'Données projet'!$E$15+1,1))</f>
        <v>358.75637627589799</v>
      </c>
      <c r="EP153" s="62">
        <f t="shared" si="154"/>
        <v>349.64821164483607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0.89784305993011915</v>
      </c>
      <c r="EW153" s="23">
        <f>EXP(-LN(2)/25)*EW152+(1-EXP(-LN(2)/25))/(LN(2)/25)*Calculateur!ER153*Calculateur!ET153*VLOOKUP('Données projet'!$B$15,Paramètres!$A$1:$I$89,3,0)*0.475*44/12</f>
        <v>0.55058368692547832</v>
      </c>
      <c r="EX153" s="23">
        <f>EXP(-LN(2)/2)*EX152+(1-EXP(-LN(2)/2))/(LN(2)/2)*ER153*EU153*VLOOKUP('Données projet'!$B$15,Paramètres!$A$1:$I$89,3,0)*0.475*44/12</f>
        <v>3.1627306412923162E-18</v>
      </c>
      <c r="EY153" s="24">
        <f t="shared" si="129"/>
        <v>1.4484267468555974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>
        <f>FE153*VLOOKUP('Données projet'!$B$16,Paramètres!$A$1:$I$89,3,0)*VLOOKUP('Données projet'!$B$16,Paramètres!$A$1:$I$89,5,0)</f>
        <v>0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121.28977654040114</v>
      </c>
      <c r="FK153" s="62">
        <f t="shared" si="156"/>
        <v>615.69585264342595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10.31314207370141</v>
      </c>
      <c r="FR153" s="23">
        <f>EXP(-LN(2)/25)*FR152+(1-EXP(-LN(2)/25))/(LN(2)/25)*Calculateur!FM153*Calculateur!FO153*VLOOKUP('Données projet'!$B$16,Paramètres!$A$1:$I$89,3,0)*0.475*44/12</f>
        <v>0.88840647452317567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11.201548548224586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317.99999999999972</v>
      </c>
      <c r="O154" s="14">
        <f>N154*VLOOKUP('Données projet'!$B$9,Paramètres!$A$1:$I$89,3,0)*VLOOKUP('Données projet'!$B$9,Paramètres!$A$1:$I$89,5,0)</f>
        <v>253.0007999999998</v>
      </c>
      <c r="P154" s="14">
        <f t="shared" si="141"/>
        <v>61.228070105968683</v>
      </c>
      <c r="Q154" s="22">
        <f t="shared" ref="Q154:Q203" si="162">(O154+P154)*0.475*44/12</f>
        <v>547.28194876789507</v>
      </c>
      <c r="R154" s="62">
        <f t="shared" si="109"/>
        <v>840.61528210122833</v>
      </c>
      <c r="S154" s="62">
        <f ca="1">AVERAGE(OFFSET($R$3,0,0,'Données projet'!$E$9+1,1))-AVERAGE(OFFSET($H$3,0,0,'Données projet'!$E$9+1,1))</f>
        <v>352.5736659365665</v>
      </c>
      <c r="T154" s="62">
        <f t="shared" si="142"/>
        <v>343.77208530767069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1.227474458580331</v>
      </c>
      <c r="AA154" s="23">
        <f>EXP(-LN(2)/25)*AA153+(1-EXP(-LN(2)/25))/(LN(2)/25)*Calculateur!V154*Calculateur!X154*VLOOKUP('Données projet'!$B$9,Paramètres!$A$1:$I$89,3,0)*0.475*44/12</f>
        <v>0.82817774619540951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2.0556522047757406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3.7243808037601412E-14</v>
      </c>
      <c r="AK154" s="14">
        <f t="shared" ref="AK154:AK203" si="164">EXP(-1.0587+0.8836*LN(AJ154)+0.284)</f>
        <v>6.2767589361185393E-13</v>
      </c>
      <c r="AL154" s="22">
        <f t="shared" ref="AL154:AL203" si="165">(AJ154+AK154)*0.475*44/12</f>
        <v>1.1580684803728015E-12</v>
      </c>
      <c r="AM154" s="62">
        <f t="shared" si="113"/>
        <v>293.33333333333445</v>
      </c>
      <c r="AN154" s="62">
        <f ca="1">AVERAGE(OFFSET($AM$3,0,0,'Données projet'!$E$10+1,1))-AVERAGE(OFFSET($H$3,0,0,'Données projet'!$E$10+1,1))</f>
        <v>210.08998695869161</v>
      </c>
      <c r="AO154" s="62">
        <f t="shared" si="144"/>
        <v>207.30911916430881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1.1329040591766723E-19</v>
      </c>
      <c r="AX154" s="23">
        <f t="shared" ref="AX154:AX203" si="166">SUM(AU154:AW154)</f>
        <v>1.1329040591766723E-19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335.83558218229564</v>
      </c>
      <c r="BJ154" s="62">
        <f t="shared" si="146"/>
        <v>217.08423061559648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1.2863200542337396E-17</v>
      </c>
      <c r="BS154" s="24">
        <f t="shared" ref="BS154:BS203" si="169">SUM(BP154:BR154)</f>
        <v>1.2863200542337396E-17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5.6843418860808015E-14</v>
      </c>
      <c r="BZ154" s="14">
        <f>BY154*VLOOKUP('Données projet'!$B$12,Paramètres!$A$1:$I$89,3,0)*VLOOKUP('Données projet'!$B$12,Paramètres!$A$1:$I$89,5,0)</f>
        <v>4.4337866711430253E-14</v>
      </c>
      <c r="CA154" s="14">
        <f t="shared" ref="CA154:CA203" si="170">EXP(-1.0587+0.8836*LN(BZ154)+0.284)</f>
        <v>7.3222115536967035E-13</v>
      </c>
      <c r="CB154" s="22">
        <f t="shared" ref="CB154:CB203" si="171">(BZ154+CA154)*0.475*44/12</f>
        <v>1.3525069634579169E-12</v>
      </c>
      <c r="CC154" s="62">
        <f t="shared" si="119"/>
        <v>293.33333333333468</v>
      </c>
      <c r="CD154" s="62">
        <f ca="1">AVERAGE(OFFSET($CC$3,0,0,'Données projet'!$E$12+1,1))-AVERAGE(OFFSET($H$3,0,0,'Données projet'!$E$12+1,1))</f>
        <v>288.82868507674738</v>
      </c>
      <c r="CE154" s="62">
        <f t="shared" si="148"/>
        <v>283.48738729114024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0.17009720252070201</v>
      </c>
      <c r="CM154" s="23">
        <f>EXP(-LN(2)/2)*CM153+(1-EXP(-LN(2)/2))/(LN(2)/2)*CG154*CJ154*VLOOKUP('Données projet'!$B$12,Paramètres!$A$1:$I$89,3,0)*0.475*44/12</f>
        <v>1.5822175588835567E-18</v>
      </c>
      <c r="CN154" s="24">
        <f t="shared" ref="CN154:CN203" si="172">SUM(CK154:CM154)</f>
        <v>0.17009720252070201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317.99999999999972</v>
      </c>
      <c r="CU154" s="18">
        <f>CT154*VLOOKUP('Données projet'!$B$13,Paramètres!$A$1:$I$89,3,0)*VLOOKUP('Données projet'!$B$13,Paramètres!$A$1:$I$89,5,0)</f>
        <v>277.80479999999983</v>
      </c>
      <c r="CV154" s="14">
        <f t="shared" ref="CV154:CV203" si="173">EXP(-1.0587+0.8836*LN(CU154)+0.284)</f>
        <v>66.50288772038418</v>
      </c>
      <c r="CW154" s="22">
        <f t="shared" ref="CW154:CW203" si="174">(CU154+CV154)*0.475*44/12</f>
        <v>599.66922277966887</v>
      </c>
      <c r="CX154" s="62">
        <f t="shared" si="122"/>
        <v>893.00255611300213</v>
      </c>
      <c r="CY154" s="62">
        <f ca="1">AVERAGE(OFFSET($CX$3,0,0,'Données projet'!$E$13+1,1))-AVERAGE(OFFSET($H$3,0,0,'Données projet'!$E$13+1,1))</f>
        <v>383.46266660377637</v>
      </c>
      <c r="CZ154" s="62">
        <f t="shared" si="150"/>
        <v>373.1287543230714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0.56059237087710134</v>
      </c>
      <c r="DH154" s="23">
        <f>EXP(-LN(2)/2)*DH153+(1-EXP(-LN(2)/2))/(LN(2)/2)*DB154*DE154*VLOOKUP('Données projet'!$B$13,Paramètres!$A$1:$I$89,3,0)*0.475*44/12</f>
        <v>1.3024676425789683E-17</v>
      </c>
      <c r="DI154" s="24">
        <f t="shared" ref="DI154:DI203" si="175">SUM(DF154:DH154)</f>
        <v>0.56059237087710134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>
        <f>DO154*VLOOKUP('Données projet'!$B$14,Paramètres!$A$1:$I$89,3,0)*VLOOKUP('Données projet'!$B$14,Paramètres!$A$1:$I$89,5,0)</f>
        <v>0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96.56611521638132</v>
      </c>
      <c r="DU154" s="62">
        <f t="shared" si="152"/>
        <v>465.03257878814094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7.5043534934455396</v>
      </c>
      <c r="EB154" s="23">
        <f>EXP(-LN(2)/25)*EB153+(1-EXP(-LN(2)/25))/(LN(2)/25)*Calculateur!DW154*Calculateur!DY154*VLOOKUP('Données projet'!$B$14,Paramètres!$A$1:$I$89,3,0)*0.475*44/12</f>
        <v>0.64134786722376791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8.1457013606693067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317.99999999999972</v>
      </c>
      <c r="EK154" s="18">
        <f>EJ154*VLOOKUP('Données projet'!$B$15,Paramètres!$A$1:$I$89,3,0)*VLOOKUP('Données projet'!$B$15,Paramètres!$A$1:$I$89,5,0)</f>
        <v>257.96159999999981</v>
      </c>
      <c r="EL154" s="14">
        <f t="shared" ref="EL154:EL203" si="179">EXP(-1.0587+0.8836*LN(EK154)+0.284)</f>
        <v>62.287674609742425</v>
      </c>
      <c r="EM154" s="22">
        <f t="shared" ref="EM154:EM203" si="180">(EK154+EL154)*0.475*44/12</f>
        <v>557.76748661196768</v>
      </c>
      <c r="EN154" s="62">
        <f t="shared" si="128"/>
        <v>851.10081994530105</v>
      </c>
      <c r="EO154" s="62">
        <f ca="1">AVERAGE(OFFSET($EN$3,0,0,'Données projet'!$E$15+1,1))-AVERAGE(OFFSET($H$3,0,0,'Données projet'!$E$15+1,1))</f>
        <v>358.75637627589799</v>
      </c>
      <c r="EP154" s="62">
        <f t="shared" si="154"/>
        <v>349.64821164483607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0.88023690515508213</v>
      </c>
      <c r="EW154" s="23">
        <f>EXP(-LN(2)/25)*EW153+(1-EXP(-LN(2)/25))/(LN(2)/25)*Calculateur!ER154*Calculateur!ET154*VLOOKUP('Données projet'!$B$15,Paramètres!$A$1:$I$89,3,0)*0.475*44/12</f>
        <v>0.53552794705256335</v>
      </c>
      <c r="EX154" s="23">
        <f>EXP(-LN(2)/2)*EX153+(1-EXP(-LN(2)/2))/(LN(2)/2)*ER154*EU154*VLOOKUP('Données projet'!$B$15,Paramètres!$A$1:$I$89,3,0)*0.475*44/12</f>
        <v>2.2363882835242749E-18</v>
      </c>
      <c r="EY154" s="24">
        <f t="shared" ref="EY154:EY203" si="181">SUM(EV154:EX154)</f>
        <v>1.4157648522076456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>
        <f>FE154*VLOOKUP('Données projet'!$B$16,Paramètres!$A$1:$I$89,3,0)*VLOOKUP('Données projet'!$B$16,Paramètres!$A$1:$I$89,5,0)</f>
        <v>0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121.28977654040114</v>
      </c>
      <c r="FK154" s="62">
        <f t="shared" si="156"/>
        <v>615.69585264342595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10.110907648031665</v>
      </c>
      <c r="FR154" s="23">
        <f>EXP(-LN(2)/25)*FR153+(1-EXP(-LN(2)/25))/(LN(2)/25)*Calculateur!FM154*Calculateur!FO154*VLOOKUP('Données projet'!$B$16,Paramètres!$A$1:$I$89,3,0)*0.475*44/12</f>
        <v>0.86411295275807343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10.975020600789739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317.99999999999972</v>
      </c>
      <c r="O155" s="14">
        <f>N155*VLOOKUP('Données projet'!$B$9,Paramètres!$A$1:$I$89,3,0)*VLOOKUP('Données projet'!$B$9,Paramètres!$A$1:$I$89,5,0)</f>
        <v>253.0007999999998</v>
      </c>
      <c r="P155" s="14">
        <f t="shared" si="141"/>
        <v>61.228070105968683</v>
      </c>
      <c r="Q155" s="22">
        <f t="shared" si="162"/>
        <v>547.28194876789507</v>
      </c>
      <c r="R155" s="62">
        <f t="shared" si="109"/>
        <v>840.61528210122833</v>
      </c>
      <c r="S155" s="62">
        <f ca="1">AVERAGE(OFFSET($R$3,0,0,'Données projet'!$E$9+1,1))-AVERAGE(OFFSET($H$3,0,0,'Données projet'!$E$9+1,1))</f>
        <v>352.5736659365665</v>
      </c>
      <c r="T155" s="62">
        <f t="shared" si="142"/>
        <v>343.77208530767069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1.2034044331330638</v>
      </c>
      <c r="AA155" s="23">
        <f>EXP(-LN(2)/25)*AA154+(1-EXP(-LN(2)/25))/(LN(2)/25)*Calculateur!V155*Calculateur!X155*VLOOKUP('Données projet'!$B$9,Paramètres!$A$1:$I$89,3,0)*0.475*44/12</f>
        <v>0.80553118217372122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2.0089356153067852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3.7243808037601412E-14</v>
      </c>
      <c r="AK155" s="14">
        <f t="shared" si="164"/>
        <v>6.2767589361185393E-13</v>
      </c>
      <c r="AL155" s="22">
        <f t="shared" si="165"/>
        <v>1.1580684803728015E-12</v>
      </c>
      <c r="AM155" s="62">
        <f t="shared" si="113"/>
        <v>293.33333333333445</v>
      </c>
      <c r="AN155" s="62">
        <f ca="1">AVERAGE(OFFSET($AM$3,0,0,'Données projet'!$E$10+1,1))-AVERAGE(OFFSET($H$3,0,0,'Données projet'!$E$10+1,1))</f>
        <v>210.08998695869161</v>
      </c>
      <c r="AO155" s="62">
        <f t="shared" si="144"/>
        <v>207.30911916430881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8.0108414267759073E-20</v>
      </c>
      <c r="AX155" s="23">
        <f t="shared" si="166"/>
        <v>8.0108414267759073E-20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335.83558218229564</v>
      </c>
      <c r="BJ155" s="62">
        <f t="shared" si="146"/>
        <v>217.08423061559648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9.0956563312492484E-18</v>
      </c>
      <c r="BS155" s="24">
        <f t="shared" si="169"/>
        <v>9.0956563312492484E-18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5.6843418860808015E-14</v>
      </c>
      <c r="BZ155" s="14">
        <f>BY155*VLOOKUP('Données projet'!$B$12,Paramètres!$A$1:$I$89,3,0)*VLOOKUP('Données projet'!$B$12,Paramètres!$A$1:$I$89,5,0)</f>
        <v>4.4337866711430253E-14</v>
      </c>
      <c r="CA155" s="14">
        <f t="shared" si="170"/>
        <v>7.3222115536967035E-13</v>
      </c>
      <c r="CB155" s="22">
        <f t="shared" si="171"/>
        <v>1.3525069634579169E-12</v>
      </c>
      <c r="CC155" s="62">
        <f t="shared" si="119"/>
        <v>293.33333333333468</v>
      </c>
      <c r="CD155" s="62">
        <f ca="1">AVERAGE(OFFSET($CC$3,0,0,'Données projet'!$E$12+1,1))-AVERAGE(OFFSET($H$3,0,0,'Données projet'!$E$12+1,1))</f>
        <v>288.82868507674738</v>
      </c>
      <c r="CE155" s="62">
        <f t="shared" si="148"/>
        <v>283.48738729114024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0.16544588557275031</v>
      </c>
      <c r="CM155" s="23">
        <f>EXP(-LN(2)/2)*CM154+(1-EXP(-LN(2)/2))/(LN(2)/2)*CG155*CJ155*VLOOKUP('Données projet'!$B$12,Paramètres!$A$1:$I$89,3,0)*0.475*44/12</f>
        <v>1.1187967651989885E-18</v>
      </c>
      <c r="CN155" s="24">
        <f t="shared" si="172"/>
        <v>0.16544588557275031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317.99999999999972</v>
      </c>
      <c r="CU155" s="18">
        <f>CT155*VLOOKUP('Données projet'!$B$13,Paramètres!$A$1:$I$89,3,0)*VLOOKUP('Données projet'!$B$13,Paramètres!$A$1:$I$89,5,0)</f>
        <v>277.80479999999983</v>
      </c>
      <c r="CV155" s="14">
        <f t="shared" si="173"/>
        <v>66.50288772038418</v>
      </c>
      <c r="CW155" s="22">
        <f t="shared" si="174"/>
        <v>599.66922277966887</v>
      </c>
      <c r="CX155" s="62">
        <f t="shared" si="122"/>
        <v>893.00255611300213</v>
      </c>
      <c r="CY155" s="62">
        <f ca="1">AVERAGE(OFFSET($CX$3,0,0,'Données projet'!$E$13+1,1))-AVERAGE(OFFSET($H$3,0,0,'Données projet'!$E$13+1,1))</f>
        <v>383.46266660377637</v>
      </c>
      <c r="CZ155" s="62">
        <f t="shared" si="150"/>
        <v>373.1287543230714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0.54526294301519551</v>
      </c>
      <c r="DH155" s="23">
        <f>EXP(-LN(2)/2)*DH154+(1-EXP(-LN(2)/2))/(LN(2)/2)*DB155*DE155*VLOOKUP('Données projet'!$B$13,Paramètres!$A$1:$I$89,3,0)*0.475*44/12</f>
        <v>9.2098370234364494E-18</v>
      </c>
      <c r="DI155" s="24">
        <f t="shared" si="175"/>
        <v>0.54526294301519551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>
        <f>DO155*VLOOKUP('Données projet'!$B$14,Paramètres!$A$1:$I$89,3,0)*VLOOKUP('Données projet'!$B$14,Paramètres!$A$1:$I$89,5,0)</f>
        <v>0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96.56611521638132</v>
      </c>
      <c r="DU155" s="62">
        <f t="shared" si="152"/>
        <v>465.03257878814094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7.3571976986427421</v>
      </c>
      <c r="EB155" s="23">
        <f>EXP(-LN(2)/25)*EB154+(1-EXP(-LN(2)/25))/(LN(2)/25)*Calculateur!DW155*Calculateur!DY155*VLOOKUP('Données projet'!$B$14,Paramètres!$A$1:$I$89,3,0)*0.475*44/12</f>
        <v>0.62381017606751543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7.981007874710258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317.99999999999972</v>
      </c>
      <c r="EK155" s="18">
        <f>EJ155*VLOOKUP('Données projet'!$B$15,Paramètres!$A$1:$I$89,3,0)*VLOOKUP('Données projet'!$B$15,Paramètres!$A$1:$I$89,5,0)</f>
        <v>257.96159999999981</v>
      </c>
      <c r="EL155" s="14">
        <f t="shared" si="179"/>
        <v>62.287674609742425</v>
      </c>
      <c r="EM155" s="22">
        <f t="shared" si="180"/>
        <v>557.76748661196768</v>
      </c>
      <c r="EN155" s="62">
        <f t="shared" si="128"/>
        <v>851.10081994530105</v>
      </c>
      <c r="EO155" s="62">
        <f ca="1">AVERAGE(OFFSET($EN$3,0,0,'Données projet'!$E$15+1,1))-AVERAGE(OFFSET($H$3,0,0,'Données projet'!$E$15+1,1))</f>
        <v>358.75637627589799</v>
      </c>
      <c r="EP155" s="62">
        <f t="shared" si="154"/>
        <v>349.64821164483607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0.86297599633648947</v>
      </c>
      <c r="EW155" s="23">
        <f>EXP(-LN(2)/25)*EW154+(1-EXP(-LN(2)/25))/(LN(2)/25)*Calculateur!ER155*Calculateur!ET155*VLOOKUP('Données projet'!$B$15,Paramètres!$A$1:$I$89,3,0)*0.475*44/12</f>
        <v>0.5208839071782202</v>
      </c>
      <c r="EX155" s="23">
        <f>EXP(-LN(2)/2)*EX154+(1-EXP(-LN(2)/2))/(LN(2)/2)*ER155*EU155*VLOOKUP('Données projet'!$B$15,Paramètres!$A$1:$I$89,3,0)*0.475*44/12</f>
        <v>1.5813653206461581E-18</v>
      </c>
      <c r="EY155" s="24">
        <f t="shared" si="181"/>
        <v>1.3838599035147097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>
        <f>FE155*VLOOKUP('Données projet'!$B$16,Paramètres!$A$1:$I$89,3,0)*VLOOKUP('Données projet'!$B$16,Paramètres!$A$1:$I$89,5,0)</f>
        <v>0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121.28977654040114</v>
      </c>
      <c r="FK155" s="62">
        <f t="shared" si="156"/>
        <v>615.69585264342595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9.9126389160984836</v>
      </c>
      <c r="FR155" s="23">
        <f>EXP(-LN(2)/25)*FR154+(1-EXP(-LN(2)/25))/(LN(2)/25)*Calculateur!FM155*Calculateur!FO155*VLOOKUP('Données projet'!$B$16,Paramètres!$A$1:$I$89,3,0)*0.475*44/12</f>
        <v>0.84048373862317871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10.753122654721663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317.99999999999972</v>
      </c>
      <c r="O156" s="14">
        <f>N156*VLOOKUP('Données projet'!$B$9,Paramètres!$A$1:$I$89,3,0)*VLOOKUP('Données projet'!$B$9,Paramètres!$A$1:$I$89,5,0)</f>
        <v>253.0007999999998</v>
      </c>
      <c r="P156" s="14">
        <f t="shared" si="141"/>
        <v>61.228070105968683</v>
      </c>
      <c r="Q156" s="22">
        <f t="shared" si="162"/>
        <v>547.28194876789507</v>
      </c>
      <c r="R156" s="62">
        <f t="shared" si="109"/>
        <v>840.61528210122833</v>
      </c>
      <c r="S156" s="62">
        <f ca="1">AVERAGE(OFFSET($R$3,0,0,'Données projet'!$E$9+1,1))-AVERAGE(OFFSET($H$3,0,0,'Données projet'!$E$9+1,1))</f>
        <v>352.5736659365665</v>
      </c>
      <c r="T156" s="62">
        <f t="shared" si="142"/>
        <v>343.77208530767069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1.1798064062035518</v>
      </c>
      <c r="AA156" s="23">
        <f>EXP(-LN(2)/25)*AA155+(1-EXP(-LN(2)/25))/(LN(2)/25)*Calculateur!V156*Calculateur!X156*VLOOKUP('Données projet'!$B$9,Paramètres!$A$1:$I$89,3,0)*0.475*44/12</f>
        <v>0.78350388963613704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1.9633102958396889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3.7243808037601412E-14</v>
      </c>
      <c r="AK156" s="14">
        <f t="shared" si="164"/>
        <v>6.2767589361185393E-13</v>
      </c>
      <c r="AL156" s="22">
        <f t="shared" si="165"/>
        <v>1.1580684803728015E-12</v>
      </c>
      <c r="AM156" s="62">
        <f t="shared" si="113"/>
        <v>293.33333333333445</v>
      </c>
      <c r="AN156" s="62">
        <f ca="1">AVERAGE(OFFSET($AM$3,0,0,'Données projet'!$E$10+1,1))-AVERAGE(OFFSET($H$3,0,0,'Données projet'!$E$10+1,1))</f>
        <v>210.08998695869161</v>
      </c>
      <c r="AO156" s="62">
        <f t="shared" si="144"/>
        <v>207.30911916430881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5.6645202958833615E-20</v>
      </c>
      <c r="AX156" s="23">
        <f t="shared" si="166"/>
        <v>5.6645202958833615E-20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335.83558218229564</v>
      </c>
      <c r="BJ156" s="62">
        <f t="shared" si="146"/>
        <v>217.08423061559648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6.431600271168698E-18</v>
      </c>
      <c r="BS156" s="24">
        <f t="shared" si="169"/>
        <v>6.431600271168698E-18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5.6843418860808015E-14</v>
      </c>
      <c r="BZ156" s="14">
        <f>BY156*VLOOKUP('Données projet'!$B$12,Paramètres!$A$1:$I$89,3,0)*VLOOKUP('Données projet'!$B$12,Paramètres!$A$1:$I$89,5,0)</f>
        <v>4.4337866711430253E-14</v>
      </c>
      <c r="CA156" s="14">
        <f t="shared" si="170"/>
        <v>7.3222115536967035E-13</v>
      </c>
      <c r="CB156" s="22">
        <f t="shared" si="171"/>
        <v>1.3525069634579169E-12</v>
      </c>
      <c r="CC156" s="62">
        <f t="shared" si="119"/>
        <v>293.33333333333468</v>
      </c>
      <c r="CD156" s="62">
        <f ca="1">AVERAGE(OFFSET($CC$3,0,0,'Données projet'!$E$12+1,1))-AVERAGE(OFFSET($H$3,0,0,'Données projet'!$E$12+1,1))</f>
        <v>288.82868507674738</v>
      </c>
      <c r="CE156" s="62">
        <f t="shared" si="148"/>
        <v>283.48738729114024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0.16092175913134246</v>
      </c>
      <c r="CM156" s="23">
        <f>EXP(-LN(2)/2)*CM155+(1-EXP(-LN(2)/2))/(LN(2)/2)*CG156*CJ156*VLOOKUP('Données projet'!$B$12,Paramètres!$A$1:$I$89,3,0)*0.475*44/12</f>
        <v>7.9110877944177834E-19</v>
      </c>
      <c r="CN156" s="24">
        <f t="shared" si="172"/>
        <v>0.16092175913134246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317.99999999999972</v>
      </c>
      <c r="CU156" s="18">
        <f>CT156*VLOOKUP('Données projet'!$B$13,Paramètres!$A$1:$I$89,3,0)*VLOOKUP('Données projet'!$B$13,Paramètres!$A$1:$I$89,5,0)</f>
        <v>277.80479999999983</v>
      </c>
      <c r="CV156" s="14">
        <f t="shared" si="173"/>
        <v>66.50288772038418</v>
      </c>
      <c r="CW156" s="22">
        <f t="shared" si="174"/>
        <v>599.66922277966887</v>
      </c>
      <c r="CX156" s="62">
        <f t="shared" si="122"/>
        <v>893.00255611300213</v>
      </c>
      <c r="CY156" s="62">
        <f ca="1">AVERAGE(OFFSET($CX$3,0,0,'Données projet'!$E$13+1,1))-AVERAGE(OFFSET($H$3,0,0,'Données projet'!$E$13+1,1))</f>
        <v>383.46266660377637</v>
      </c>
      <c r="CZ156" s="62">
        <f t="shared" si="150"/>
        <v>373.1287543230714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0.53035269916431305</v>
      </c>
      <c r="DH156" s="23">
        <f>EXP(-LN(2)/2)*DH155+(1-EXP(-LN(2)/2))/(LN(2)/2)*DB156*DE156*VLOOKUP('Données projet'!$B$13,Paramètres!$A$1:$I$89,3,0)*0.475*44/12</f>
        <v>6.5123382128948417E-18</v>
      </c>
      <c r="DI156" s="24">
        <f t="shared" si="175"/>
        <v>0.53035269916431305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>
        <f>DO156*VLOOKUP('Données projet'!$B$14,Paramètres!$A$1:$I$89,3,0)*VLOOKUP('Données projet'!$B$14,Paramètres!$A$1:$I$89,5,0)</f>
        <v>0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96.56611521638132</v>
      </c>
      <c r="DU156" s="62">
        <f t="shared" si="152"/>
        <v>465.03257878814094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7.2129275392198551</v>
      </c>
      <c r="EB156" s="23">
        <f>EXP(-LN(2)/25)*EB155+(1-EXP(-LN(2)/25))/(LN(2)/25)*Calculateur!DW156*Calculateur!DY156*VLOOKUP('Données projet'!$B$14,Paramètres!$A$1:$I$89,3,0)*0.475*44/12</f>
        <v>0.60675205399819776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7.8196795932180532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317.99999999999972</v>
      </c>
      <c r="EK156" s="18">
        <f>EJ156*VLOOKUP('Données projet'!$B$15,Paramètres!$A$1:$I$89,3,0)*VLOOKUP('Données projet'!$B$15,Paramètres!$A$1:$I$89,5,0)</f>
        <v>257.96159999999981</v>
      </c>
      <c r="EL156" s="14">
        <f t="shared" si="179"/>
        <v>62.287674609742425</v>
      </c>
      <c r="EM156" s="22">
        <f t="shared" si="180"/>
        <v>557.76748661196768</v>
      </c>
      <c r="EN156" s="62">
        <f t="shared" si="128"/>
        <v>851.10081994530105</v>
      </c>
      <c r="EO156" s="62">
        <f ca="1">AVERAGE(OFFSET($EN$3,0,0,'Données projet'!$E$15+1,1))-AVERAGE(OFFSET($H$3,0,0,'Données projet'!$E$15+1,1))</f>
        <v>358.75637627589799</v>
      </c>
      <c r="EP156" s="62">
        <f t="shared" si="154"/>
        <v>349.64821164483607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0.84605356341171456</v>
      </c>
      <c r="EW156" s="23">
        <f>EXP(-LN(2)/25)*EW155+(1-EXP(-LN(2)/25))/(LN(2)/25)*Calculateur!ER156*Calculateur!ET156*VLOOKUP('Données projet'!$B$15,Paramètres!$A$1:$I$89,3,0)*0.475*44/12</f>
        <v>0.50664030934433757</v>
      </c>
      <c r="EX156" s="23">
        <f>EXP(-LN(2)/2)*EX155+(1-EXP(-LN(2)/2))/(LN(2)/2)*ER156*EU156*VLOOKUP('Données projet'!$B$15,Paramètres!$A$1:$I$89,3,0)*0.475*44/12</f>
        <v>1.1181941417621375E-18</v>
      </c>
      <c r="EY156" s="24">
        <f t="shared" si="181"/>
        <v>1.3526938727560522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>
        <f>FE156*VLOOKUP('Données projet'!$B$16,Paramètres!$A$1:$I$89,3,0)*VLOOKUP('Données projet'!$B$16,Paramètres!$A$1:$I$89,5,0)</f>
        <v>0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121.28977654040114</v>
      </c>
      <c r="FK156" s="62">
        <f t="shared" si="156"/>
        <v>615.69585264342595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9.7182581130665273</v>
      </c>
      <c r="FR156" s="23">
        <f>EXP(-LN(2)/25)*FR155+(1-EXP(-LN(2)/25))/(LN(2)/25)*Calculateur!FM156*Calculateur!FO156*VLOOKUP('Données projet'!$B$16,Paramètres!$A$1:$I$89,3,0)*0.475*44/12</f>
        <v>0.81750066659140908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10.535758779657936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317.99999999999972</v>
      </c>
      <c r="O157" s="14">
        <f>N157*VLOOKUP('Données projet'!$B$9,Paramètres!$A$1:$I$89,3,0)*VLOOKUP('Données projet'!$B$9,Paramètres!$A$1:$I$89,5,0)</f>
        <v>253.0007999999998</v>
      </c>
      <c r="P157" s="14">
        <f t="shared" si="141"/>
        <v>61.228070105968683</v>
      </c>
      <c r="Q157" s="22">
        <f t="shared" si="162"/>
        <v>547.28194876789507</v>
      </c>
      <c r="R157" s="62">
        <f t="shared" si="109"/>
        <v>840.61528210122833</v>
      </c>
      <c r="S157" s="62">
        <f ca="1">AVERAGE(OFFSET($R$3,0,0,'Données projet'!$E$9+1,1))-AVERAGE(OFFSET($H$3,0,0,'Données projet'!$E$9+1,1))</f>
        <v>352.5736659365665</v>
      </c>
      <c r="T157" s="62">
        <f t="shared" si="142"/>
        <v>343.77208530767069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1.1566711221887522</v>
      </c>
      <c r="AA157" s="23">
        <f>EXP(-LN(2)/25)*AA156+(1-EXP(-LN(2)/25))/(LN(2)/25)*Calculateur!V157*Calculateur!X157*VLOOKUP('Données projet'!$B$9,Paramètres!$A$1:$I$89,3,0)*0.475*44/12</f>
        <v>0.762078934571358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1.9187500567601101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3.7243808037601412E-14</v>
      </c>
      <c r="AK157" s="14">
        <f t="shared" si="164"/>
        <v>6.2767589361185393E-13</v>
      </c>
      <c r="AL157" s="22">
        <f t="shared" si="165"/>
        <v>1.1580684803728015E-12</v>
      </c>
      <c r="AM157" s="62">
        <f t="shared" si="113"/>
        <v>293.33333333333445</v>
      </c>
      <c r="AN157" s="62">
        <f ca="1">AVERAGE(OFFSET($AM$3,0,0,'Données projet'!$E$10+1,1))-AVERAGE(OFFSET($H$3,0,0,'Données projet'!$E$10+1,1))</f>
        <v>210.08998695869161</v>
      </c>
      <c r="AO157" s="62">
        <f t="shared" si="144"/>
        <v>207.30911916430881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4.0054207133879537E-20</v>
      </c>
      <c r="AX157" s="23">
        <f t="shared" si="166"/>
        <v>4.0054207133879537E-20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335.83558218229564</v>
      </c>
      <c r="BJ157" s="62">
        <f t="shared" si="146"/>
        <v>217.08423061559648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4.5478281656246242E-18</v>
      </c>
      <c r="BS157" s="24">
        <f t="shared" si="169"/>
        <v>4.5478281656246242E-18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5.6843418860808015E-14</v>
      </c>
      <c r="BZ157" s="14">
        <f>BY157*VLOOKUP('Données projet'!$B$12,Paramètres!$A$1:$I$89,3,0)*VLOOKUP('Données projet'!$B$12,Paramètres!$A$1:$I$89,5,0)</f>
        <v>4.4337866711430253E-14</v>
      </c>
      <c r="CA157" s="14">
        <f t="shared" si="170"/>
        <v>7.3222115536967035E-13</v>
      </c>
      <c r="CB157" s="22">
        <f t="shared" si="171"/>
        <v>1.3525069634579169E-12</v>
      </c>
      <c r="CC157" s="62">
        <f t="shared" si="119"/>
        <v>293.33333333333468</v>
      </c>
      <c r="CD157" s="62">
        <f ca="1">AVERAGE(OFFSET($CC$3,0,0,'Données projet'!$E$12+1,1))-AVERAGE(OFFSET($H$3,0,0,'Données projet'!$E$12+1,1))</f>
        <v>288.82868507674738</v>
      </c>
      <c r="CE157" s="62">
        <f t="shared" si="148"/>
        <v>283.48738729114024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0.15652134516538838</v>
      </c>
      <c r="CM157" s="23">
        <f>EXP(-LN(2)/2)*CM156+(1-EXP(-LN(2)/2))/(LN(2)/2)*CG157*CJ157*VLOOKUP('Données projet'!$B$12,Paramètres!$A$1:$I$89,3,0)*0.475*44/12</f>
        <v>5.5939838259949424E-19</v>
      </c>
      <c r="CN157" s="24">
        <f t="shared" si="172"/>
        <v>0.15652134516538838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317.99999999999972</v>
      </c>
      <c r="CU157" s="18">
        <f>CT157*VLOOKUP('Données projet'!$B$13,Paramètres!$A$1:$I$89,3,0)*VLOOKUP('Données projet'!$B$13,Paramètres!$A$1:$I$89,5,0)</f>
        <v>277.80479999999983</v>
      </c>
      <c r="CV157" s="14">
        <f t="shared" si="173"/>
        <v>66.50288772038418</v>
      </c>
      <c r="CW157" s="22">
        <f t="shared" si="174"/>
        <v>599.66922277966887</v>
      </c>
      <c r="CX157" s="62">
        <f t="shared" si="122"/>
        <v>893.00255611300213</v>
      </c>
      <c r="CY157" s="62">
        <f ca="1">AVERAGE(OFFSET($CX$3,0,0,'Données projet'!$E$13+1,1))-AVERAGE(OFFSET($H$3,0,0,'Données projet'!$E$13+1,1))</f>
        <v>383.46266660377637</v>
      </c>
      <c r="CZ157" s="62">
        <f t="shared" si="150"/>
        <v>373.1287543230714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0.51585017671562861</v>
      </c>
      <c r="DH157" s="23">
        <f>EXP(-LN(2)/2)*DH156+(1-EXP(-LN(2)/2))/(LN(2)/2)*DB157*DE157*VLOOKUP('Données projet'!$B$13,Paramètres!$A$1:$I$89,3,0)*0.475*44/12</f>
        <v>4.6049185117182247E-18</v>
      </c>
      <c r="DI157" s="24">
        <f t="shared" si="175"/>
        <v>0.51585017671562861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>
        <f>DO157*VLOOKUP('Données projet'!$B$14,Paramètres!$A$1:$I$89,3,0)*VLOOKUP('Données projet'!$B$14,Paramètres!$A$1:$I$89,5,0)</f>
        <v>0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96.56611521638132</v>
      </c>
      <c r="DU157" s="62">
        <f t="shared" si="152"/>
        <v>465.03257878814094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7.0714864296271429</v>
      </c>
      <c r="EB157" s="23">
        <f>EXP(-LN(2)/25)*EB156+(1-EXP(-LN(2)/25))/(LN(2)/25)*Calculateur!DW157*Calculateur!DY157*VLOOKUP('Données projet'!$B$14,Paramètres!$A$1:$I$89,3,0)*0.475*44/12</f>
        <v>0.59016038717391328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7.6616468168010563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317.99999999999972</v>
      </c>
      <c r="EK157" s="18">
        <f>EJ157*VLOOKUP('Données projet'!$B$15,Paramètres!$A$1:$I$89,3,0)*VLOOKUP('Données projet'!$B$15,Paramètres!$A$1:$I$89,5,0)</f>
        <v>257.96159999999981</v>
      </c>
      <c r="EL157" s="14">
        <f t="shared" si="179"/>
        <v>62.287674609742425</v>
      </c>
      <c r="EM157" s="22">
        <f t="shared" si="180"/>
        <v>557.76748661196768</v>
      </c>
      <c r="EN157" s="62">
        <f t="shared" si="128"/>
        <v>851.10081994530105</v>
      </c>
      <c r="EO157" s="62">
        <f ca="1">AVERAGE(OFFSET($EN$3,0,0,'Données projet'!$E$15+1,1))-AVERAGE(OFFSET($H$3,0,0,'Données projet'!$E$15+1,1))</f>
        <v>358.75637627589799</v>
      </c>
      <c r="EP157" s="62">
        <f t="shared" si="154"/>
        <v>349.64821164483607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0.82946296907492967</v>
      </c>
      <c r="EW157" s="23">
        <f>EXP(-LN(2)/25)*EW156+(1-EXP(-LN(2)/25))/(LN(2)/25)*Calculateur!ER157*Calculateur!ET157*VLOOKUP('Données projet'!$B$15,Paramètres!$A$1:$I$89,3,0)*0.475*44/12</f>
        <v>0.49278620344226071</v>
      </c>
      <c r="EX157" s="23">
        <f>EXP(-LN(2)/2)*EX156+(1-EXP(-LN(2)/2))/(LN(2)/2)*ER157*EU157*VLOOKUP('Données projet'!$B$15,Paramètres!$A$1:$I$89,3,0)*0.475*44/12</f>
        <v>7.9068266032307904E-19</v>
      </c>
      <c r="EY157" s="24">
        <f t="shared" si="181"/>
        <v>1.3222491725171903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>
        <f>FE157*VLOOKUP('Données projet'!$B$16,Paramètres!$A$1:$I$89,3,0)*VLOOKUP('Données projet'!$B$16,Paramètres!$A$1:$I$89,5,0)</f>
        <v>0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121.28977654040114</v>
      </c>
      <c r="FK157" s="62">
        <f t="shared" si="156"/>
        <v>615.69585264342595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9.5276889990214446</v>
      </c>
      <c r="FR157" s="23">
        <f>EXP(-LN(2)/25)*FR156+(1-EXP(-LN(2)/25))/(LN(2)/25)*Calculateur!FM157*Calculateur!FO157*VLOOKUP('Données projet'!$B$16,Paramètres!$A$1:$I$89,3,0)*0.475*44/12</f>
        <v>0.79514606787297537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10.32283506689442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317.99999999999972</v>
      </c>
      <c r="O158" s="14">
        <f>N158*VLOOKUP('Données projet'!$B$9,Paramètres!$A$1:$I$89,3,0)*VLOOKUP('Données projet'!$B$9,Paramètres!$A$1:$I$89,5,0)</f>
        <v>253.0007999999998</v>
      </c>
      <c r="P158" s="14">
        <f t="shared" si="141"/>
        <v>61.228070105968683</v>
      </c>
      <c r="Q158" s="22">
        <f t="shared" si="162"/>
        <v>547.28194876789507</v>
      </c>
      <c r="R158" s="62">
        <f t="shared" si="109"/>
        <v>840.61528210122833</v>
      </c>
      <c r="S158" s="62">
        <f ca="1">AVERAGE(OFFSET($R$3,0,0,'Données projet'!$E$9+1,1))-AVERAGE(OFFSET($H$3,0,0,'Données projet'!$E$9+1,1))</f>
        <v>352.5736659365665</v>
      </c>
      <c r="T158" s="62">
        <f t="shared" si="142"/>
        <v>343.77208530767069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1.1339895069823531</v>
      </c>
      <c r="AA158" s="23">
        <f>EXP(-LN(2)/25)*AA157+(1-EXP(-LN(2)/25))/(LN(2)/25)*Calculateur!V158*Calculateur!X158*VLOOKUP('Données projet'!$B$9,Paramètres!$A$1:$I$89,3,0)*0.475*44/12</f>
        <v>0.74123984602951476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1.8752293530118678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3.7243808037601412E-14</v>
      </c>
      <c r="AK158" s="14">
        <f t="shared" si="164"/>
        <v>6.2767589361185393E-13</v>
      </c>
      <c r="AL158" s="22">
        <f t="shared" si="165"/>
        <v>1.1580684803728015E-12</v>
      </c>
      <c r="AM158" s="62">
        <f t="shared" si="113"/>
        <v>293.33333333333445</v>
      </c>
      <c r="AN158" s="62">
        <f ca="1">AVERAGE(OFFSET($AM$3,0,0,'Données projet'!$E$10+1,1))-AVERAGE(OFFSET($H$3,0,0,'Données projet'!$E$10+1,1))</f>
        <v>210.08998695869161</v>
      </c>
      <c r="AO158" s="62">
        <f t="shared" si="144"/>
        <v>207.30911916430881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2.8322601479416807E-20</v>
      </c>
      <c r="AX158" s="23">
        <f t="shared" si="166"/>
        <v>2.8322601479416807E-20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335.83558218229564</v>
      </c>
      <c r="BJ158" s="62">
        <f t="shared" si="146"/>
        <v>217.08423061559648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3.215800135584349E-18</v>
      </c>
      <c r="BS158" s="24">
        <f t="shared" si="169"/>
        <v>3.215800135584349E-18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5.6843418860808015E-14</v>
      </c>
      <c r="BZ158" s="14">
        <f>BY158*VLOOKUP('Données projet'!$B$12,Paramètres!$A$1:$I$89,3,0)*VLOOKUP('Données projet'!$B$12,Paramètres!$A$1:$I$89,5,0)</f>
        <v>4.4337866711430253E-14</v>
      </c>
      <c r="CA158" s="14">
        <f t="shared" si="170"/>
        <v>7.3222115536967035E-13</v>
      </c>
      <c r="CB158" s="22">
        <f t="shared" si="171"/>
        <v>1.3525069634579169E-12</v>
      </c>
      <c r="CC158" s="62">
        <f t="shared" si="119"/>
        <v>293.33333333333468</v>
      </c>
      <c r="CD158" s="62">
        <f ca="1">AVERAGE(OFFSET($CC$3,0,0,'Données projet'!$E$12+1,1))-AVERAGE(OFFSET($H$3,0,0,'Données projet'!$E$12+1,1))</f>
        <v>288.82868507674738</v>
      </c>
      <c r="CE158" s="62">
        <f t="shared" si="148"/>
        <v>283.48738729114024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0.15224126075074101</v>
      </c>
      <c r="CM158" s="23">
        <f>EXP(-LN(2)/2)*CM157+(1-EXP(-LN(2)/2))/(LN(2)/2)*CG158*CJ158*VLOOKUP('Données projet'!$B$12,Paramètres!$A$1:$I$89,3,0)*0.475*44/12</f>
        <v>3.9555438972088917E-19</v>
      </c>
      <c r="CN158" s="24">
        <f t="shared" si="172"/>
        <v>0.15224126075074101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317.99999999999972</v>
      </c>
      <c r="CU158" s="18">
        <f>CT158*VLOOKUP('Données projet'!$B$13,Paramètres!$A$1:$I$89,3,0)*VLOOKUP('Données projet'!$B$13,Paramètres!$A$1:$I$89,5,0)</f>
        <v>277.80479999999983</v>
      </c>
      <c r="CV158" s="14">
        <f t="shared" si="173"/>
        <v>66.50288772038418</v>
      </c>
      <c r="CW158" s="22">
        <f t="shared" si="174"/>
        <v>599.66922277966887</v>
      </c>
      <c r="CX158" s="62">
        <f t="shared" si="122"/>
        <v>893.00255611300213</v>
      </c>
      <c r="CY158" s="62">
        <f ca="1">AVERAGE(OFFSET($CX$3,0,0,'Données projet'!$E$13+1,1))-AVERAGE(OFFSET($H$3,0,0,'Données projet'!$E$13+1,1))</f>
        <v>383.46266660377637</v>
      </c>
      <c r="CZ158" s="62">
        <f t="shared" si="150"/>
        <v>373.1287543230714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0.50174422650595796</v>
      </c>
      <c r="DH158" s="23">
        <f>EXP(-LN(2)/2)*DH157+(1-EXP(-LN(2)/2))/(LN(2)/2)*DB158*DE158*VLOOKUP('Données projet'!$B$13,Paramètres!$A$1:$I$89,3,0)*0.475*44/12</f>
        <v>3.2561691064474208E-18</v>
      </c>
      <c r="DI158" s="24">
        <f t="shared" si="175"/>
        <v>0.50174422650595796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>
        <f>DO158*VLOOKUP('Données projet'!$B$14,Paramètres!$A$1:$I$89,3,0)*VLOOKUP('Données projet'!$B$14,Paramètres!$A$1:$I$89,5,0)</f>
        <v>0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96.56611521638132</v>
      </c>
      <c r="DU158" s="62">
        <f t="shared" si="152"/>
        <v>465.03257878814094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6.9328188939229856</v>
      </c>
      <c r="EB158" s="23">
        <f>EXP(-LN(2)/25)*EB157+(1-EXP(-LN(2)/25))/(LN(2)/25)*Calculateur!DW158*Calculateur!DY158*VLOOKUP('Données projet'!$B$14,Paramètres!$A$1:$I$89,3,0)*0.475*44/12</f>
        <v>0.57402242035145667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7.5068413142744426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317.99999999999972</v>
      </c>
      <c r="EK158" s="18">
        <f>EJ158*VLOOKUP('Données projet'!$B$15,Paramètres!$A$1:$I$89,3,0)*VLOOKUP('Données projet'!$B$15,Paramètres!$A$1:$I$89,5,0)</f>
        <v>257.96159999999981</v>
      </c>
      <c r="EL158" s="14">
        <f t="shared" si="179"/>
        <v>62.287674609742425</v>
      </c>
      <c r="EM158" s="22">
        <f t="shared" si="180"/>
        <v>557.76748661196768</v>
      </c>
      <c r="EN158" s="62">
        <f t="shared" si="128"/>
        <v>851.10081994530105</v>
      </c>
      <c r="EO158" s="62">
        <f ca="1">AVERAGE(OFFSET($EN$3,0,0,'Données projet'!$E$15+1,1))-AVERAGE(OFFSET($H$3,0,0,'Données projet'!$E$15+1,1))</f>
        <v>358.75637627589799</v>
      </c>
      <c r="EP158" s="62">
        <f t="shared" si="154"/>
        <v>349.64821164483607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0.8131977061738257</v>
      </c>
      <c r="EW158" s="23">
        <f>EXP(-LN(2)/25)*EW157+(1-EXP(-LN(2)/25))/(LN(2)/25)*Calculateur!ER158*Calculateur!ET158*VLOOKUP('Données projet'!$B$15,Paramètres!$A$1:$I$89,3,0)*0.475*44/12</f>
        <v>0.47931093879463194</v>
      </c>
      <c r="EX158" s="23">
        <f>EXP(-LN(2)/2)*EX157+(1-EXP(-LN(2)/2))/(LN(2)/2)*ER158*EU158*VLOOKUP('Données projet'!$B$15,Paramètres!$A$1:$I$89,3,0)*0.475*44/12</f>
        <v>5.5909707088106873E-19</v>
      </c>
      <c r="EY158" s="24">
        <f t="shared" si="181"/>
        <v>1.2925086449684575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>
        <f>FE158*VLOOKUP('Données projet'!$B$16,Paramètres!$A$1:$I$89,3,0)*VLOOKUP('Données projet'!$B$16,Paramètres!$A$1:$I$89,5,0)</f>
        <v>0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121.28977654040114</v>
      </c>
      <c r="FK158" s="62">
        <f t="shared" si="156"/>
        <v>615.69585264342595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9.3408568290671035</v>
      </c>
      <c r="FR158" s="23">
        <f>EXP(-LN(2)/25)*FR157+(1-EXP(-LN(2)/25))/(LN(2)/25)*Calculateur!FM158*Calculateur!FO158*VLOOKUP('Données projet'!$B$16,Paramètres!$A$1:$I$89,3,0)*0.475*44/12</f>
        <v>0.77340275683207449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10.114259585899179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317.99999999999972</v>
      </c>
      <c r="O159" s="14">
        <f>N159*VLOOKUP('Données projet'!$B$9,Paramètres!$A$1:$I$89,3,0)*VLOOKUP('Données projet'!$B$9,Paramètres!$A$1:$I$89,5,0)</f>
        <v>253.0007999999998</v>
      </c>
      <c r="P159" s="14">
        <f t="shared" si="141"/>
        <v>61.228070105968683</v>
      </c>
      <c r="Q159" s="22">
        <f t="shared" si="162"/>
        <v>547.28194876789507</v>
      </c>
      <c r="R159" s="62">
        <f t="shared" si="109"/>
        <v>840.61528210122833</v>
      </c>
      <c r="S159" s="62">
        <f ca="1">AVERAGE(OFFSET($R$3,0,0,'Données projet'!$E$9+1,1))-AVERAGE(OFFSET($H$3,0,0,'Données projet'!$E$9+1,1))</f>
        <v>352.5736659365665</v>
      </c>
      <c r="T159" s="62">
        <f t="shared" si="142"/>
        <v>343.77208530767069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1.1117526644157321</v>
      </c>
      <c r="AA159" s="23">
        <f>EXP(-LN(2)/25)*AA158+(1-EXP(-LN(2)/25))/(LN(2)/25)*Calculateur!V159*Calculateur!X159*VLOOKUP('Données projet'!$B$9,Paramètres!$A$1:$I$89,3,0)*0.475*44/12</f>
        <v>0.7209706034597283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1.8327232678754604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3.7243808037601412E-14</v>
      </c>
      <c r="AK159" s="14">
        <f t="shared" si="164"/>
        <v>6.2767589361185393E-13</v>
      </c>
      <c r="AL159" s="22">
        <f t="shared" si="165"/>
        <v>1.1580684803728015E-12</v>
      </c>
      <c r="AM159" s="62">
        <f t="shared" si="113"/>
        <v>293.33333333333445</v>
      </c>
      <c r="AN159" s="62">
        <f ca="1">AVERAGE(OFFSET($AM$3,0,0,'Données projet'!$E$10+1,1))-AVERAGE(OFFSET($H$3,0,0,'Données projet'!$E$10+1,1))</f>
        <v>210.08998695869161</v>
      </c>
      <c r="AO159" s="62">
        <f t="shared" si="144"/>
        <v>207.30911916430881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2.0027103566939768E-20</v>
      </c>
      <c r="AX159" s="23">
        <f t="shared" si="166"/>
        <v>2.0027103566939768E-20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335.83558218229564</v>
      </c>
      <c r="BJ159" s="62">
        <f t="shared" si="146"/>
        <v>217.08423061559648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2.2739140828123121E-18</v>
      </c>
      <c r="BS159" s="24">
        <f t="shared" si="169"/>
        <v>2.2739140828123121E-18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5.6843418860808015E-14</v>
      </c>
      <c r="BZ159" s="14">
        <f>BY159*VLOOKUP('Données projet'!$B$12,Paramètres!$A$1:$I$89,3,0)*VLOOKUP('Données projet'!$B$12,Paramètres!$A$1:$I$89,5,0)</f>
        <v>4.4337866711430253E-14</v>
      </c>
      <c r="CA159" s="14">
        <f t="shared" si="170"/>
        <v>7.3222115536967035E-13</v>
      </c>
      <c r="CB159" s="22">
        <f t="shared" si="171"/>
        <v>1.3525069634579169E-12</v>
      </c>
      <c r="CC159" s="62">
        <f t="shared" si="119"/>
        <v>293.33333333333468</v>
      </c>
      <c r="CD159" s="62">
        <f ca="1">AVERAGE(OFFSET($CC$3,0,0,'Données projet'!$E$12+1,1))-AVERAGE(OFFSET($H$3,0,0,'Données projet'!$E$12+1,1))</f>
        <v>288.82868507674738</v>
      </c>
      <c r="CE159" s="62">
        <f t="shared" si="148"/>
        <v>283.48738729114024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0.14807821546949204</v>
      </c>
      <c r="CM159" s="23">
        <f>EXP(-LN(2)/2)*CM158+(1-EXP(-LN(2)/2))/(LN(2)/2)*CG159*CJ159*VLOOKUP('Données projet'!$B$12,Paramètres!$A$1:$I$89,3,0)*0.475*44/12</f>
        <v>2.7969919129974712E-19</v>
      </c>
      <c r="CN159" s="24">
        <f t="shared" si="172"/>
        <v>0.14807821546949204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317.99999999999972</v>
      </c>
      <c r="CU159" s="18">
        <f>CT159*VLOOKUP('Données projet'!$B$13,Paramètres!$A$1:$I$89,3,0)*VLOOKUP('Données projet'!$B$13,Paramètres!$A$1:$I$89,5,0)</f>
        <v>277.80479999999983</v>
      </c>
      <c r="CV159" s="14">
        <f t="shared" si="173"/>
        <v>66.50288772038418</v>
      </c>
      <c r="CW159" s="22">
        <f t="shared" si="174"/>
        <v>599.66922277966887</v>
      </c>
      <c r="CX159" s="62">
        <f t="shared" si="122"/>
        <v>893.00255611300213</v>
      </c>
      <c r="CY159" s="62">
        <f ca="1">AVERAGE(OFFSET($CX$3,0,0,'Données projet'!$E$13+1,1))-AVERAGE(OFFSET($H$3,0,0,'Données projet'!$E$13+1,1))</f>
        <v>383.46266660377637</v>
      </c>
      <c r="CZ159" s="62">
        <f t="shared" si="150"/>
        <v>373.1287543230714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0.48802400424657044</v>
      </c>
      <c r="DH159" s="23">
        <f>EXP(-LN(2)/2)*DH158+(1-EXP(-LN(2)/2))/(LN(2)/2)*DB159*DE159*VLOOKUP('Données projet'!$B$13,Paramètres!$A$1:$I$89,3,0)*0.475*44/12</f>
        <v>2.3024592558591124E-18</v>
      </c>
      <c r="DI159" s="24">
        <f t="shared" si="175"/>
        <v>0.48802400424657044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>
        <f>DO159*VLOOKUP('Données projet'!$B$14,Paramètres!$A$1:$I$89,3,0)*VLOOKUP('Données projet'!$B$14,Paramètres!$A$1:$I$89,5,0)</f>
        <v>0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96.56611521638132</v>
      </c>
      <c r="DU159" s="62">
        <f t="shared" si="152"/>
        <v>465.03257878814094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6.7968705440151416</v>
      </c>
      <c r="EB159" s="23">
        <f>EXP(-LN(2)/25)*EB158+(1-EXP(-LN(2)/25))/(LN(2)/25)*Calculateur!DW159*Calculateur!DY159*VLOOKUP('Données projet'!$B$14,Paramètres!$A$1:$I$89,3,0)*0.475*44/12</f>
        <v>0.55832574708041893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7.3551962910955604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317.99999999999972</v>
      </c>
      <c r="EK159" s="18">
        <f>EJ159*VLOOKUP('Données projet'!$B$15,Paramètres!$A$1:$I$89,3,0)*VLOOKUP('Données projet'!$B$15,Paramètres!$A$1:$I$89,5,0)</f>
        <v>257.96159999999981</v>
      </c>
      <c r="EL159" s="14">
        <f t="shared" si="179"/>
        <v>62.287674609742425</v>
      </c>
      <c r="EM159" s="22">
        <f t="shared" si="180"/>
        <v>557.76748661196768</v>
      </c>
      <c r="EN159" s="62">
        <f t="shared" si="128"/>
        <v>851.10081994530105</v>
      </c>
      <c r="EO159" s="62">
        <f ca="1">AVERAGE(OFFSET($EN$3,0,0,'Données projet'!$E$15+1,1))-AVERAGE(OFFSET($H$3,0,0,'Données projet'!$E$15+1,1))</f>
        <v>358.75637627589799</v>
      </c>
      <c r="EP159" s="62">
        <f t="shared" si="154"/>
        <v>349.64821164483607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0.79725139515738164</v>
      </c>
      <c r="EW159" s="23">
        <f>EXP(-LN(2)/25)*EW158+(1-EXP(-LN(2)/25))/(LN(2)/25)*Calculateur!ER159*Calculateur!ET159*VLOOKUP('Données projet'!$B$15,Paramètres!$A$1:$I$89,3,0)*0.475*44/12</f>
        <v>0.46620415596742593</v>
      </c>
      <c r="EX159" s="23">
        <f>EXP(-LN(2)/2)*EX158+(1-EXP(-LN(2)/2))/(LN(2)/2)*ER159*EU159*VLOOKUP('Données projet'!$B$15,Paramètres!$A$1:$I$89,3,0)*0.475*44/12</f>
        <v>3.9534133016153952E-19</v>
      </c>
      <c r="EY159" s="24">
        <f t="shared" si="181"/>
        <v>1.2634555511248076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>
        <f>FE159*VLOOKUP('Données projet'!$B$16,Paramètres!$A$1:$I$89,3,0)*VLOOKUP('Données projet'!$B$16,Paramètres!$A$1:$I$89,5,0)</f>
        <v>0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121.28977654040114</v>
      </c>
      <c r="FK159" s="62">
        <f t="shared" si="156"/>
        <v>615.69585264342595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9.1576883240091949</v>
      </c>
      <c r="FR159" s="23">
        <f>EXP(-LN(2)/25)*FR158+(1-EXP(-LN(2)/25))/(LN(2)/25)*Calculateur!FM159*Calculateur!FO159*VLOOKUP('Données projet'!$B$16,Paramètres!$A$1:$I$89,3,0)*0.475*44/12</f>
        <v>0.7522540177750181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9.9099423417842125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317.99999999999972</v>
      </c>
      <c r="O160" s="14">
        <f>N160*VLOOKUP('Données projet'!$B$9,Paramètres!$A$1:$I$89,3,0)*VLOOKUP('Données projet'!$B$9,Paramètres!$A$1:$I$89,5,0)</f>
        <v>253.0007999999998</v>
      </c>
      <c r="P160" s="14">
        <f t="shared" si="141"/>
        <v>61.228070105968683</v>
      </c>
      <c r="Q160" s="22">
        <f t="shared" si="162"/>
        <v>547.28194876789507</v>
      </c>
      <c r="R160" s="62">
        <f t="shared" si="109"/>
        <v>840.61528210122833</v>
      </c>
      <c r="S160" s="62">
        <f ca="1">AVERAGE(OFFSET($R$3,0,0,'Données projet'!$E$9+1,1))-AVERAGE(OFFSET($H$3,0,0,'Données projet'!$E$9+1,1))</f>
        <v>352.5736659365665</v>
      </c>
      <c r="T160" s="62">
        <f t="shared" si="142"/>
        <v>343.77208530767069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1.0899518727687079</v>
      </c>
      <c r="AA160" s="23">
        <f>EXP(-LN(2)/25)*AA159+(1-EXP(-LN(2)/25))/(LN(2)/25)*Calculateur!V160*Calculateur!X160*VLOOKUP('Données projet'!$B$9,Paramètres!$A$1:$I$89,3,0)*0.475*44/12</f>
        <v>0.70125562439392575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1.7912074971626337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3.7243808037601412E-14</v>
      </c>
      <c r="AK160" s="14">
        <f t="shared" si="164"/>
        <v>6.2767589361185393E-13</v>
      </c>
      <c r="AL160" s="22">
        <f t="shared" si="165"/>
        <v>1.1580684803728015E-12</v>
      </c>
      <c r="AM160" s="62">
        <f t="shared" si="113"/>
        <v>293.33333333333445</v>
      </c>
      <c r="AN160" s="62">
        <f ca="1">AVERAGE(OFFSET($AM$3,0,0,'Données projet'!$E$10+1,1))-AVERAGE(OFFSET($H$3,0,0,'Données projet'!$E$10+1,1))</f>
        <v>210.08998695869161</v>
      </c>
      <c r="AO160" s="62">
        <f t="shared" si="144"/>
        <v>207.30911916430881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1.4161300739708404E-20</v>
      </c>
      <c r="AX160" s="23">
        <f t="shared" si="166"/>
        <v>1.4161300739708404E-20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335.83558218229564</v>
      </c>
      <c r="BJ160" s="62">
        <f t="shared" si="146"/>
        <v>217.08423061559648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1.6079000677921745E-18</v>
      </c>
      <c r="BS160" s="24">
        <f t="shared" si="169"/>
        <v>1.6079000677921745E-18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5.6843418860808015E-14</v>
      </c>
      <c r="BZ160" s="14">
        <f>BY160*VLOOKUP('Données projet'!$B$12,Paramètres!$A$1:$I$89,3,0)*VLOOKUP('Données projet'!$B$12,Paramètres!$A$1:$I$89,5,0)</f>
        <v>4.4337866711430253E-14</v>
      </c>
      <c r="CA160" s="14">
        <f t="shared" si="170"/>
        <v>7.3222115536967035E-13</v>
      </c>
      <c r="CB160" s="22">
        <f t="shared" si="171"/>
        <v>1.3525069634579169E-12</v>
      </c>
      <c r="CC160" s="62">
        <f t="shared" si="119"/>
        <v>293.33333333333468</v>
      </c>
      <c r="CD160" s="62">
        <f ca="1">AVERAGE(OFFSET($CC$3,0,0,'Données projet'!$E$12+1,1))-AVERAGE(OFFSET($H$3,0,0,'Données projet'!$E$12+1,1))</f>
        <v>288.82868507674738</v>
      </c>
      <c r="CE160" s="62">
        <f t="shared" si="148"/>
        <v>283.48738729114024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0.14402900888038386</v>
      </c>
      <c r="CM160" s="23">
        <f>EXP(-LN(2)/2)*CM159+(1-EXP(-LN(2)/2))/(LN(2)/2)*CG160*CJ160*VLOOKUP('Données projet'!$B$12,Paramètres!$A$1:$I$89,3,0)*0.475*44/12</f>
        <v>1.9777719486044458E-19</v>
      </c>
      <c r="CN160" s="24">
        <f t="shared" si="172"/>
        <v>0.14402900888038386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317.99999999999972</v>
      </c>
      <c r="CU160" s="18">
        <f>CT160*VLOOKUP('Données projet'!$B$13,Paramètres!$A$1:$I$89,3,0)*VLOOKUP('Données projet'!$B$13,Paramètres!$A$1:$I$89,5,0)</f>
        <v>277.80479999999983</v>
      </c>
      <c r="CV160" s="14">
        <f t="shared" si="173"/>
        <v>66.50288772038418</v>
      </c>
      <c r="CW160" s="22">
        <f t="shared" si="174"/>
        <v>599.66922277966887</v>
      </c>
      <c r="CX160" s="62">
        <f t="shared" si="122"/>
        <v>893.00255611300213</v>
      </c>
      <c r="CY160" s="62">
        <f ca="1">AVERAGE(OFFSET($CX$3,0,0,'Données projet'!$E$13+1,1))-AVERAGE(OFFSET($H$3,0,0,'Données projet'!$E$13+1,1))</f>
        <v>383.46266660377637</v>
      </c>
      <c r="CZ160" s="62">
        <f t="shared" si="150"/>
        <v>373.1287543230714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0.474678962186381</v>
      </c>
      <c r="DH160" s="23">
        <f>EXP(-LN(2)/2)*DH159+(1-EXP(-LN(2)/2))/(LN(2)/2)*DB160*DE160*VLOOKUP('Données projet'!$B$13,Paramètres!$A$1:$I$89,3,0)*0.475*44/12</f>
        <v>1.6280845532237104E-18</v>
      </c>
      <c r="DI160" s="24">
        <f t="shared" si="175"/>
        <v>0.474678962186381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>
        <f>DO160*VLOOKUP('Données projet'!$B$14,Paramètres!$A$1:$I$89,3,0)*VLOOKUP('Données projet'!$B$14,Paramètres!$A$1:$I$89,5,0)</f>
        <v>0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96.56611521638132</v>
      </c>
      <c r="DU160" s="62">
        <f t="shared" si="152"/>
        <v>465.03257878814094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6.6635880583286848</v>
      </c>
      <c r="EB160" s="23">
        <f>EXP(-LN(2)/25)*EB159+(1-EXP(-LN(2)/25))/(LN(2)/25)*Calculateur!DW160*Calculateur!DY160*VLOOKUP('Données projet'!$B$14,Paramètres!$A$1:$I$89,3,0)*0.475*44/12</f>
        <v>0.54305830016542989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7.2066463584941145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317.99999999999972</v>
      </c>
      <c r="EK160" s="18">
        <f>EJ160*VLOOKUP('Données projet'!$B$15,Paramètres!$A$1:$I$89,3,0)*VLOOKUP('Données projet'!$B$15,Paramètres!$A$1:$I$89,5,0)</f>
        <v>257.96159999999981</v>
      </c>
      <c r="EL160" s="14">
        <f t="shared" si="179"/>
        <v>62.287674609742425</v>
      </c>
      <c r="EM160" s="22">
        <f t="shared" si="180"/>
        <v>557.76748661196768</v>
      </c>
      <c r="EN160" s="62">
        <f t="shared" si="128"/>
        <v>851.10081994530105</v>
      </c>
      <c r="EO160" s="62">
        <f ca="1">AVERAGE(OFFSET($EN$3,0,0,'Données projet'!$E$15+1,1))-AVERAGE(OFFSET($H$3,0,0,'Données projet'!$E$15+1,1))</f>
        <v>358.75637627589799</v>
      </c>
      <c r="EP160" s="62">
        <f t="shared" si="154"/>
        <v>349.64821164483607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0.78161778157368078</v>
      </c>
      <c r="EW160" s="23">
        <f>EXP(-LN(2)/25)*EW159+(1-EXP(-LN(2)/25))/(LN(2)/25)*Calculateur!ER160*Calculateur!ET160*VLOOKUP('Données projet'!$B$15,Paramètres!$A$1:$I$89,3,0)*0.475*44/12</f>
        <v>0.45345577880588561</v>
      </c>
      <c r="EX160" s="23">
        <f>EXP(-LN(2)/2)*EX159+(1-EXP(-LN(2)/2))/(LN(2)/2)*ER160*EU160*VLOOKUP('Données projet'!$B$15,Paramètres!$A$1:$I$89,3,0)*0.475*44/12</f>
        <v>2.7954853544053436E-19</v>
      </c>
      <c r="EY160" s="24">
        <f t="shared" si="181"/>
        <v>1.2350735603795664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>
        <f>FE160*VLOOKUP('Données projet'!$B$16,Paramètres!$A$1:$I$89,3,0)*VLOOKUP('Données projet'!$B$16,Paramètres!$A$1:$I$89,5,0)</f>
        <v>0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121.28977654040114</v>
      </c>
      <c r="FK160" s="62">
        <f t="shared" si="156"/>
        <v>615.69585264342595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8.978111641613717</v>
      </c>
      <c r="FR160" s="23">
        <f>EXP(-LN(2)/25)*FR159+(1-EXP(-LN(2)/25))/(LN(2)/25)*Calculateur!FM160*Calculateur!FO160*VLOOKUP('Données projet'!$B$16,Paramètres!$A$1:$I$89,3,0)*0.475*44/12</f>
        <v>0.73168359209964073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9.7097952337133577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317.99999999999972</v>
      </c>
      <c r="O161" s="14">
        <f>N161*VLOOKUP('Données projet'!$B$9,Paramètres!$A$1:$I$89,3,0)*VLOOKUP('Données projet'!$B$9,Paramètres!$A$1:$I$89,5,0)</f>
        <v>253.0007999999998</v>
      </c>
      <c r="P161" s="14">
        <f t="shared" si="141"/>
        <v>61.228070105968683</v>
      </c>
      <c r="Q161" s="22">
        <f t="shared" si="162"/>
        <v>547.28194876789507</v>
      </c>
      <c r="R161" s="62">
        <f t="shared" si="109"/>
        <v>840.61528210122833</v>
      </c>
      <c r="S161" s="62">
        <f ca="1">AVERAGE(OFFSET($R$3,0,0,'Données projet'!$E$9+1,1))-AVERAGE(OFFSET($H$3,0,0,'Données projet'!$E$9+1,1))</f>
        <v>352.5736659365665</v>
      </c>
      <c r="T161" s="62">
        <f t="shared" si="142"/>
        <v>343.77208530767069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1.0685785813487119</v>
      </c>
      <c r="AA161" s="23">
        <f>EXP(-LN(2)/25)*AA160+(1-EXP(-LN(2)/25))/(LN(2)/25)*Calculateur!V161*Calculateur!X161*VLOOKUP('Données projet'!$B$9,Paramètres!$A$1:$I$89,3,0)*0.475*44/12</f>
        <v>0.68207975246744335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1.7506583338161552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3.7243808037601412E-14</v>
      </c>
      <c r="AK161" s="14">
        <f t="shared" si="164"/>
        <v>6.2767589361185393E-13</v>
      </c>
      <c r="AL161" s="22">
        <f t="shared" si="165"/>
        <v>1.1580684803728015E-12</v>
      </c>
      <c r="AM161" s="62">
        <f t="shared" si="113"/>
        <v>293.33333333333445</v>
      </c>
      <c r="AN161" s="62">
        <f ca="1">AVERAGE(OFFSET($AM$3,0,0,'Données projet'!$E$10+1,1))-AVERAGE(OFFSET($H$3,0,0,'Données projet'!$E$10+1,1))</f>
        <v>210.08998695869161</v>
      </c>
      <c r="AO161" s="62">
        <f t="shared" si="144"/>
        <v>207.30911916430881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1.0013551783469884E-20</v>
      </c>
      <c r="AX161" s="23">
        <f t="shared" si="166"/>
        <v>1.0013551783469884E-20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335.83558218229564</v>
      </c>
      <c r="BJ161" s="62">
        <f t="shared" si="146"/>
        <v>217.08423061559648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1.1369570414061561E-18</v>
      </c>
      <c r="BS161" s="24">
        <f t="shared" si="169"/>
        <v>1.1369570414061561E-18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5.6843418860808015E-14</v>
      </c>
      <c r="BZ161" s="14">
        <f>BY161*VLOOKUP('Données projet'!$B$12,Paramètres!$A$1:$I$89,3,0)*VLOOKUP('Données projet'!$B$12,Paramètres!$A$1:$I$89,5,0)</f>
        <v>4.4337866711430253E-14</v>
      </c>
      <c r="CA161" s="14">
        <f t="shared" si="170"/>
        <v>7.3222115536967035E-13</v>
      </c>
      <c r="CB161" s="22">
        <f t="shared" si="171"/>
        <v>1.3525069634579169E-12</v>
      </c>
      <c r="CC161" s="62">
        <f t="shared" si="119"/>
        <v>293.33333333333468</v>
      </c>
      <c r="CD161" s="62">
        <f ca="1">AVERAGE(OFFSET($CC$3,0,0,'Données projet'!$E$12+1,1))-AVERAGE(OFFSET($H$3,0,0,'Données projet'!$E$12+1,1))</f>
        <v>288.82868507674738</v>
      </c>
      <c r="CE161" s="62">
        <f t="shared" si="148"/>
        <v>283.48738729114024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0.14009052805839337</v>
      </c>
      <c r="CM161" s="23">
        <f>EXP(-LN(2)/2)*CM160+(1-EXP(-LN(2)/2))/(LN(2)/2)*CG161*CJ161*VLOOKUP('Données projet'!$B$12,Paramètres!$A$1:$I$89,3,0)*0.475*44/12</f>
        <v>1.3984959564987356E-19</v>
      </c>
      <c r="CN161" s="24">
        <f t="shared" si="172"/>
        <v>0.14009052805839337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317.99999999999972</v>
      </c>
      <c r="CU161" s="18">
        <f>CT161*VLOOKUP('Données projet'!$B$13,Paramètres!$A$1:$I$89,3,0)*VLOOKUP('Données projet'!$B$13,Paramètres!$A$1:$I$89,5,0)</f>
        <v>277.80479999999983</v>
      </c>
      <c r="CV161" s="14">
        <f t="shared" si="173"/>
        <v>66.50288772038418</v>
      </c>
      <c r="CW161" s="22">
        <f t="shared" si="174"/>
        <v>599.66922277966887</v>
      </c>
      <c r="CX161" s="62">
        <f t="shared" si="122"/>
        <v>893.00255611300213</v>
      </c>
      <c r="CY161" s="62">
        <f ca="1">AVERAGE(OFFSET($CX$3,0,0,'Données projet'!$E$13+1,1))-AVERAGE(OFFSET($H$3,0,0,'Données projet'!$E$13+1,1))</f>
        <v>383.46266660377637</v>
      </c>
      <c r="CZ161" s="62">
        <f t="shared" si="150"/>
        <v>373.1287543230714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0.4616988410031127</v>
      </c>
      <c r="DH161" s="23">
        <f>EXP(-LN(2)/2)*DH160+(1-EXP(-LN(2)/2))/(LN(2)/2)*DB161*DE161*VLOOKUP('Données projet'!$B$13,Paramètres!$A$1:$I$89,3,0)*0.475*44/12</f>
        <v>1.1512296279295562E-18</v>
      </c>
      <c r="DI161" s="24">
        <f t="shared" si="175"/>
        <v>0.4616988410031127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>
        <f>DO161*VLOOKUP('Données projet'!$B$14,Paramètres!$A$1:$I$89,3,0)*VLOOKUP('Données projet'!$B$14,Paramètres!$A$1:$I$89,5,0)</f>
        <v>0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96.56611521638132</v>
      </c>
      <c r="DU161" s="62">
        <f t="shared" si="152"/>
        <v>465.03257878814094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6.5329191608922503</v>
      </c>
      <c r="EB161" s="23">
        <f>EXP(-LN(2)/25)*EB160+(1-EXP(-LN(2)/25))/(LN(2)/25)*Calculateur!DW161*Calculateur!DY161*VLOOKUP('Données projet'!$B$14,Paramètres!$A$1:$I$89,3,0)*0.475*44/12</f>
        <v>0.52820834238921133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7.0611275032814618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317.99999999999972</v>
      </c>
      <c r="EK161" s="18">
        <f>EJ161*VLOOKUP('Données projet'!$B$15,Paramètres!$A$1:$I$89,3,0)*VLOOKUP('Données projet'!$B$15,Paramètres!$A$1:$I$89,5,0)</f>
        <v>257.96159999999981</v>
      </c>
      <c r="EL161" s="14">
        <f t="shared" si="179"/>
        <v>62.287674609742425</v>
      </c>
      <c r="EM161" s="22">
        <f t="shared" si="180"/>
        <v>557.76748661196768</v>
      </c>
      <c r="EN161" s="62">
        <f t="shared" si="128"/>
        <v>851.10081994530105</v>
      </c>
      <c r="EO161" s="62">
        <f ca="1">AVERAGE(OFFSET($EN$3,0,0,'Données projet'!$E$15+1,1))-AVERAGE(OFFSET($H$3,0,0,'Données projet'!$E$15+1,1))</f>
        <v>358.75637627589799</v>
      </c>
      <c r="EP161" s="62">
        <f t="shared" si="154"/>
        <v>349.64821164483607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0.76629073361679356</v>
      </c>
      <c r="EW161" s="23">
        <f>EXP(-LN(2)/25)*EW160+(1-EXP(-LN(2)/25))/(LN(2)/25)*Calculateur!ER161*Calculateur!ET161*VLOOKUP('Données projet'!$B$15,Paramètres!$A$1:$I$89,3,0)*0.475*44/12</f>
        <v>0.44105600668823564</v>
      </c>
      <c r="EX161" s="23">
        <f>EXP(-LN(2)/2)*EX160+(1-EXP(-LN(2)/2))/(LN(2)/2)*ER161*EU161*VLOOKUP('Données projet'!$B$15,Paramètres!$A$1:$I$89,3,0)*0.475*44/12</f>
        <v>1.9767066508076976E-19</v>
      </c>
      <c r="EY161" s="24">
        <f t="shared" si="181"/>
        <v>1.2073467403050291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>
        <f>FE161*VLOOKUP('Données projet'!$B$16,Paramètres!$A$1:$I$89,3,0)*VLOOKUP('Données projet'!$B$16,Paramètres!$A$1:$I$89,5,0)</f>
        <v>0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121.28977654040114</v>
      </c>
      <c r="FK161" s="62">
        <f t="shared" si="156"/>
        <v>615.69585264342595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8.802056348429053</v>
      </c>
      <c r="FR161" s="23">
        <f>EXP(-LN(2)/25)*FR160+(1-EXP(-LN(2)/25))/(LN(2)/25)*Calculateur!FM161*Calculateur!FO161*VLOOKUP('Données projet'!$B$16,Paramètres!$A$1:$I$89,3,0)*0.475*44/12</f>
        <v>0.71167566579610819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9.5137320142251607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317.99999999999972</v>
      </c>
      <c r="O162" s="14">
        <f>N162*VLOOKUP('Données projet'!$B$9,Paramètres!$A$1:$I$89,3,0)*VLOOKUP('Données projet'!$B$9,Paramètres!$A$1:$I$89,5,0)</f>
        <v>253.0007999999998</v>
      </c>
      <c r="P162" s="14">
        <f t="shared" si="141"/>
        <v>61.228070105968683</v>
      </c>
      <c r="Q162" s="22">
        <f t="shared" si="162"/>
        <v>547.28194876789507</v>
      </c>
      <c r="R162" s="62">
        <f t="shared" si="109"/>
        <v>840.61528210122833</v>
      </c>
      <c r="S162" s="62">
        <f ca="1">AVERAGE(OFFSET($R$3,0,0,'Données projet'!$E$9+1,1))-AVERAGE(OFFSET($H$3,0,0,'Données projet'!$E$9+1,1))</f>
        <v>352.5736659365665</v>
      </c>
      <c r="T162" s="62">
        <f t="shared" si="142"/>
        <v>343.77208530767069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1.0476244071370415</v>
      </c>
      <c r="AA162" s="23">
        <f>EXP(-LN(2)/25)*AA161+(1-EXP(-LN(2)/25))/(LN(2)/25)*Calculateur!V162*Calculateur!X162*VLOOKUP('Données projet'!$B$9,Paramètres!$A$1:$I$89,3,0)*0.475*44/12</f>
        <v>0.66342824576720583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1.7110526529042474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3.7243808037601412E-14</v>
      </c>
      <c r="AK162" s="14">
        <f t="shared" si="164"/>
        <v>6.2767589361185393E-13</v>
      </c>
      <c r="AL162" s="22">
        <f t="shared" si="165"/>
        <v>1.1580684803728015E-12</v>
      </c>
      <c r="AM162" s="62">
        <f t="shared" si="113"/>
        <v>293.33333333333445</v>
      </c>
      <c r="AN162" s="62">
        <f ca="1">AVERAGE(OFFSET($AM$3,0,0,'Données projet'!$E$10+1,1))-AVERAGE(OFFSET($H$3,0,0,'Données projet'!$E$10+1,1))</f>
        <v>210.08998695869161</v>
      </c>
      <c r="AO162" s="62">
        <f t="shared" si="144"/>
        <v>207.30911916430881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7.0806503698542018E-21</v>
      </c>
      <c r="AX162" s="23">
        <f t="shared" si="166"/>
        <v>7.0806503698542018E-21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335.83558218229564</v>
      </c>
      <c r="BJ162" s="62">
        <f t="shared" si="146"/>
        <v>217.08423061559648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8.0395003389608725E-19</v>
      </c>
      <c r="BS162" s="24">
        <f t="shared" si="169"/>
        <v>8.0395003389608725E-19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5.6843418860808015E-14</v>
      </c>
      <c r="BZ162" s="14">
        <f>BY162*VLOOKUP('Données projet'!$B$12,Paramètres!$A$1:$I$89,3,0)*VLOOKUP('Données projet'!$B$12,Paramètres!$A$1:$I$89,5,0)</f>
        <v>4.4337866711430253E-14</v>
      </c>
      <c r="CA162" s="14">
        <f t="shared" si="170"/>
        <v>7.3222115536967035E-13</v>
      </c>
      <c r="CB162" s="22">
        <f t="shared" si="171"/>
        <v>1.3525069634579169E-12</v>
      </c>
      <c r="CC162" s="62">
        <f t="shared" si="119"/>
        <v>293.33333333333468</v>
      </c>
      <c r="CD162" s="62">
        <f ca="1">AVERAGE(OFFSET($CC$3,0,0,'Données projet'!$E$12+1,1))-AVERAGE(OFFSET($H$3,0,0,'Données projet'!$E$12+1,1))</f>
        <v>288.82868507674738</v>
      </c>
      <c r="CE162" s="62">
        <f t="shared" si="148"/>
        <v>283.48738729114024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0.13625974520159592</v>
      </c>
      <c r="CM162" s="23">
        <f>EXP(-LN(2)/2)*CM161+(1-EXP(-LN(2)/2))/(LN(2)/2)*CG162*CJ162*VLOOKUP('Données projet'!$B$12,Paramètres!$A$1:$I$89,3,0)*0.475*44/12</f>
        <v>9.8888597430222292E-20</v>
      </c>
      <c r="CN162" s="24">
        <f t="shared" si="172"/>
        <v>0.13625974520159592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317.99999999999972</v>
      </c>
      <c r="CU162" s="18">
        <f>CT162*VLOOKUP('Données projet'!$B$13,Paramètres!$A$1:$I$89,3,0)*VLOOKUP('Données projet'!$B$13,Paramètres!$A$1:$I$89,5,0)</f>
        <v>277.80479999999983</v>
      </c>
      <c r="CV162" s="14">
        <f t="shared" si="173"/>
        <v>66.50288772038418</v>
      </c>
      <c r="CW162" s="22">
        <f t="shared" si="174"/>
        <v>599.66922277966887</v>
      </c>
      <c r="CX162" s="62">
        <f t="shared" si="122"/>
        <v>893.00255611300213</v>
      </c>
      <c r="CY162" s="62">
        <f ca="1">AVERAGE(OFFSET($CX$3,0,0,'Données projet'!$E$13+1,1))-AVERAGE(OFFSET($H$3,0,0,'Données projet'!$E$13+1,1))</f>
        <v>383.46266660377637</v>
      </c>
      <c r="CZ162" s="62">
        <f t="shared" si="150"/>
        <v>373.1287543230714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0.44907366191619574</v>
      </c>
      <c r="DH162" s="23">
        <f>EXP(-LN(2)/2)*DH161+(1-EXP(-LN(2)/2))/(LN(2)/2)*DB162*DE162*VLOOKUP('Données projet'!$B$13,Paramètres!$A$1:$I$89,3,0)*0.475*44/12</f>
        <v>8.1404227661185521E-19</v>
      </c>
      <c r="DI162" s="24">
        <f t="shared" si="175"/>
        <v>0.44907366191619574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>
        <f>DO162*VLOOKUP('Données projet'!$B$14,Paramètres!$A$1:$I$89,3,0)*VLOOKUP('Données projet'!$B$14,Paramètres!$A$1:$I$89,5,0)</f>
        <v>0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96.56611521638132</v>
      </c>
      <c r="DU162" s="62">
        <f t="shared" si="152"/>
        <v>465.03257878814094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6.4048126008343864</v>
      </c>
      <c r="EB162" s="23">
        <f>EXP(-LN(2)/25)*EB161+(1-EXP(-LN(2)/25))/(LN(2)/25)*Calculateur!DW162*Calculateur!DY162*VLOOKUP('Données projet'!$B$14,Paramètres!$A$1:$I$89,3,0)*0.475*44/12</f>
        <v>0.51376445748930888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6.9185770583236952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317.99999999999972</v>
      </c>
      <c r="EK162" s="18">
        <f>EJ162*VLOOKUP('Données projet'!$B$15,Paramètres!$A$1:$I$89,3,0)*VLOOKUP('Données projet'!$B$15,Paramètres!$A$1:$I$89,5,0)</f>
        <v>257.96159999999981</v>
      </c>
      <c r="EL162" s="14">
        <f t="shared" si="179"/>
        <v>62.287674609742425</v>
      </c>
      <c r="EM162" s="22">
        <f t="shared" si="180"/>
        <v>557.76748661196768</v>
      </c>
      <c r="EN162" s="62">
        <f t="shared" si="128"/>
        <v>851.10081994530105</v>
      </c>
      <c r="EO162" s="62">
        <f ca="1">AVERAGE(OFFSET($EN$3,0,0,'Données projet'!$E$15+1,1))-AVERAGE(OFFSET($H$3,0,0,'Données projet'!$E$15+1,1))</f>
        <v>358.75637627589799</v>
      </c>
      <c r="EP162" s="62">
        <f t="shared" si="154"/>
        <v>349.64821164483607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0.7512642397217647</v>
      </c>
      <c r="EW162" s="23">
        <f>EXP(-LN(2)/25)*EW161+(1-EXP(-LN(2)/25))/(LN(2)/25)*Calculateur!ER162*Calculateur!ET162*VLOOKUP('Données projet'!$B$15,Paramètres!$A$1:$I$89,3,0)*0.475*44/12</f>
        <v>0.42899530699121846</v>
      </c>
      <c r="EX162" s="23">
        <f>EXP(-LN(2)/2)*EX161+(1-EXP(-LN(2)/2))/(LN(2)/2)*ER162*EU162*VLOOKUP('Données projet'!$B$15,Paramètres!$A$1:$I$89,3,0)*0.475*44/12</f>
        <v>1.3977426772026718E-19</v>
      </c>
      <c r="EY162" s="24">
        <f t="shared" si="181"/>
        <v>1.1802595467129833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>
        <f>FE162*VLOOKUP('Données projet'!$B$16,Paramètres!$A$1:$I$89,3,0)*VLOOKUP('Données projet'!$B$16,Paramètres!$A$1:$I$89,5,0)</f>
        <v>0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121.28977654040114</v>
      </c>
      <c r="FK162" s="62">
        <f t="shared" si="156"/>
        <v>615.69585264342595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8.6294533921606149</v>
      </c>
      <c r="FR162" s="23">
        <f>EXP(-LN(2)/25)*FR161+(1-EXP(-LN(2)/25))/(LN(2)/25)*Calculateur!FM162*Calculateur!FO162*VLOOKUP('Données projet'!$B$16,Paramètres!$A$1:$I$89,3,0)*0.475*44/12</f>
        <v>0.69221485728951693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9.3216682494501324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317.99999999999972</v>
      </c>
      <c r="O163" s="14">
        <f>N163*VLOOKUP('Données projet'!$B$9,Paramètres!$A$1:$I$89,3,0)*VLOOKUP('Données projet'!$B$9,Paramètres!$A$1:$I$89,5,0)</f>
        <v>253.0007999999998</v>
      </c>
      <c r="P163" s="14">
        <f t="shared" si="141"/>
        <v>61.228070105968683</v>
      </c>
      <c r="Q163" s="22">
        <f t="shared" si="162"/>
        <v>547.28194876789507</v>
      </c>
      <c r="R163" s="62">
        <f t="shared" si="109"/>
        <v>840.61528210122833</v>
      </c>
      <c r="S163" s="62">
        <f ca="1">AVERAGE(OFFSET($R$3,0,0,'Données projet'!$E$9+1,1))-AVERAGE(OFFSET($H$3,0,0,'Données projet'!$E$9+1,1))</f>
        <v>352.5736659365665</v>
      </c>
      <c r="T163" s="62">
        <f t="shared" si="142"/>
        <v>343.77208530767069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1.0270811315008777</v>
      </c>
      <c r="AA163" s="23">
        <f>EXP(-LN(2)/25)*AA162+(1-EXP(-LN(2)/25))/(LN(2)/25)*Calculateur!V163*Calculateur!X163*VLOOKUP('Données projet'!$B$9,Paramètres!$A$1:$I$89,3,0)*0.475*44/12</f>
        <v>0.64528676549852637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1.672367896999404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3.7243808037601412E-14</v>
      </c>
      <c r="AK163" s="14">
        <f t="shared" si="164"/>
        <v>6.2767589361185393E-13</v>
      </c>
      <c r="AL163" s="22">
        <f t="shared" si="165"/>
        <v>1.1580684803728015E-12</v>
      </c>
      <c r="AM163" s="62">
        <f t="shared" si="113"/>
        <v>293.33333333333445</v>
      </c>
      <c r="AN163" s="62">
        <f ca="1">AVERAGE(OFFSET($AM$3,0,0,'Données projet'!$E$10+1,1))-AVERAGE(OFFSET($H$3,0,0,'Données projet'!$E$10+1,1))</f>
        <v>210.08998695869161</v>
      </c>
      <c r="AO163" s="62">
        <f t="shared" si="144"/>
        <v>207.30911916430881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5.0067758917349421E-21</v>
      </c>
      <c r="AX163" s="23">
        <f t="shared" si="166"/>
        <v>5.0067758917349421E-21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335.83558218229564</v>
      </c>
      <c r="BJ163" s="62">
        <f t="shared" si="146"/>
        <v>217.08423061559648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5.6847852070307803E-19</v>
      </c>
      <c r="BS163" s="24">
        <f t="shared" si="169"/>
        <v>5.6847852070307803E-19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5.6843418860808015E-14</v>
      </c>
      <c r="BZ163" s="14">
        <f>BY163*VLOOKUP('Données projet'!$B$12,Paramètres!$A$1:$I$89,3,0)*VLOOKUP('Données projet'!$B$12,Paramètres!$A$1:$I$89,5,0)</f>
        <v>4.4337866711430253E-14</v>
      </c>
      <c r="CA163" s="14">
        <f t="shared" si="170"/>
        <v>7.3222115536967035E-13</v>
      </c>
      <c r="CB163" s="22">
        <f t="shared" si="171"/>
        <v>1.3525069634579169E-12</v>
      </c>
      <c r="CC163" s="62">
        <f t="shared" si="119"/>
        <v>293.33333333333468</v>
      </c>
      <c r="CD163" s="62">
        <f ca="1">AVERAGE(OFFSET($CC$3,0,0,'Données projet'!$E$12+1,1))-AVERAGE(OFFSET($H$3,0,0,'Données projet'!$E$12+1,1))</f>
        <v>288.82868507674738</v>
      </c>
      <c r="CE163" s="62">
        <f t="shared" si="148"/>
        <v>283.48738729114024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0.13253371530346972</v>
      </c>
      <c r="CM163" s="23">
        <f>EXP(-LN(2)/2)*CM162+(1-EXP(-LN(2)/2))/(LN(2)/2)*CG163*CJ163*VLOOKUP('Données projet'!$B$12,Paramètres!$A$1:$I$89,3,0)*0.475*44/12</f>
        <v>6.9924797824936779E-20</v>
      </c>
      <c r="CN163" s="24">
        <f t="shared" si="172"/>
        <v>0.13253371530346972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317.99999999999972</v>
      </c>
      <c r="CU163" s="18">
        <f>CT163*VLOOKUP('Données projet'!$B$13,Paramètres!$A$1:$I$89,3,0)*VLOOKUP('Données projet'!$B$13,Paramètres!$A$1:$I$89,5,0)</f>
        <v>277.80479999999983</v>
      </c>
      <c r="CV163" s="14">
        <f t="shared" si="173"/>
        <v>66.50288772038418</v>
      </c>
      <c r="CW163" s="22">
        <f t="shared" si="174"/>
        <v>599.66922277966887</v>
      </c>
      <c r="CX163" s="62">
        <f t="shared" si="122"/>
        <v>893.00255611300213</v>
      </c>
      <c r="CY163" s="62">
        <f ca="1">AVERAGE(OFFSET($CX$3,0,0,'Données projet'!$E$13+1,1))-AVERAGE(OFFSET($H$3,0,0,'Données projet'!$E$13+1,1))</f>
        <v>383.46266660377637</v>
      </c>
      <c r="CZ163" s="62">
        <f t="shared" si="150"/>
        <v>373.1287543230714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0.43679371901533987</v>
      </c>
      <c r="DH163" s="23">
        <f>EXP(-LN(2)/2)*DH162+(1-EXP(-LN(2)/2))/(LN(2)/2)*DB163*DE163*VLOOKUP('Données projet'!$B$13,Paramètres!$A$1:$I$89,3,0)*0.475*44/12</f>
        <v>5.7561481396477809E-19</v>
      </c>
      <c r="DI163" s="24">
        <f t="shared" si="175"/>
        <v>0.43679371901533987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>
        <f>DO163*VLOOKUP('Données projet'!$B$14,Paramètres!$A$1:$I$89,3,0)*VLOOKUP('Données projet'!$B$14,Paramètres!$A$1:$I$89,5,0)</f>
        <v>0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96.56611521638132</v>
      </c>
      <c r="DU163" s="62">
        <f t="shared" si="152"/>
        <v>465.03257878814094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6.2792181322819705</v>
      </c>
      <c r="EB163" s="23">
        <f>EXP(-LN(2)/25)*EB162+(1-EXP(-LN(2)/25))/(LN(2)/25)*Calculateur!DW163*Calculateur!DY163*VLOOKUP('Données projet'!$B$14,Paramètres!$A$1:$I$89,3,0)*0.475*44/12</f>
        <v>0.49971554138156515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6.7789336736635359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317.99999999999972</v>
      </c>
      <c r="EK163" s="18">
        <f>EJ163*VLOOKUP('Données projet'!$B$15,Paramètres!$A$1:$I$89,3,0)*VLOOKUP('Données projet'!$B$15,Paramètres!$A$1:$I$89,5,0)</f>
        <v>257.96159999999981</v>
      </c>
      <c r="EL163" s="14">
        <f t="shared" si="179"/>
        <v>62.287674609742425</v>
      </c>
      <c r="EM163" s="22">
        <f t="shared" si="180"/>
        <v>557.76748661196768</v>
      </c>
      <c r="EN163" s="62">
        <f t="shared" si="128"/>
        <v>851.10081994530105</v>
      </c>
      <c r="EO163" s="62">
        <f ca="1">AVERAGE(OFFSET($EN$3,0,0,'Données projet'!$E$15+1,1))-AVERAGE(OFFSET($H$3,0,0,'Données projet'!$E$15+1,1))</f>
        <v>358.75637627589799</v>
      </c>
      <c r="EP163" s="62">
        <f t="shared" si="154"/>
        <v>349.64821164483607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0.73653240620676108</v>
      </c>
      <c r="EW163" s="23">
        <f>EXP(-LN(2)/25)*EW162+(1-EXP(-LN(2)/25))/(LN(2)/25)*Calculateur!ER163*Calculateur!ET163*VLOOKUP('Données projet'!$B$15,Paramètres!$A$1:$I$89,3,0)*0.475*44/12</f>
        <v>0.4172644077616609</v>
      </c>
      <c r="EX163" s="23">
        <f>EXP(-LN(2)/2)*EX162+(1-EXP(-LN(2)/2))/(LN(2)/2)*ER163*EU163*VLOOKUP('Données projet'!$B$15,Paramètres!$A$1:$I$89,3,0)*0.475*44/12</f>
        <v>9.883533254038488E-20</v>
      </c>
      <c r="EY163" s="24">
        <f t="shared" si="181"/>
        <v>1.153796813968422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>
        <f>FE163*VLOOKUP('Données projet'!$B$16,Paramètres!$A$1:$I$89,3,0)*VLOOKUP('Données projet'!$B$16,Paramètres!$A$1:$I$89,5,0)</f>
        <v>0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121.28977654040114</v>
      </c>
      <c r="FK163" s="62">
        <f t="shared" si="156"/>
        <v>615.69585264342595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8.4602350745871924</v>
      </c>
      <c r="FR163" s="23">
        <f>EXP(-LN(2)/25)*FR162+(1-EXP(-LN(2)/25))/(LN(2)/25)*Calculateur!FM163*Calculateur!FO163*VLOOKUP('Données projet'!$B$16,Paramètres!$A$1:$I$89,3,0)*0.475*44/12</f>
        <v>0.67328620561493779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9.1335212802021299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317.99999999999972</v>
      </c>
      <c r="O164" s="14">
        <f>N164*VLOOKUP('Données projet'!$B$9,Paramètres!$A$1:$I$89,3,0)*VLOOKUP('Données projet'!$B$9,Paramètres!$A$1:$I$89,5,0)</f>
        <v>253.0007999999998</v>
      </c>
      <c r="P164" s="14">
        <f t="shared" si="141"/>
        <v>61.228070105968683</v>
      </c>
      <c r="Q164" s="22">
        <f t="shared" si="162"/>
        <v>547.28194876789507</v>
      </c>
      <c r="R164" s="62">
        <f t="shared" si="109"/>
        <v>840.61528210122833</v>
      </c>
      <c r="S164" s="62">
        <f ca="1">AVERAGE(OFFSET($R$3,0,0,'Données projet'!$E$9+1,1))-AVERAGE(OFFSET($H$3,0,0,'Données projet'!$E$9+1,1))</f>
        <v>352.5736659365665</v>
      </c>
      <c r="T164" s="62">
        <f t="shared" si="142"/>
        <v>343.77208530767069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1.0069406969697781</v>
      </c>
      <c r="AA164" s="23">
        <f>EXP(-LN(2)/25)*AA163+(1-EXP(-LN(2)/25))/(LN(2)/25)*Calculateur!V164*Calculateur!X164*VLOOKUP('Données projet'!$B$9,Paramètres!$A$1:$I$89,3,0)*0.475*44/12</f>
        <v>0.627641364961813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1.6345820619315909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3.7243808037601412E-14</v>
      </c>
      <c r="AK164" s="14">
        <f t="shared" si="164"/>
        <v>6.2767589361185393E-13</v>
      </c>
      <c r="AL164" s="22">
        <f t="shared" si="165"/>
        <v>1.1580684803728015E-12</v>
      </c>
      <c r="AM164" s="62">
        <f t="shared" si="113"/>
        <v>293.33333333333445</v>
      </c>
      <c r="AN164" s="62">
        <f ca="1">AVERAGE(OFFSET($AM$3,0,0,'Données projet'!$E$10+1,1))-AVERAGE(OFFSET($H$3,0,0,'Données projet'!$E$10+1,1))</f>
        <v>210.08998695869161</v>
      </c>
      <c r="AO164" s="62">
        <f t="shared" si="144"/>
        <v>207.30911916430881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3.5403251849271009E-21</v>
      </c>
      <c r="AX164" s="23">
        <f t="shared" si="166"/>
        <v>3.5403251849271009E-21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335.83558218229564</v>
      </c>
      <c r="BJ164" s="62">
        <f t="shared" si="146"/>
        <v>217.08423061559648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4.0197501694804362E-19</v>
      </c>
      <c r="BS164" s="24">
        <f t="shared" si="169"/>
        <v>4.0197501694804362E-19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5.6843418860808015E-14</v>
      </c>
      <c r="BZ164" s="14">
        <f>BY164*VLOOKUP('Données projet'!$B$12,Paramètres!$A$1:$I$89,3,0)*VLOOKUP('Données projet'!$B$12,Paramètres!$A$1:$I$89,5,0)</f>
        <v>4.4337866711430253E-14</v>
      </c>
      <c r="CA164" s="14">
        <f t="shared" si="170"/>
        <v>7.3222115536967035E-13</v>
      </c>
      <c r="CB164" s="22">
        <f t="shared" si="171"/>
        <v>1.3525069634579169E-12</v>
      </c>
      <c r="CC164" s="62">
        <f t="shared" si="119"/>
        <v>293.33333333333468</v>
      </c>
      <c r="CD164" s="62">
        <f ca="1">AVERAGE(OFFSET($CC$3,0,0,'Données projet'!$E$12+1,1))-AVERAGE(OFFSET($H$3,0,0,'Données projet'!$E$12+1,1))</f>
        <v>288.82868507674738</v>
      </c>
      <c r="CE164" s="62">
        <f t="shared" si="148"/>
        <v>283.48738729114024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0.12890957388885116</v>
      </c>
      <c r="CM164" s="23">
        <f>EXP(-LN(2)/2)*CM163+(1-EXP(-LN(2)/2))/(LN(2)/2)*CG164*CJ164*VLOOKUP('Données projet'!$B$12,Paramètres!$A$1:$I$89,3,0)*0.475*44/12</f>
        <v>4.9444298715111146E-20</v>
      </c>
      <c r="CN164" s="24">
        <f t="shared" si="172"/>
        <v>0.12890957388885116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317.99999999999972</v>
      </c>
      <c r="CU164" s="18">
        <f>CT164*VLOOKUP('Données projet'!$B$13,Paramètres!$A$1:$I$89,3,0)*VLOOKUP('Données projet'!$B$13,Paramètres!$A$1:$I$89,5,0)</f>
        <v>277.80479999999983</v>
      </c>
      <c r="CV164" s="14">
        <f t="shared" si="173"/>
        <v>66.50288772038418</v>
      </c>
      <c r="CW164" s="22">
        <f t="shared" si="174"/>
        <v>599.66922277966887</v>
      </c>
      <c r="CX164" s="62">
        <f t="shared" si="122"/>
        <v>893.00255611300213</v>
      </c>
      <c r="CY164" s="62">
        <f ca="1">AVERAGE(OFFSET($CX$3,0,0,'Données projet'!$E$13+1,1))-AVERAGE(OFFSET($H$3,0,0,'Données projet'!$E$13+1,1))</f>
        <v>383.46266660377637</v>
      </c>
      <c r="CZ164" s="62">
        <f t="shared" si="150"/>
        <v>373.1287543230714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0.424849571798882</v>
      </c>
      <c r="DH164" s="23">
        <f>EXP(-LN(2)/2)*DH163+(1-EXP(-LN(2)/2))/(LN(2)/2)*DB164*DE164*VLOOKUP('Données projet'!$B$13,Paramètres!$A$1:$I$89,3,0)*0.475*44/12</f>
        <v>4.0702113830592761E-19</v>
      </c>
      <c r="DI164" s="24">
        <f t="shared" si="175"/>
        <v>0.424849571798882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>
        <f>DO164*VLOOKUP('Données projet'!$B$14,Paramètres!$A$1:$I$89,3,0)*VLOOKUP('Données projet'!$B$14,Paramètres!$A$1:$I$89,5,0)</f>
        <v>0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96.56611521638132</v>
      </c>
      <c r="DU164" s="62">
        <f t="shared" si="152"/>
        <v>465.03257878814094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6.156086494652806</v>
      </c>
      <c r="EB164" s="23">
        <f>EXP(-LN(2)/25)*EB163+(1-EXP(-LN(2)/25))/(LN(2)/25)*Calculateur!DW164*Calculateur!DY164*VLOOKUP('Données projet'!$B$14,Paramètres!$A$1:$I$89,3,0)*0.475*44/12</f>
        <v>0.48605079362358805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6.6421372882763938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317.99999999999972</v>
      </c>
      <c r="EK164" s="18">
        <f>EJ164*VLOOKUP('Données projet'!$B$15,Paramètres!$A$1:$I$89,3,0)*VLOOKUP('Données projet'!$B$15,Paramètres!$A$1:$I$89,5,0)</f>
        <v>257.96159999999981</v>
      </c>
      <c r="EL164" s="14">
        <f t="shared" si="179"/>
        <v>62.287674609742425</v>
      </c>
      <c r="EM164" s="22">
        <f t="shared" si="180"/>
        <v>557.76748661196768</v>
      </c>
      <c r="EN164" s="62">
        <f t="shared" si="128"/>
        <v>851.10081994530105</v>
      </c>
      <c r="EO164" s="62">
        <f ca="1">AVERAGE(OFFSET($EN$3,0,0,'Données projet'!$E$15+1,1))-AVERAGE(OFFSET($H$3,0,0,'Données projet'!$E$15+1,1))</f>
        <v>358.75637627589799</v>
      </c>
      <c r="EP164" s="62">
        <f t="shared" si="154"/>
        <v>349.64821164483607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0.72208945496145549</v>
      </c>
      <c r="EW164" s="23">
        <f>EXP(-LN(2)/25)*EW163+(1-EXP(-LN(2)/25))/(LN(2)/25)*Calculateur!ER164*Calculateur!ET164*VLOOKUP('Données projet'!$B$15,Paramètres!$A$1:$I$89,3,0)*0.475*44/12</f>
        <v>0.40585429058843675</v>
      </c>
      <c r="EX164" s="23">
        <f>EXP(-LN(2)/2)*EX163+(1-EXP(-LN(2)/2))/(LN(2)/2)*ER164*EU164*VLOOKUP('Données projet'!$B$15,Paramètres!$A$1:$I$89,3,0)*0.475*44/12</f>
        <v>6.9887133860133591E-20</v>
      </c>
      <c r="EY164" s="24">
        <f t="shared" si="181"/>
        <v>1.1279437455498922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>
        <f>FE164*VLOOKUP('Données projet'!$B$16,Paramètres!$A$1:$I$89,3,0)*VLOOKUP('Données projet'!$B$16,Paramètres!$A$1:$I$89,5,0)</f>
        <v>0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121.28977654040114</v>
      </c>
      <c r="FK164" s="62">
        <f t="shared" si="156"/>
        <v>615.69585264342595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8.2943350250084027</v>
      </c>
      <c r="FR164" s="23">
        <f>EXP(-LN(2)/25)*FR163+(1-EXP(-LN(2)/25))/(LN(2)/25)*Calculateur!FM164*Calculateur!FO164*VLOOKUP('Données projet'!$B$16,Paramètres!$A$1:$I$89,3,0)*0.475*44/12</f>
        <v>0.6548751589158146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8.9492101839242171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317.99999999999972</v>
      </c>
      <c r="O165" s="14">
        <f>N165*VLOOKUP('Données projet'!$B$9,Paramètres!$A$1:$I$89,3,0)*VLOOKUP('Données projet'!$B$9,Paramètres!$A$1:$I$89,5,0)</f>
        <v>253.0007999999998</v>
      </c>
      <c r="P165" s="14">
        <f t="shared" si="141"/>
        <v>61.228070105968683</v>
      </c>
      <c r="Q165" s="22">
        <f t="shared" si="162"/>
        <v>547.28194876789507</v>
      </c>
      <c r="R165" s="62">
        <f t="shared" si="109"/>
        <v>840.61528210122833</v>
      </c>
      <c r="S165" s="62">
        <f ca="1">AVERAGE(OFFSET($R$3,0,0,'Données projet'!$E$9+1,1))-AVERAGE(OFFSET($H$3,0,0,'Données projet'!$E$9+1,1))</f>
        <v>352.5736659365665</v>
      </c>
      <c r="T165" s="62">
        <f t="shared" si="142"/>
        <v>343.77208530767069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0.98719520407538131</v>
      </c>
      <c r="AA165" s="23">
        <f>EXP(-LN(2)/25)*AA164+(1-EXP(-LN(2)/25))/(LN(2)/25)*Calculateur!V165*Calculateur!X165*VLOOKUP('Données projet'!$B$9,Paramètres!$A$1:$I$89,3,0)*0.475*44/12</f>
        <v>0.61047847883070738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1.5976736829060887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3.7243808037601412E-14</v>
      </c>
      <c r="AK165" s="14">
        <f t="shared" si="164"/>
        <v>6.2767589361185393E-13</v>
      </c>
      <c r="AL165" s="22">
        <f t="shared" si="165"/>
        <v>1.1580684803728015E-12</v>
      </c>
      <c r="AM165" s="62">
        <f t="shared" si="113"/>
        <v>293.33333333333445</v>
      </c>
      <c r="AN165" s="62">
        <f ca="1">AVERAGE(OFFSET($AM$3,0,0,'Données projet'!$E$10+1,1))-AVERAGE(OFFSET($H$3,0,0,'Données projet'!$E$10+1,1))</f>
        <v>210.08998695869161</v>
      </c>
      <c r="AO165" s="62">
        <f t="shared" si="144"/>
        <v>207.30911916430881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2.503387945867471E-21</v>
      </c>
      <c r="AX165" s="23">
        <f t="shared" si="166"/>
        <v>2.503387945867471E-21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335.83558218229564</v>
      </c>
      <c r="BJ165" s="62">
        <f t="shared" si="146"/>
        <v>217.08423061559648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2.8423926035153901E-19</v>
      </c>
      <c r="BS165" s="24">
        <f t="shared" si="169"/>
        <v>2.8423926035153901E-19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5.6843418860808015E-14</v>
      </c>
      <c r="BZ165" s="14">
        <f>BY165*VLOOKUP('Données projet'!$B$12,Paramètres!$A$1:$I$89,3,0)*VLOOKUP('Données projet'!$B$12,Paramètres!$A$1:$I$89,5,0)</f>
        <v>4.4337866711430253E-14</v>
      </c>
      <c r="CA165" s="14">
        <f t="shared" si="170"/>
        <v>7.3222115536967035E-13</v>
      </c>
      <c r="CB165" s="22">
        <f t="shared" si="171"/>
        <v>1.3525069634579169E-12</v>
      </c>
      <c r="CC165" s="62">
        <f t="shared" si="119"/>
        <v>293.33333333333468</v>
      </c>
      <c r="CD165" s="62">
        <f ca="1">AVERAGE(OFFSET($CC$3,0,0,'Données projet'!$E$12+1,1))-AVERAGE(OFFSET($H$3,0,0,'Données projet'!$E$12+1,1))</f>
        <v>288.82868507674738</v>
      </c>
      <c r="CE165" s="62">
        <f t="shared" si="148"/>
        <v>283.48738729114024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0.12538453481180065</v>
      </c>
      <c r="CM165" s="23">
        <f>EXP(-LN(2)/2)*CM164+(1-EXP(-LN(2)/2))/(LN(2)/2)*CG165*CJ165*VLOOKUP('Données projet'!$B$12,Paramètres!$A$1:$I$89,3,0)*0.475*44/12</f>
        <v>3.496239891246839E-20</v>
      </c>
      <c r="CN165" s="24">
        <f t="shared" si="172"/>
        <v>0.12538453481180065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317.99999999999972</v>
      </c>
      <c r="CU165" s="18">
        <f>CT165*VLOOKUP('Données projet'!$B$13,Paramètres!$A$1:$I$89,3,0)*VLOOKUP('Données projet'!$B$13,Paramètres!$A$1:$I$89,5,0)</f>
        <v>277.80479999999983</v>
      </c>
      <c r="CV165" s="14">
        <f t="shared" si="173"/>
        <v>66.50288772038418</v>
      </c>
      <c r="CW165" s="22">
        <f t="shared" si="174"/>
        <v>599.66922277966887</v>
      </c>
      <c r="CX165" s="62">
        <f t="shared" si="122"/>
        <v>893.00255611300213</v>
      </c>
      <c r="CY165" s="62">
        <f ca="1">AVERAGE(OFFSET($CX$3,0,0,'Données projet'!$E$13+1,1))-AVERAGE(OFFSET($H$3,0,0,'Données projet'!$E$13+1,1))</f>
        <v>383.46266660377637</v>
      </c>
      <c r="CZ165" s="62">
        <f t="shared" si="150"/>
        <v>373.1287543230714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0.41323203791617358</v>
      </c>
      <c r="DH165" s="23">
        <f>EXP(-LN(2)/2)*DH164+(1-EXP(-LN(2)/2))/(LN(2)/2)*DB165*DE165*VLOOKUP('Données projet'!$B$13,Paramètres!$A$1:$I$89,3,0)*0.475*44/12</f>
        <v>2.8780740698238904E-19</v>
      </c>
      <c r="DI165" s="24">
        <f t="shared" si="175"/>
        <v>0.41323203791617358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>
        <f>DO165*VLOOKUP('Données projet'!$B$14,Paramètres!$A$1:$I$89,3,0)*VLOOKUP('Données projet'!$B$14,Paramètres!$A$1:$I$89,5,0)</f>
        <v>0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96.56611521638132</v>
      </c>
      <c r="DU165" s="62">
        <f t="shared" si="152"/>
        <v>465.03257878814094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6.0353693933346664</v>
      </c>
      <c r="EB165" s="23">
        <f>EXP(-LN(2)/25)*EB164+(1-EXP(-LN(2)/25))/(LN(2)/25)*Calculateur!DW165*Calculateur!DY165*VLOOKUP('Données projet'!$B$14,Paramètres!$A$1:$I$89,3,0)*0.475*44/12</f>
        <v>0.47275970911165066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6.5081291024463166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317.99999999999972</v>
      </c>
      <c r="EK165" s="18">
        <f>EJ165*VLOOKUP('Données projet'!$B$15,Paramètres!$A$1:$I$89,3,0)*VLOOKUP('Données projet'!$B$15,Paramètres!$A$1:$I$89,5,0)</f>
        <v>257.96159999999981</v>
      </c>
      <c r="EL165" s="14">
        <f t="shared" si="179"/>
        <v>62.287674609742425</v>
      </c>
      <c r="EM165" s="22">
        <f t="shared" si="180"/>
        <v>557.76748661196768</v>
      </c>
      <c r="EN165" s="62">
        <f t="shared" si="128"/>
        <v>851.10081994530105</v>
      </c>
      <c r="EO165" s="62">
        <f ca="1">AVERAGE(OFFSET($EN$3,0,0,'Données projet'!$E$15+1,1))-AVERAGE(OFFSET($H$3,0,0,'Données projet'!$E$15+1,1))</f>
        <v>358.75637627589799</v>
      </c>
      <c r="EP165" s="62">
        <f t="shared" si="154"/>
        <v>349.64821164483607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0.70792972118073993</v>
      </c>
      <c r="EW165" s="23">
        <f>EXP(-LN(2)/25)*EW164+(1-EXP(-LN(2)/25))/(LN(2)/25)*Calculateur!ER165*Calculateur!ET165*VLOOKUP('Données projet'!$B$15,Paramètres!$A$1:$I$89,3,0)*0.475*44/12</f>
        <v>0.39475618366934639</v>
      </c>
      <c r="EX165" s="23">
        <f>EXP(-LN(2)/2)*EX164+(1-EXP(-LN(2)/2))/(LN(2)/2)*ER165*EU165*VLOOKUP('Données projet'!$B$15,Paramètres!$A$1:$I$89,3,0)*0.475*44/12</f>
        <v>4.941766627019244E-20</v>
      </c>
      <c r="EY165" s="24">
        <f t="shared" si="181"/>
        <v>1.1026859048500863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>
        <f>FE165*VLOOKUP('Données projet'!$B$16,Paramètres!$A$1:$I$89,3,0)*VLOOKUP('Données projet'!$B$16,Paramètres!$A$1:$I$89,5,0)</f>
        <v>0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121.28977654040114</v>
      </c>
      <c r="FK165" s="62">
        <f t="shared" si="156"/>
        <v>615.69585264342595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8.1316881742128135</v>
      </c>
      <c r="FR165" s="23">
        <f>EXP(-LN(2)/25)*FR164+(1-EXP(-LN(2)/25))/(LN(2)/25)*Calculateur!FM165*Calculateur!FO165*VLOOKUP('Données projet'!$B$16,Paramètres!$A$1:$I$89,3,0)*0.475*44/12</f>
        <v>0.63696756325687376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8.7686557374696878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317.99999999999972</v>
      </c>
      <c r="O166" s="14">
        <f>N166*VLOOKUP('Données projet'!$B$9,Paramètres!$A$1:$I$89,3,0)*VLOOKUP('Données projet'!$B$9,Paramètres!$A$1:$I$89,5,0)</f>
        <v>253.0007999999998</v>
      </c>
      <c r="P166" s="14">
        <f t="shared" si="141"/>
        <v>61.228070105968683</v>
      </c>
      <c r="Q166" s="22">
        <f t="shared" si="162"/>
        <v>547.28194876789507</v>
      </c>
      <c r="R166" s="62">
        <f t="shared" si="109"/>
        <v>840.61528210122833</v>
      </c>
      <c r="S166" s="62">
        <f ca="1">AVERAGE(OFFSET($R$3,0,0,'Données projet'!$E$9+1,1))-AVERAGE(OFFSET($H$3,0,0,'Données projet'!$E$9+1,1))</f>
        <v>352.5736659365665</v>
      </c>
      <c r="T166" s="62">
        <f t="shared" si="142"/>
        <v>343.77208530767069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0.96783690825308222</v>
      </c>
      <c r="AA166" s="23">
        <f>EXP(-LN(2)/25)*AA165+(1-EXP(-LN(2)/25))/(LN(2)/25)*Calculateur!V166*Calculateur!X166*VLOOKUP('Données projet'!$B$9,Paramètres!$A$1:$I$89,3,0)*0.475*44/12</f>
        <v>0.59378491272341372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1.5616218209764958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3.7243808037601412E-14</v>
      </c>
      <c r="AK166" s="14">
        <f t="shared" si="164"/>
        <v>6.2767589361185393E-13</v>
      </c>
      <c r="AL166" s="22">
        <f t="shared" si="165"/>
        <v>1.1580684803728015E-12</v>
      </c>
      <c r="AM166" s="62">
        <f t="shared" si="113"/>
        <v>293.33333333333445</v>
      </c>
      <c r="AN166" s="62">
        <f ca="1">AVERAGE(OFFSET($AM$3,0,0,'Données projet'!$E$10+1,1))-AVERAGE(OFFSET($H$3,0,0,'Données projet'!$E$10+1,1))</f>
        <v>210.08998695869161</v>
      </c>
      <c r="AO166" s="62">
        <f t="shared" si="144"/>
        <v>207.30911916430881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1.7701625924635505E-21</v>
      </c>
      <c r="AX166" s="23">
        <f t="shared" si="166"/>
        <v>1.7701625924635505E-21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335.83558218229564</v>
      </c>
      <c r="BJ166" s="62">
        <f t="shared" si="146"/>
        <v>217.08423061559648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2.0098750847402181E-19</v>
      </c>
      <c r="BS166" s="24">
        <f t="shared" si="169"/>
        <v>2.0098750847402181E-19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5.6843418860808015E-14</v>
      </c>
      <c r="BZ166" s="14">
        <f>BY166*VLOOKUP('Données projet'!$B$12,Paramètres!$A$1:$I$89,3,0)*VLOOKUP('Données projet'!$B$12,Paramètres!$A$1:$I$89,5,0)</f>
        <v>4.4337866711430253E-14</v>
      </c>
      <c r="CA166" s="14">
        <f t="shared" si="170"/>
        <v>7.3222115536967035E-13</v>
      </c>
      <c r="CB166" s="22">
        <f t="shared" si="171"/>
        <v>1.3525069634579169E-12</v>
      </c>
      <c r="CC166" s="62">
        <f t="shared" si="119"/>
        <v>293.33333333333468</v>
      </c>
      <c r="CD166" s="62">
        <f ca="1">AVERAGE(OFFSET($CC$3,0,0,'Données projet'!$E$12+1,1))-AVERAGE(OFFSET($H$3,0,0,'Données projet'!$E$12+1,1))</f>
        <v>288.82868507674738</v>
      </c>
      <c r="CE166" s="62">
        <f t="shared" si="148"/>
        <v>283.48738729114024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0.12195588811368584</v>
      </c>
      <c r="CM166" s="23">
        <f>EXP(-LN(2)/2)*CM165+(1-EXP(-LN(2)/2))/(LN(2)/2)*CG166*CJ166*VLOOKUP('Données projet'!$B$12,Paramètres!$A$1:$I$89,3,0)*0.475*44/12</f>
        <v>2.4722149357555573E-20</v>
      </c>
      <c r="CN166" s="24">
        <f t="shared" si="172"/>
        <v>0.12195588811368584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317.99999999999972</v>
      </c>
      <c r="CU166" s="18">
        <f>CT166*VLOOKUP('Données projet'!$B$13,Paramètres!$A$1:$I$89,3,0)*VLOOKUP('Données projet'!$B$13,Paramètres!$A$1:$I$89,5,0)</f>
        <v>277.80479999999983</v>
      </c>
      <c r="CV166" s="14">
        <f t="shared" si="173"/>
        <v>66.50288772038418</v>
      </c>
      <c r="CW166" s="22">
        <f t="shared" si="174"/>
        <v>599.66922277966887</v>
      </c>
      <c r="CX166" s="62">
        <f t="shared" si="122"/>
        <v>893.00255611300213</v>
      </c>
      <c r="CY166" s="62">
        <f ca="1">AVERAGE(OFFSET($CX$3,0,0,'Données projet'!$E$13+1,1))-AVERAGE(OFFSET($H$3,0,0,'Données projet'!$E$13+1,1))</f>
        <v>383.46266660377637</v>
      </c>
      <c r="CZ166" s="62">
        <f t="shared" si="150"/>
        <v>373.1287543230714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0.4019321861084274</v>
      </c>
      <c r="DH166" s="23">
        <f>EXP(-LN(2)/2)*DH165+(1-EXP(-LN(2)/2))/(LN(2)/2)*DB166*DE166*VLOOKUP('Données projet'!$B$13,Paramètres!$A$1:$I$89,3,0)*0.475*44/12</f>
        <v>2.035105691529638E-19</v>
      </c>
      <c r="DI166" s="24">
        <f t="shared" si="175"/>
        <v>0.4019321861084274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>
        <f>DO166*VLOOKUP('Données projet'!$B$14,Paramètres!$A$1:$I$89,3,0)*VLOOKUP('Données projet'!$B$14,Paramètres!$A$1:$I$89,5,0)</f>
        <v>0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96.56611521638132</v>
      </c>
      <c r="DU166" s="62">
        <f t="shared" si="152"/>
        <v>465.03257878814094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5.9170194807432139</v>
      </c>
      <c r="EB166" s="23">
        <f>EXP(-LN(2)/25)*EB165+(1-EXP(-LN(2)/25))/(LN(2)/25)*Calculateur!DW166*Calculateur!DY166*VLOOKUP('Données projet'!$B$14,Paramètres!$A$1:$I$89,3,0)*0.475*44/12</f>
        <v>0.45983207000463999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6.3768515507478538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317.99999999999972</v>
      </c>
      <c r="EK166" s="18">
        <f>EJ166*VLOOKUP('Données projet'!$B$15,Paramètres!$A$1:$I$89,3,0)*VLOOKUP('Données projet'!$B$15,Paramètres!$A$1:$I$89,5,0)</f>
        <v>257.96159999999981</v>
      </c>
      <c r="EL166" s="14">
        <f t="shared" si="179"/>
        <v>62.287674609742425</v>
      </c>
      <c r="EM166" s="22">
        <f t="shared" si="180"/>
        <v>557.76748661196768</v>
      </c>
      <c r="EN166" s="62">
        <f t="shared" si="128"/>
        <v>851.10081994530105</v>
      </c>
      <c r="EO166" s="62">
        <f ca="1">AVERAGE(OFFSET($EN$3,0,0,'Données projet'!$E$15+1,1))-AVERAGE(OFFSET($H$3,0,0,'Données projet'!$E$15+1,1))</f>
        <v>358.75637627589799</v>
      </c>
      <c r="EP166" s="62">
        <f t="shared" si="154"/>
        <v>349.64821164483607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0.69404765114287936</v>
      </c>
      <c r="EW166" s="23">
        <f>EXP(-LN(2)/25)*EW165+(1-EXP(-LN(2)/25))/(LN(2)/25)*Calculateur!ER166*Calculateur!ET166*VLOOKUP('Données projet'!$B$15,Paramètres!$A$1:$I$89,3,0)*0.475*44/12</f>
        <v>0.38396155506758267</v>
      </c>
      <c r="EX166" s="23">
        <f>EXP(-LN(2)/2)*EX165+(1-EXP(-LN(2)/2))/(LN(2)/2)*ER166*EU166*VLOOKUP('Données projet'!$B$15,Paramètres!$A$1:$I$89,3,0)*0.475*44/12</f>
        <v>3.4943566930066795E-20</v>
      </c>
      <c r="EY166" s="24">
        <f t="shared" si="181"/>
        <v>1.078009206210462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>
        <f>FE166*VLOOKUP('Données projet'!$B$16,Paramètres!$A$1:$I$89,3,0)*VLOOKUP('Données projet'!$B$16,Paramètres!$A$1:$I$89,5,0)</f>
        <v>0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121.28977654040114</v>
      </c>
      <c r="FK166" s="62">
        <f t="shared" si="156"/>
        <v>615.69585264342595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7.9722307289565428</v>
      </c>
      <c r="FR166" s="23">
        <f>EXP(-LN(2)/25)*FR165+(1-EXP(-LN(2)/25))/(LN(2)/25)*Calculateur!FM166*Calculateur!FO166*VLOOKUP('Données projet'!$B$16,Paramètres!$A$1:$I$89,3,0)*0.475*44/12</f>
        <v>0.61954965174294618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8.5917803806994897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317.99999999999972</v>
      </c>
      <c r="O167" s="14">
        <f>N167*VLOOKUP('Données projet'!$B$9,Paramètres!$A$1:$I$89,3,0)*VLOOKUP('Données projet'!$B$9,Paramètres!$A$1:$I$89,5,0)</f>
        <v>253.0007999999998</v>
      </c>
      <c r="P167" s="14">
        <f t="shared" si="141"/>
        <v>61.228070105968683</v>
      </c>
      <c r="Q167" s="22">
        <f t="shared" si="162"/>
        <v>547.28194876789507</v>
      </c>
      <c r="R167" s="62">
        <f t="shared" si="109"/>
        <v>840.61528210122833</v>
      </c>
      <c r="S167" s="62">
        <f ca="1">AVERAGE(OFFSET($R$3,0,0,'Données projet'!$E$9+1,1))-AVERAGE(OFFSET($H$3,0,0,'Données projet'!$E$9+1,1))</f>
        <v>352.5736659365665</v>
      </c>
      <c r="T167" s="62">
        <f t="shared" si="142"/>
        <v>343.77208530767069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0.94885821680446381</v>
      </c>
      <c r="AA167" s="23">
        <f>EXP(-LN(2)/25)*AA166+(1-EXP(-LN(2)/25))/(LN(2)/25)*Calculateur!V167*Calculateur!X167*VLOOKUP('Données projet'!$B$9,Paramètres!$A$1:$I$89,3,0)*0.475*44/12</f>
        <v>0.57754783305920054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1.5264060498636645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3.7243808037601412E-14</v>
      </c>
      <c r="AK167" s="14">
        <f t="shared" si="164"/>
        <v>6.2767589361185393E-13</v>
      </c>
      <c r="AL167" s="22">
        <f t="shared" si="165"/>
        <v>1.1580684803728015E-12</v>
      </c>
      <c r="AM167" s="62">
        <f t="shared" si="113"/>
        <v>293.33333333333445</v>
      </c>
      <c r="AN167" s="62">
        <f ca="1">AVERAGE(OFFSET($AM$3,0,0,'Données projet'!$E$10+1,1))-AVERAGE(OFFSET($H$3,0,0,'Données projet'!$E$10+1,1))</f>
        <v>210.08998695869161</v>
      </c>
      <c r="AO167" s="62">
        <f t="shared" si="144"/>
        <v>207.30911916430881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1.2516939729337355E-21</v>
      </c>
      <c r="AX167" s="23">
        <f t="shared" si="166"/>
        <v>1.2516939729337355E-21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335.83558218229564</v>
      </c>
      <c r="BJ167" s="62">
        <f t="shared" si="146"/>
        <v>217.08423061559648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1.4211963017576951E-19</v>
      </c>
      <c r="BS167" s="24">
        <f t="shared" si="169"/>
        <v>1.4211963017576951E-19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5.6843418860808015E-14</v>
      </c>
      <c r="BZ167" s="14">
        <f>BY167*VLOOKUP('Données projet'!$B$12,Paramètres!$A$1:$I$89,3,0)*VLOOKUP('Données projet'!$B$12,Paramètres!$A$1:$I$89,5,0)</f>
        <v>4.4337866711430253E-14</v>
      </c>
      <c r="CA167" s="14">
        <f t="shared" si="170"/>
        <v>7.3222115536967035E-13</v>
      </c>
      <c r="CB167" s="22">
        <f t="shared" si="171"/>
        <v>1.3525069634579169E-12</v>
      </c>
      <c r="CC167" s="62">
        <f t="shared" si="119"/>
        <v>293.33333333333468</v>
      </c>
      <c r="CD167" s="62">
        <f ca="1">AVERAGE(OFFSET($CC$3,0,0,'Données projet'!$E$12+1,1))-AVERAGE(OFFSET($H$3,0,0,'Données projet'!$E$12+1,1))</f>
        <v>288.82868507674738</v>
      </c>
      <c r="CE167" s="62">
        <f t="shared" si="148"/>
        <v>283.48738729114024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0.11862099793983567</v>
      </c>
      <c r="CM167" s="23">
        <f>EXP(-LN(2)/2)*CM166+(1-EXP(-LN(2)/2))/(LN(2)/2)*CG167*CJ167*VLOOKUP('Données projet'!$B$12,Paramètres!$A$1:$I$89,3,0)*0.475*44/12</f>
        <v>1.7481199456234195E-20</v>
      </c>
      <c r="CN167" s="24">
        <f t="shared" si="172"/>
        <v>0.11862099793983567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317.99999999999972</v>
      </c>
      <c r="CU167" s="18">
        <f>CT167*VLOOKUP('Données projet'!$B$13,Paramètres!$A$1:$I$89,3,0)*VLOOKUP('Données projet'!$B$13,Paramètres!$A$1:$I$89,5,0)</f>
        <v>277.80479999999983</v>
      </c>
      <c r="CV167" s="14">
        <f t="shared" si="173"/>
        <v>66.50288772038418</v>
      </c>
      <c r="CW167" s="22">
        <f t="shared" si="174"/>
        <v>599.66922277966887</v>
      </c>
      <c r="CX167" s="62">
        <f t="shared" si="122"/>
        <v>893.00255611300213</v>
      </c>
      <c r="CY167" s="62">
        <f ca="1">AVERAGE(OFFSET($CX$3,0,0,'Données projet'!$E$13+1,1))-AVERAGE(OFFSET($H$3,0,0,'Données projet'!$E$13+1,1))</f>
        <v>383.46266660377637</v>
      </c>
      <c r="CZ167" s="62">
        <f t="shared" si="150"/>
        <v>373.1287543230714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0.3909413293425974</v>
      </c>
      <c r="DH167" s="23">
        <f>EXP(-LN(2)/2)*DH166+(1-EXP(-LN(2)/2))/(LN(2)/2)*DB167*DE167*VLOOKUP('Données projet'!$B$13,Paramètres!$A$1:$I$89,3,0)*0.475*44/12</f>
        <v>1.4390370349119452E-19</v>
      </c>
      <c r="DI167" s="24">
        <f t="shared" si="175"/>
        <v>0.3909413293425974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>
        <f>DO167*VLOOKUP('Données projet'!$B$14,Paramètres!$A$1:$I$89,3,0)*VLOOKUP('Données projet'!$B$14,Paramètres!$A$1:$I$89,5,0)</f>
        <v>0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96.56611521638132</v>
      </c>
      <c r="DU167" s="62">
        <f t="shared" si="152"/>
        <v>465.03257878814094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5.8009903377513607</v>
      </c>
      <c r="EB167" s="23">
        <f>EXP(-LN(2)/25)*EB166+(1-EXP(-LN(2)/25))/(LN(2)/25)*Calculateur!DW167*Calculateur!DY167*VLOOKUP('Données projet'!$B$14,Paramètres!$A$1:$I$89,3,0)*0.475*44/12</f>
        <v>0.44725793786884549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6.248248275620206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317.99999999999972</v>
      </c>
      <c r="EK167" s="18">
        <f>EJ167*VLOOKUP('Données projet'!$B$15,Paramètres!$A$1:$I$89,3,0)*VLOOKUP('Données projet'!$B$15,Paramètres!$A$1:$I$89,5,0)</f>
        <v>257.96159999999981</v>
      </c>
      <c r="EL167" s="14">
        <f t="shared" si="179"/>
        <v>62.287674609742425</v>
      </c>
      <c r="EM167" s="22">
        <f t="shared" si="180"/>
        <v>557.76748661196768</v>
      </c>
      <c r="EN167" s="62">
        <f t="shared" si="128"/>
        <v>851.10081994530105</v>
      </c>
      <c r="EO167" s="62">
        <f ca="1">AVERAGE(OFFSET($EN$3,0,0,'Données projet'!$E$15+1,1))-AVERAGE(OFFSET($H$3,0,0,'Données projet'!$E$15+1,1))</f>
        <v>358.75637627589799</v>
      </c>
      <c r="EP167" s="62">
        <f t="shared" si="154"/>
        <v>349.64821164483607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0.68043780003123455</v>
      </c>
      <c r="EW167" s="23">
        <f>EXP(-LN(2)/25)*EW166+(1-EXP(-LN(2)/25))/(LN(2)/25)*Calculateur!ER167*Calculateur!ET167*VLOOKUP('Données projet'!$B$15,Paramètres!$A$1:$I$89,3,0)*0.475*44/12</f>
        <v>0.373462106152599</v>
      </c>
      <c r="EX167" s="23">
        <f>EXP(-LN(2)/2)*EX166+(1-EXP(-LN(2)/2))/(LN(2)/2)*ER167*EU167*VLOOKUP('Données projet'!$B$15,Paramètres!$A$1:$I$89,3,0)*0.475*44/12</f>
        <v>2.470883313509622E-20</v>
      </c>
      <c r="EY167" s="24">
        <f t="shared" si="181"/>
        <v>1.0538999061838337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>
        <f>FE167*VLOOKUP('Données projet'!$B$16,Paramètres!$A$1:$I$89,3,0)*VLOOKUP('Données projet'!$B$16,Paramètres!$A$1:$I$89,5,0)</f>
        <v>0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121.28977654040114</v>
      </c>
      <c r="FK167" s="62">
        <f t="shared" si="156"/>
        <v>615.69585264342595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7.8159001469423099</v>
      </c>
      <c r="FR167" s="23">
        <f>EXP(-LN(2)/25)*FR166+(1-EXP(-LN(2)/25))/(LN(2)/25)*Calculateur!FM167*Calculateur!FO167*VLOOKUP('Données projet'!$B$16,Paramètres!$A$1:$I$89,3,0)*0.475*44/12</f>
        <v>0.60260803393533513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8.4185081808776445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317.99999999999972</v>
      </c>
      <c r="O168" s="14">
        <f>N168*VLOOKUP('Données projet'!$B$9,Paramètres!$A$1:$I$89,3,0)*VLOOKUP('Données projet'!$B$9,Paramètres!$A$1:$I$89,5,0)</f>
        <v>253.0007999999998</v>
      </c>
      <c r="P168" s="14">
        <f t="shared" si="141"/>
        <v>61.228070105968683</v>
      </c>
      <c r="Q168" s="22">
        <f t="shared" si="162"/>
        <v>547.28194876789507</v>
      </c>
      <c r="R168" s="62">
        <f t="shared" si="109"/>
        <v>840.61528210122833</v>
      </c>
      <c r="S168" s="62">
        <f ca="1">AVERAGE(OFFSET($R$3,0,0,'Données projet'!$E$9+1,1))-AVERAGE(OFFSET($H$3,0,0,'Données projet'!$E$9+1,1))</f>
        <v>352.5736659365665</v>
      </c>
      <c r="T168" s="62">
        <f t="shared" si="142"/>
        <v>343.77208530767069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0.93025168591929408</v>
      </c>
      <c r="AA168" s="23">
        <f>EXP(-LN(2)/25)*AA167+(1-EXP(-LN(2)/25))/(LN(2)/25)*Calculateur!V168*Calculateur!X168*VLOOKUP('Données projet'!$B$9,Paramètres!$A$1:$I$89,3,0)*0.475*44/12</f>
        <v>0.56175475719227619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1.4920064431115703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3.7243808037601412E-14</v>
      </c>
      <c r="AK168" s="14">
        <f t="shared" si="164"/>
        <v>6.2767589361185393E-13</v>
      </c>
      <c r="AL168" s="22">
        <f t="shared" si="165"/>
        <v>1.1580684803728015E-12</v>
      </c>
      <c r="AM168" s="62">
        <f t="shared" si="113"/>
        <v>293.33333333333445</v>
      </c>
      <c r="AN168" s="62">
        <f ca="1">AVERAGE(OFFSET($AM$3,0,0,'Données projet'!$E$10+1,1))-AVERAGE(OFFSET($H$3,0,0,'Données projet'!$E$10+1,1))</f>
        <v>210.08998695869161</v>
      </c>
      <c r="AO168" s="62">
        <f t="shared" si="144"/>
        <v>207.30911916430881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8.8508129623177523E-22</v>
      </c>
      <c r="AX168" s="23">
        <f t="shared" si="166"/>
        <v>8.8508129623177523E-22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335.83558218229564</v>
      </c>
      <c r="BJ168" s="62">
        <f t="shared" si="146"/>
        <v>217.08423061559648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1.0049375423701091E-19</v>
      </c>
      <c r="BS168" s="24">
        <f t="shared" si="169"/>
        <v>1.0049375423701091E-19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5.6843418860808015E-14</v>
      </c>
      <c r="BZ168" s="14">
        <f>BY168*VLOOKUP('Données projet'!$B$12,Paramètres!$A$1:$I$89,3,0)*VLOOKUP('Données projet'!$B$12,Paramètres!$A$1:$I$89,5,0)</f>
        <v>4.4337866711430253E-14</v>
      </c>
      <c r="CA168" s="14">
        <f t="shared" si="170"/>
        <v>7.3222115536967035E-13</v>
      </c>
      <c r="CB168" s="22">
        <f t="shared" si="171"/>
        <v>1.3525069634579169E-12</v>
      </c>
      <c r="CC168" s="62">
        <f t="shared" si="119"/>
        <v>293.33333333333468</v>
      </c>
      <c r="CD168" s="62">
        <f ca="1">AVERAGE(OFFSET($CC$3,0,0,'Données projet'!$E$12+1,1))-AVERAGE(OFFSET($H$3,0,0,'Données projet'!$E$12+1,1))</f>
        <v>288.82868507674738</v>
      </c>
      <c r="CE168" s="62">
        <f t="shared" si="148"/>
        <v>283.48738729114024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0.11537730051316369</v>
      </c>
      <c r="CM168" s="23">
        <f>EXP(-LN(2)/2)*CM167+(1-EXP(-LN(2)/2))/(LN(2)/2)*CG168*CJ168*VLOOKUP('Données projet'!$B$12,Paramètres!$A$1:$I$89,3,0)*0.475*44/12</f>
        <v>1.2361074678777787E-20</v>
      </c>
      <c r="CN168" s="24">
        <f t="shared" si="172"/>
        <v>0.11537730051316369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317.99999999999972</v>
      </c>
      <c r="CU168" s="18">
        <f>CT168*VLOOKUP('Données projet'!$B$13,Paramètres!$A$1:$I$89,3,0)*VLOOKUP('Données projet'!$B$13,Paramètres!$A$1:$I$89,5,0)</f>
        <v>277.80479999999983</v>
      </c>
      <c r="CV168" s="14">
        <f t="shared" si="173"/>
        <v>66.50288772038418</v>
      </c>
      <c r="CW168" s="22">
        <f t="shared" si="174"/>
        <v>599.66922277966887</v>
      </c>
      <c r="CX168" s="62">
        <f t="shared" si="122"/>
        <v>893.00255611300213</v>
      </c>
      <c r="CY168" s="62">
        <f ca="1">AVERAGE(OFFSET($CX$3,0,0,'Données projet'!$E$13+1,1))-AVERAGE(OFFSET($H$3,0,0,'Données projet'!$E$13+1,1))</f>
        <v>383.46266660377637</v>
      </c>
      <c r="CZ168" s="62">
        <f t="shared" si="150"/>
        <v>373.1287543230714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0.3802510181330131</v>
      </c>
      <c r="DH168" s="23">
        <f>EXP(-LN(2)/2)*DH167+(1-EXP(-LN(2)/2))/(LN(2)/2)*DB168*DE168*VLOOKUP('Données projet'!$B$13,Paramètres!$A$1:$I$89,3,0)*0.475*44/12</f>
        <v>1.017552845764819E-19</v>
      </c>
      <c r="DI168" s="24">
        <f t="shared" si="175"/>
        <v>0.3802510181330131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>
        <f>DO168*VLOOKUP('Données projet'!$B$14,Paramètres!$A$1:$I$89,3,0)*VLOOKUP('Données projet'!$B$14,Paramètres!$A$1:$I$89,5,0)</f>
        <v>0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96.56611521638132</v>
      </c>
      <c r="DU168" s="62">
        <f t="shared" si="152"/>
        <v>465.03257878814094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5.6872364554827888</v>
      </c>
      <c r="EB168" s="23">
        <f>EXP(-LN(2)/25)*EB167+(1-EXP(-LN(2)/25))/(LN(2)/25)*Calculateur!DW168*Calculateur!DY168*VLOOKUP('Données projet'!$B$14,Paramètres!$A$1:$I$89,3,0)*0.475*44/12</f>
        <v>0.43502764603754918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6.1222641015203383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317.99999999999972</v>
      </c>
      <c r="EK168" s="18">
        <f>EJ168*VLOOKUP('Données projet'!$B$15,Paramètres!$A$1:$I$89,3,0)*VLOOKUP('Données projet'!$B$15,Paramètres!$A$1:$I$89,5,0)</f>
        <v>257.96159999999981</v>
      </c>
      <c r="EL168" s="14">
        <f t="shared" si="179"/>
        <v>62.287674609742425</v>
      </c>
      <c r="EM168" s="22">
        <f t="shared" si="180"/>
        <v>557.76748661196768</v>
      </c>
      <c r="EN168" s="62">
        <f t="shared" si="128"/>
        <v>851.10081994530105</v>
      </c>
      <c r="EO168" s="62">
        <f ca="1">AVERAGE(OFFSET($EN$3,0,0,'Données projet'!$E$15+1,1))-AVERAGE(OFFSET($H$3,0,0,'Données projet'!$E$15+1,1))</f>
        <v>358.75637627589799</v>
      </c>
      <c r="EP168" s="62">
        <f t="shared" si="154"/>
        <v>349.64821164483607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0.66709482979869961</v>
      </c>
      <c r="EW168" s="23">
        <f>EXP(-LN(2)/25)*EW167+(1-EXP(-LN(2)/25))/(LN(2)/25)*Calculateur!ER168*Calculateur!ET168*VLOOKUP('Données projet'!$B$15,Paramètres!$A$1:$I$89,3,0)*0.475*44/12</f>
        <v>0.36324976522033758</v>
      </c>
      <c r="EX168" s="23">
        <f>EXP(-LN(2)/2)*EX167+(1-EXP(-LN(2)/2))/(LN(2)/2)*ER168*EU168*VLOOKUP('Données projet'!$B$15,Paramètres!$A$1:$I$89,3,0)*0.475*44/12</f>
        <v>1.7471783465033398E-20</v>
      </c>
      <c r="EY168" s="24">
        <f t="shared" si="181"/>
        <v>1.0303445950190371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>
        <f>FE168*VLOOKUP('Données projet'!$B$16,Paramètres!$A$1:$I$89,3,0)*VLOOKUP('Données projet'!$B$16,Paramètres!$A$1:$I$89,5,0)</f>
        <v>0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121.28977654040114</v>
      </c>
      <c r="FK168" s="62">
        <f t="shared" si="156"/>
        <v>615.69585264342595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7.6626351122891361</v>
      </c>
      <c r="FR168" s="23">
        <f>EXP(-LN(2)/25)*FR167+(1-EXP(-LN(2)/25))/(LN(2)/25)*Calculateur!FM168*Calculateur!FO168*VLOOKUP('Données projet'!$B$16,Paramètres!$A$1:$I$89,3,0)*0.475*44/12</f>
        <v>0.58612968555759415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8.2487647978467304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317.99999999999972</v>
      </c>
      <c r="O169" s="14">
        <f>N169*VLOOKUP('Données projet'!$B$9,Paramètres!$A$1:$I$89,3,0)*VLOOKUP('Données projet'!$B$9,Paramètres!$A$1:$I$89,5,0)</f>
        <v>253.0007999999998</v>
      </c>
      <c r="P169" s="14">
        <f t="shared" si="141"/>
        <v>61.228070105968683</v>
      </c>
      <c r="Q169" s="22">
        <f t="shared" si="162"/>
        <v>547.28194876789507</v>
      </c>
      <c r="R169" s="62">
        <f t="shared" si="109"/>
        <v>840.61528210122833</v>
      </c>
      <c r="S169" s="62">
        <f ca="1">AVERAGE(OFFSET($R$3,0,0,'Données projet'!$E$9+1,1))-AVERAGE(OFFSET($H$3,0,0,'Données projet'!$E$9+1,1))</f>
        <v>352.5736659365665</v>
      </c>
      <c r="T169" s="62">
        <f t="shared" si="142"/>
        <v>343.77208530767069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0.91201001775591928</v>
      </c>
      <c r="AA169" s="23">
        <f>EXP(-LN(2)/25)*AA168+(1-EXP(-LN(2)/25))/(LN(2)/25)*Calculateur!V169*Calculateur!X169*VLOOKUP('Données projet'!$B$9,Paramètres!$A$1:$I$89,3,0)*0.475*44/12</f>
        <v>0.54639354381545457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1.458403561571374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3.7243808037601412E-14</v>
      </c>
      <c r="AK169" s="14">
        <f t="shared" si="164"/>
        <v>6.2767589361185393E-13</v>
      </c>
      <c r="AL169" s="22">
        <f t="shared" si="165"/>
        <v>1.1580684803728015E-12</v>
      </c>
      <c r="AM169" s="62">
        <f t="shared" si="113"/>
        <v>293.33333333333445</v>
      </c>
      <c r="AN169" s="62">
        <f ca="1">AVERAGE(OFFSET($AM$3,0,0,'Données projet'!$E$10+1,1))-AVERAGE(OFFSET($H$3,0,0,'Données projet'!$E$10+1,1))</f>
        <v>210.08998695869161</v>
      </c>
      <c r="AO169" s="62">
        <f t="shared" si="144"/>
        <v>207.30911916430881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6.2584698646686776E-22</v>
      </c>
      <c r="AX169" s="23">
        <f t="shared" si="166"/>
        <v>6.2584698646686776E-22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335.83558218229564</v>
      </c>
      <c r="BJ169" s="62">
        <f t="shared" si="146"/>
        <v>217.08423061559648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7.1059815087884753E-20</v>
      </c>
      <c r="BS169" s="24">
        <f t="shared" si="169"/>
        <v>7.1059815087884753E-20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5.6843418860808015E-14</v>
      </c>
      <c r="BZ169" s="14">
        <f>BY169*VLOOKUP('Données projet'!$B$12,Paramètres!$A$1:$I$89,3,0)*VLOOKUP('Données projet'!$B$12,Paramètres!$A$1:$I$89,5,0)</f>
        <v>4.4337866711430253E-14</v>
      </c>
      <c r="CA169" s="14">
        <f t="shared" si="170"/>
        <v>7.3222115536967035E-13</v>
      </c>
      <c r="CB169" s="22">
        <f t="shared" si="171"/>
        <v>1.3525069634579169E-12</v>
      </c>
      <c r="CC169" s="62">
        <f t="shared" si="119"/>
        <v>293.33333333333468</v>
      </c>
      <c r="CD169" s="62">
        <f ca="1">AVERAGE(OFFSET($CC$3,0,0,'Données projet'!$E$12+1,1))-AVERAGE(OFFSET($H$3,0,0,'Données projet'!$E$12+1,1))</f>
        <v>288.82868507674738</v>
      </c>
      <c r="CE169" s="62">
        <f t="shared" si="148"/>
        <v>283.48738729114024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0.1122223021632027</v>
      </c>
      <c r="CM169" s="23">
        <f>EXP(-LN(2)/2)*CM168+(1-EXP(-LN(2)/2))/(LN(2)/2)*CG169*CJ169*VLOOKUP('Données projet'!$B$12,Paramètres!$A$1:$I$89,3,0)*0.475*44/12</f>
        <v>8.7405997281170974E-21</v>
      </c>
      <c r="CN169" s="24">
        <f t="shared" si="172"/>
        <v>0.1122223021632027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317.99999999999972</v>
      </c>
      <c r="CU169" s="18">
        <f>CT169*VLOOKUP('Données projet'!$B$13,Paramètres!$A$1:$I$89,3,0)*VLOOKUP('Données projet'!$B$13,Paramètres!$A$1:$I$89,5,0)</f>
        <v>277.80479999999983</v>
      </c>
      <c r="CV169" s="14">
        <f t="shared" si="173"/>
        <v>66.50288772038418</v>
      </c>
      <c r="CW169" s="22">
        <f t="shared" si="174"/>
        <v>599.66922277966887</v>
      </c>
      <c r="CX169" s="62">
        <f t="shared" si="122"/>
        <v>893.00255611300213</v>
      </c>
      <c r="CY169" s="62">
        <f ca="1">AVERAGE(OFFSET($CX$3,0,0,'Données projet'!$E$13+1,1))-AVERAGE(OFFSET($H$3,0,0,'Données projet'!$E$13+1,1))</f>
        <v>383.46266660377637</v>
      </c>
      <c r="CZ169" s="62">
        <f t="shared" si="150"/>
        <v>373.1287543230714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0.36985303404563391</v>
      </c>
      <c r="DH169" s="23">
        <f>EXP(-LN(2)/2)*DH168+(1-EXP(-LN(2)/2))/(LN(2)/2)*DB169*DE169*VLOOKUP('Données projet'!$B$13,Paramètres!$A$1:$I$89,3,0)*0.475*44/12</f>
        <v>7.1951851745597261E-20</v>
      </c>
      <c r="DI169" s="24">
        <f t="shared" si="175"/>
        <v>0.36985303404563391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>
        <f>DO169*VLOOKUP('Données projet'!$B$14,Paramètres!$A$1:$I$89,3,0)*VLOOKUP('Données projet'!$B$14,Paramètres!$A$1:$I$89,5,0)</f>
        <v>0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96.56611521638132</v>
      </c>
      <c r="DU169" s="62">
        <f t="shared" si="152"/>
        <v>465.03257878814094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5.5757132174624866</v>
      </c>
      <c r="EB169" s="23">
        <f>EXP(-LN(2)/25)*EB168+(1-EXP(-LN(2)/25))/(LN(2)/25)*Calculateur!DW169*Calculateur!DY169*VLOOKUP('Données projet'!$B$14,Paramètres!$A$1:$I$89,3,0)*0.475*44/12</f>
        <v>0.42313179217954278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5.9988450096420296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317.99999999999972</v>
      </c>
      <c r="EK169" s="18">
        <f>EJ169*VLOOKUP('Données projet'!$B$15,Paramètres!$A$1:$I$89,3,0)*VLOOKUP('Données projet'!$B$15,Paramètres!$A$1:$I$89,5,0)</f>
        <v>257.96159999999981</v>
      </c>
      <c r="EL169" s="14">
        <f t="shared" si="179"/>
        <v>62.287674609742425</v>
      </c>
      <c r="EM169" s="22">
        <f t="shared" si="180"/>
        <v>557.76748661196768</v>
      </c>
      <c r="EN169" s="62">
        <f t="shared" si="128"/>
        <v>851.10081994530105</v>
      </c>
      <c r="EO169" s="62">
        <f ca="1">AVERAGE(OFFSET($EN$3,0,0,'Données projet'!$E$15+1,1))-AVERAGE(OFFSET($H$3,0,0,'Données projet'!$E$15+1,1))</f>
        <v>358.75637627589799</v>
      </c>
      <c r="EP169" s="62">
        <f t="shared" si="154"/>
        <v>349.64821164483607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0.65401350707401651</v>
      </c>
      <c r="EW169" s="23">
        <f>EXP(-LN(2)/25)*EW168+(1-EXP(-LN(2)/25))/(LN(2)/25)*Calculateur!ER169*Calculateur!ET169*VLOOKUP('Données projet'!$B$15,Paramètres!$A$1:$I$89,3,0)*0.475*44/12</f>
        <v>0.35331668128791249</v>
      </c>
      <c r="EX169" s="23">
        <f>EXP(-LN(2)/2)*EX168+(1-EXP(-LN(2)/2))/(LN(2)/2)*ER169*EU169*VLOOKUP('Données projet'!$B$15,Paramètres!$A$1:$I$89,3,0)*0.475*44/12</f>
        <v>1.235441656754811E-20</v>
      </c>
      <c r="EY169" s="24">
        <f t="shared" si="181"/>
        <v>1.007330188361929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>
        <f>FE169*VLOOKUP('Données projet'!$B$16,Paramètres!$A$1:$I$89,3,0)*VLOOKUP('Données projet'!$B$16,Paramètres!$A$1:$I$89,5,0)</f>
        <v>0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121.28977654040114</v>
      </c>
      <c r="FK169" s="62">
        <f t="shared" si="156"/>
        <v>615.69585264342595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7.5123755114830706</v>
      </c>
      <c r="FR169" s="23">
        <f>EXP(-LN(2)/25)*FR168+(1-EXP(-LN(2)/25))/(LN(2)/25)*Calculateur!FM169*Calculateur!FO169*VLOOKUP('Données projet'!$B$16,Paramètres!$A$1:$I$89,3,0)*0.475*44/12</f>
        <v>0.57010193848280122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8.0824774499658716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317.99999999999972</v>
      </c>
      <c r="O170" s="14">
        <f>N170*VLOOKUP('Données projet'!$B$9,Paramètres!$A$1:$I$89,3,0)*VLOOKUP('Données projet'!$B$9,Paramètres!$A$1:$I$89,5,0)</f>
        <v>253.0007999999998</v>
      </c>
      <c r="P170" s="14">
        <f t="shared" si="141"/>
        <v>61.228070105968683</v>
      </c>
      <c r="Q170" s="22">
        <f t="shared" si="162"/>
        <v>547.28194876789507</v>
      </c>
      <c r="R170" s="62">
        <f t="shared" si="109"/>
        <v>840.61528210122833</v>
      </c>
      <c r="S170" s="62">
        <f ca="1">AVERAGE(OFFSET($R$3,0,0,'Données projet'!$E$9+1,1))-AVERAGE(OFFSET($H$3,0,0,'Données projet'!$E$9+1,1))</f>
        <v>352.5736659365665</v>
      </c>
      <c r="T170" s="62">
        <f t="shared" si="142"/>
        <v>343.77208530767069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0.89412605757890928</v>
      </c>
      <c r="AA170" s="23">
        <f>EXP(-LN(2)/25)*AA169+(1-EXP(-LN(2)/25))/(LN(2)/25)*Calculateur!V170*Calculateur!X170*VLOOKUP('Données projet'!$B$9,Paramètres!$A$1:$I$89,3,0)*0.475*44/12</f>
        <v>0.53145238362623326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1.4255784412051424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3.7243808037601412E-14</v>
      </c>
      <c r="AK170" s="14">
        <f t="shared" si="164"/>
        <v>6.2767589361185393E-13</v>
      </c>
      <c r="AL170" s="22">
        <f t="shared" si="165"/>
        <v>1.1580684803728015E-12</v>
      </c>
      <c r="AM170" s="62">
        <f t="shared" si="113"/>
        <v>293.33333333333445</v>
      </c>
      <c r="AN170" s="62">
        <f ca="1">AVERAGE(OFFSET($AM$3,0,0,'Données projet'!$E$10+1,1))-AVERAGE(OFFSET($H$3,0,0,'Données projet'!$E$10+1,1))</f>
        <v>210.08998695869161</v>
      </c>
      <c r="AO170" s="62">
        <f t="shared" si="144"/>
        <v>207.30911916430881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4.4254064811588761E-22</v>
      </c>
      <c r="AX170" s="23">
        <f t="shared" si="166"/>
        <v>4.4254064811588761E-22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335.83558218229564</v>
      </c>
      <c r="BJ170" s="62">
        <f t="shared" si="146"/>
        <v>217.08423061559648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5.0246877118505453E-20</v>
      </c>
      <c r="BS170" s="24">
        <f t="shared" si="169"/>
        <v>5.0246877118505453E-20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5.6843418860808015E-14</v>
      </c>
      <c r="BZ170" s="14">
        <f>BY170*VLOOKUP('Données projet'!$B$12,Paramètres!$A$1:$I$89,3,0)*VLOOKUP('Données projet'!$B$12,Paramètres!$A$1:$I$89,5,0)</f>
        <v>4.4337866711430253E-14</v>
      </c>
      <c r="CA170" s="14">
        <f t="shared" si="170"/>
        <v>7.3222115536967035E-13</v>
      </c>
      <c r="CB170" s="22">
        <f t="shared" si="171"/>
        <v>1.3525069634579169E-12</v>
      </c>
      <c r="CC170" s="62">
        <f t="shared" si="119"/>
        <v>293.33333333333468</v>
      </c>
      <c r="CD170" s="62">
        <f ca="1">AVERAGE(OFFSET($CC$3,0,0,'Données projet'!$E$12+1,1))-AVERAGE(OFFSET($H$3,0,0,'Données projet'!$E$12+1,1))</f>
        <v>288.82868507674738</v>
      </c>
      <c r="CE170" s="62">
        <f t="shared" si="148"/>
        <v>283.48738729114024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0.10915357740903554</v>
      </c>
      <c r="CM170" s="23">
        <f>EXP(-LN(2)/2)*CM169+(1-EXP(-LN(2)/2))/(LN(2)/2)*CG170*CJ170*VLOOKUP('Données projet'!$B$12,Paramètres!$A$1:$I$89,3,0)*0.475*44/12</f>
        <v>6.1805373393888933E-21</v>
      </c>
      <c r="CN170" s="24">
        <f t="shared" si="172"/>
        <v>0.10915357740903554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317.99999999999972</v>
      </c>
      <c r="CU170" s="18">
        <f>CT170*VLOOKUP('Données projet'!$B$13,Paramètres!$A$1:$I$89,3,0)*VLOOKUP('Données projet'!$B$13,Paramètres!$A$1:$I$89,5,0)</f>
        <v>277.80479999999983</v>
      </c>
      <c r="CV170" s="14">
        <f t="shared" si="173"/>
        <v>66.50288772038418</v>
      </c>
      <c r="CW170" s="22">
        <f t="shared" si="174"/>
        <v>599.66922277966887</v>
      </c>
      <c r="CX170" s="62">
        <f t="shared" si="122"/>
        <v>893.00255611300213</v>
      </c>
      <c r="CY170" s="62">
        <f ca="1">AVERAGE(OFFSET($CX$3,0,0,'Données projet'!$E$13+1,1))-AVERAGE(OFFSET($H$3,0,0,'Données projet'!$E$13+1,1))</f>
        <v>383.46266660377637</v>
      </c>
      <c r="CZ170" s="62">
        <f t="shared" si="150"/>
        <v>373.1287543230714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0.35973938337993028</v>
      </c>
      <c r="DH170" s="23">
        <f>EXP(-LN(2)/2)*DH169+(1-EXP(-LN(2)/2))/(LN(2)/2)*DB170*DE170*VLOOKUP('Données projet'!$B$13,Paramètres!$A$1:$I$89,3,0)*0.475*44/12</f>
        <v>5.0877642288240951E-20</v>
      </c>
      <c r="DI170" s="24">
        <f t="shared" si="175"/>
        <v>0.35973938337993028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>
        <f>DO170*VLOOKUP('Données projet'!$B$14,Paramètres!$A$1:$I$89,3,0)*VLOOKUP('Données projet'!$B$14,Paramètres!$A$1:$I$89,5,0)</f>
        <v>0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96.56611521638132</v>
      </c>
      <c r="DU170" s="62">
        <f t="shared" si="152"/>
        <v>465.03257878814094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5.466376882117304</v>
      </c>
      <c r="EB170" s="23">
        <f>EXP(-LN(2)/25)*EB169+(1-EXP(-LN(2)/25))/(LN(2)/25)*Calculateur!DW170*Calculateur!DY170*VLOOKUP('Données projet'!$B$14,Paramètres!$A$1:$I$89,3,0)*0.475*44/12</f>
        <v>0.41156123107085929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5.8779381131881632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317.99999999999972</v>
      </c>
      <c r="EK170" s="18">
        <f>EJ170*VLOOKUP('Données projet'!$B$15,Paramètres!$A$1:$I$89,3,0)*VLOOKUP('Données projet'!$B$15,Paramètres!$A$1:$I$89,5,0)</f>
        <v>257.96159999999981</v>
      </c>
      <c r="EL170" s="14">
        <f t="shared" si="179"/>
        <v>62.287674609742425</v>
      </c>
      <c r="EM170" s="22">
        <f t="shared" si="180"/>
        <v>557.76748661196768</v>
      </c>
      <c r="EN170" s="62">
        <f t="shared" si="128"/>
        <v>851.10081994530105</v>
      </c>
      <c r="EO170" s="62">
        <f ca="1">AVERAGE(OFFSET($EN$3,0,0,'Données projet'!$E$15+1,1))-AVERAGE(OFFSET($H$3,0,0,'Données projet'!$E$15+1,1))</f>
        <v>358.75637627589799</v>
      </c>
      <c r="EP170" s="62">
        <f t="shared" si="154"/>
        <v>349.64821164483607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0.64118870110914539</v>
      </c>
      <c r="EW170" s="23">
        <f>EXP(-LN(2)/25)*EW169+(1-EXP(-LN(2)/25))/(LN(2)/25)*Calculateur!ER170*Calculateur!ET170*VLOOKUP('Données projet'!$B$15,Paramètres!$A$1:$I$89,3,0)*0.475*44/12</f>
        <v>0.34365521805797777</v>
      </c>
      <c r="EX170" s="23">
        <f>EXP(-LN(2)/2)*EX169+(1-EXP(-LN(2)/2))/(LN(2)/2)*ER170*EU170*VLOOKUP('Données projet'!$B$15,Paramètres!$A$1:$I$89,3,0)*0.475*44/12</f>
        <v>8.7358917325166988E-21</v>
      </c>
      <c r="EY170" s="24">
        <f t="shared" si="181"/>
        <v>0.98484391916712322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>
        <f>FE170*VLOOKUP('Données projet'!$B$16,Paramètres!$A$1:$I$89,3,0)*VLOOKUP('Données projet'!$B$16,Paramètres!$A$1:$I$89,5,0)</f>
        <v>0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121.28977654040114</v>
      </c>
      <c r="FK170" s="62">
        <f t="shared" si="156"/>
        <v>615.69585264342595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7.3650624097995054</v>
      </c>
      <c r="FR170" s="23">
        <f>EXP(-LN(2)/25)*FR169+(1-EXP(-LN(2)/25))/(LN(2)/25)*Calculateur!FM170*Calculateur!FO170*VLOOKUP('Données projet'!$B$16,Paramètres!$A$1:$I$89,3,0)*0.475*44/12</f>
        <v>0.55451247099463108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7.9195748807941362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317.99999999999972</v>
      </c>
      <c r="O171" s="14">
        <f>N171*VLOOKUP('Données projet'!$B$9,Paramètres!$A$1:$I$89,3,0)*VLOOKUP('Données projet'!$B$9,Paramètres!$A$1:$I$89,5,0)</f>
        <v>253.0007999999998</v>
      </c>
      <c r="P171" s="14">
        <f t="shared" si="141"/>
        <v>61.228070105968683</v>
      </c>
      <c r="Q171" s="22">
        <f t="shared" si="162"/>
        <v>547.28194876789507</v>
      </c>
      <c r="R171" s="62">
        <f t="shared" si="109"/>
        <v>840.61528210122833</v>
      </c>
      <c r="S171" s="62">
        <f ca="1">AVERAGE(OFFSET($R$3,0,0,'Données projet'!$E$9+1,1))-AVERAGE(OFFSET($H$3,0,0,'Données projet'!$E$9+1,1))</f>
        <v>352.5736659365665</v>
      </c>
      <c r="T171" s="62">
        <f t="shared" si="142"/>
        <v>343.77208530767069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0.87659279095283182</v>
      </c>
      <c r="AA171" s="23">
        <f>EXP(-LN(2)/25)*AA170+(1-EXP(-LN(2)/25))/(LN(2)/25)*Calculateur!V171*Calculateur!X171*VLOOKUP('Données projet'!$B$9,Paramètres!$A$1:$I$89,3,0)*0.475*44/12</f>
        <v>0.51691979024810775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1.3935125812009397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3.7243808037601412E-14</v>
      </c>
      <c r="AK171" s="14">
        <f t="shared" si="164"/>
        <v>6.2767589361185393E-13</v>
      </c>
      <c r="AL171" s="22">
        <f t="shared" si="165"/>
        <v>1.1580684803728015E-12</v>
      </c>
      <c r="AM171" s="62">
        <f t="shared" si="113"/>
        <v>293.33333333333445</v>
      </c>
      <c r="AN171" s="62">
        <f ca="1">AVERAGE(OFFSET($AM$3,0,0,'Données projet'!$E$10+1,1))-AVERAGE(OFFSET($H$3,0,0,'Données projet'!$E$10+1,1))</f>
        <v>210.08998695869161</v>
      </c>
      <c r="AO171" s="62">
        <f t="shared" si="144"/>
        <v>207.30911916430881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3.1292349323343388E-22</v>
      </c>
      <c r="AX171" s="23">
        <f t="shared" si="166"/>
        <v>3.1292349323343388E-22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335.83558218229564</v>
      </c>
      <c r="BJ171" s="62">
        <f t="shared" si="146"/>
        <v>217.08423061559648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3.5529907543942377E-20</v>
      </c>
      <c r="BS171" s="24">
        <f t="shared" si="169"/>
        <v>3.5529907543942377E-20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5.6843418860808015E-14</v>
      </c>
      <c r="BZ171" s="14">
        <f>BY171*VLOOKUP('Données projet'!$B$12,Paramètres!$A$1:$I$89,3,0)*VLOOKUP('Données projet'!$B$12,Paramètres!$A$1:$I$89,5,0)</f>
        <v>4.4337866711430253E-14</v>
      </c>
      <c r="CA171" s="14">
        <f t="shared" si="170"/>
        <v>7.3222115536967035E-13</v>
      </c>
      <c r="CB171" s="22">
        <f t="shared" si="171"/>
        <v>1.3525069634579169E-12</v>
      </c>
      <c r="CC171" s="62">
        <f t="shared" si="119"/>
        <v>293.33333333333468</v>
      </c>
      <c r="CD171" s="62">
        <f ca="1">AVERAGE(OFFSET($CC$3,0,0,'Données projet'!$E$12+1,1))-AVERAGE(OFFSET($H$3,0,0,'Données projet'!$E$12+1,1))</f>
        <v>288.82868507674738</v>
      </c>
      <c r="CE171" s="62">
        <f t="shared" si="148"/>
        <v>283.48738729114024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0.1061687670946483</v>
      </c>
      <c r="CM171" s="23">
        <f>EXP(-LN(2)/2)*CM170+(1-EXP(-LN(2)/2))/(LN(2)/2)*CG171*CJ171*VLOOKUP('Données projet'!$B$12,Paramètres!$A$1:$I$89,3,0)*0.475*44/12</f>
        <v>4.3702998640585487E-21</v>
      </c>
      <c r="CN171" s="24">
        <f t="shared" si="172"/>
        <v>0.1061687670946483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317.99999999999972</v>
      </c>
      <c r="CU171" s="18">
        <f>CT171*VLOOKUP('Données projet'!$B$13,Paramètres!$A$1:$I$89,3,0)*VLOOKUP('Données projet'!$B$13,Paramètres!$A$1:$I$89,5,0)</f>
        <v>277.80479999999983</v>
      </c>
      <c r="CV171" s="14">
        <f t="shared" si="173"/>
        <v>66.50288772038418</v>
      </c>
      <c r="CW171" s="22">
        <f t="shared" si="174"/>
        <v>599.66922277966887</v>
      </c>
      <c r="CX171" s="62">
        <f t="shared" si="122"/>
        <v>893.00255611300213</v>
      </c>
      <c r="CY171" s="62">
        <f ca="1">AVERAGE(OFFSET($CX$3,0,0,'Données projet'!$E$13+1,1))-AVERAGE(OFFSET($H$3,0,0,'Données projet'!$E$13+1,1))</f>
        <v>383.46266660377637</v>
      </c>
      <c r="CZ171" s="62">
        <f t="shared" si="150"/>
        <v>373.1287543230714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0.3499022910235341</v>
      </c>
      <c r="DH171" s="23">
        <f>EXP(-LN(2)/2)*DH170+(1-EXP(-LN(2)/2))/(LN(2)/2)*DB171*DE171*VLOOKUP('Données projet'!$B$13,Paramètres!$A$1:$I$89,3,0)*0.475*44/12</f>
        <v>3.5975925872798631E-20</v>
      </c>
      <c r="DI171" s="24">
        <f t="shared" si="175"/>
        <v>0.3499022910235341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>
        <f>DO171*VLOOKUP('Données projet'!$B$14,Paramètres!$A$1:$I$89,3,0)*VLOOKUP('Données projet'!$B$14,Paramètres!$A$1:$I$89,5,0)</f>
        <v>0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96.56611521638132</v>
      </c>
      <c r="DU171" s="62">
        <f t="shared" si="152"/>
        <v>465.03257878814094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5.3591845656196604</v>
      </c>
      <c r="EB171" s="23">
        <f>EXP(-LN(2)/25)*EB170+(1-EXP(-LN(2)/25))/(LN(2)/25)*Calculateur!DW171*Calculateur!DY171*VLOOKUP('Données projet'!$B$14,Paramètres!$A$1:$I$89,3,0)*0.475*44/12</f>
        <v>0.40030706756416212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5.7594916331838224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317.99999999999972</v>
      </c>
      <c r="EK171" s="18">
        <f>EJ171*VLOOKUP('Données projet'!$B$15,Paramètres!$A$1:$I$89,3,0)*VLOOKUP('Données projet'!$B$15,Paramètres!$A$1:$I$89,5,0)</f>
        <v>257.96159999999981</v>
      </c>
      <c r="EL171" s="14">
        <f t="shared" si="179"/>
        <v>62.287674609742425</v>
      </c>
      <c r="EM171" s="22">
        <f t="shared" si="180"/>
        <v>557.76748661196768</v>
      </c>
      <c r="EN171" s="62">
        <f t="shared" si="128"/>
        <v>851.10081994530105</v>
      </c>
      <c r="EO171" s="62">
        <f ca="1">AVERAGE(OFFSET($EN$3,0,0,'Données projet'!$E$15+1,1))-AVERAGE(OFFSET($H$3,0,0,'Données projet'!$E$15+1,1))</f>
        <v>358.75637627589799</v>
      </c>
      <c r="EP171" s="62">
        <f t="shared" si="154"/>
        <v>349.64821164483607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0.62861538176688614</v>
      </c>
      <c r="EW171" s="23">
        <f>EXP(-LN(2)/25)*EW170+(1-EXP(-LN(2)/25))/(LN(2)/25)*Calculateur!ER171*Calculateur!ET171*VLOOKUP('Données projet'!$B$15,Paramètres!$A$1:$I$89,3,0)*0.475*44/12</f>
        <v>0.33425794804813991</v>
      </c>
      <c r="EX171" s="23">
        <f>EXP(-LN(2)/2)*EX170+(1-EXP(-LN(2)/2))/(LN(2)/2)*ER171*EU171*VLOOKUP('Données projet'!$B$15,Paramètres!$A$1:$I$89,3,0)*0.475*44/12</f>
        <v>6.177208283774055E-21</v>
      </c>
      <c r="EY171" s="24">
        <f t="shared" si="181"/>
        <v>0.96287332981502605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>
        <f>FE171*VLOOKUP('Données projet'!$B$16,Paramètres!$A$1:$I$89,3,0)*VLOOKUP('Données projet'!$B$16,Paramètres!$A$1:$I$89,5,0)</f>
        <v>0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121.28977654040114</v>
      </c>
      <c r="FK171" s="62">
        <f t="shared" si="156"/>
        <v>615.69585264342595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7.2206380281878344</v>
      </c>
      <c r="FR171" s="23">
        <f>EXP(-LN(2)/25)*FR170+(1-EXP(-LN(2)/25))/(LN(2)/25)*Calculateur!FM171*Calculateur!FO171*VLOOKUP('Données projet'!$B$16,Paramètres!$A$1:$I$89,3,0)*0.475*44/12</f>
        <v>0.53934929831473943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7.7599873265025741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317.99999999999972</v>
      </c>
      <c r="O172" s="14">
        <f>N172*VLOOKUP('Données projet'!$B$9,Paramètres!$A$1:$I$89,3,0)*VLOOKUP('Données projet'!$B$9,Paramètres!$A$1:$I$89,5,0)</f>
        <v>253.0007999999998</v>
      </c>
      <c r="P172" s="14">
        <f t="shared" si="141"/>
        <v>61.228070105968683</v>
      </c>
      <c r="Q172" s="22">
        <f t="shared" si="162"/>
        <v>547.28194876789507</v>
      </c>
      <c r="R172" s="62">
        <f t="shared" si="109"/>
        <v>840.61528210122833</v>
      </c>
      <c r="S172" s="62">
        <f ca="1">AVERAGE(OFFSET($R$3,0,0,'Données projet'!$E$9+1,1))-AVERAGE(OFFSET($H$3,0,0,'Données projet'!$E$9+1,1))</f>
        <v>352.5736659365665</v>
      </c>
      <c r="T172" s="62">
        <f t="shared" si="142"/>
        <v>343.77208530767069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0.85940334099105509</v>
      </c>
      <c r="AA172" s="23">
        <f>EXP(-LN(2)/25)*AA171+(1-EXP(-LN(2)/25))/(LN(2)/25)*Calculateur!V172*Calculateur!X172*VLOOKUP('Données projet'!$B$9,Paramètres!$A$1:$I$89,3,0)*0.475*44/12</f>
        <v>0.50278459140014287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1.3621879323911981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3.7243808037601412E-14</v>
      </c>
      <c r="AK172" s="14">
        <f t="shared" si="164"/>
        <v>6.2767589361185393E-13</v>
      </c>
      <c r="AL172" s="22">
        <f t="shared" si="165"/>
        <v>1.1580684803728015E-12</v>
      </c>
      <c r="AM172" s="62">
        <f t="shared" si="113"/>
        <v>293.33333333333445</v>
      </c>
      <c r="AN172" s="62">
        <f ca="1">AVERAGE(OFFSET($AM$3,0,0,'Données projet'!$E$10+1,1))-AVERAGE(OFFSET($H$3,0,0,'Données projet'!$E$10+1,1))</f>
        <v>210.08998695869161</v>
      </c>
      <c r="AO172" s="62">
        <f t="shared" si="144"/>
        <v>207.30911916430881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2.2127032405794381E-22</v>
      </c>
      <c r="AX172" s="23">
        <f t="shared" si="166"/>
        <v>2.2127032405794381E-22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335.83558218229564</v>
      </c>
      <c r="BJ172" s="62">
        <f t="shared" si="146"/>
        <v>217.08423061559648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2.5123438559252726E-20</v>
      </c>
      <c r="BS172" s="24">
        <f t="shared" si="169"/>
        <v>2.5123438559252726E-20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5.6843418860808015E-14</v>
      </c>
      <c r="BZ172" s="14">
        <f>BY172*VLOOKUP('Données projet'!$B$12,Paramètres!$A$1:$I$89,3,0)*VLOOKUP('Données projet'!$B$12,Paramètres!$A$1:$I$89,5,0)</f>
        <v>4.4337866711430253E-14</v>
      </c>
      <c r="CA172" s="14">
        <f t="shared" si="170"/>
        <v>7.3222115536967035E-13</v>
      </c>
      <c r="CB172" s="22">
        <f t="shared" si="171"/>
        <v>1.3525069634579169E-12</v>
      </c>
      <c r="CC172" s="62">
        <f t="shared" si="119"/>
        <v>293.33333333333468</v>
      </c>
      <c r="CD172" s="62">
        <f ca="1">AVERAGE(OFFSET($CC$3,0,0,'Données projet'!$E$12+1,1))-AVERAGE(OFFSET($H$3,0,0,'Données projet'!$E$12+1,1))</f>
        <v>288.82868507674738</v>
      </c>
      <c r="CE172" s="62">
        <f t="shared" si="148"/>
        <v>283.48738729114024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0.10326557657527233</v>
      </c>
      <c r="CM172" s="23">
        <f>EXP(-LN(2)/2)*CM171+(1-EXP(-LN(2)/2))/(LN(2)/2)*CG172*CJ172*VLOOKUP('Données projet'!$B$12,Paramètres!$A$1:$I$89,3,0)*0.475*44/12</f>
        <v>3.0902686696944466E-21</v>
      </c>
      <c r="CN172" s="24">
        <f t="shared" si="172"/>
        <v>0.10326557657527233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317.99999999999972</v>
      </c>
      <c r="CU172" s="18">
        <f>CT172*VLOOKUP('Données projet'!$B$13,Paramètres!$A$1:$I$89,3,0)*VLOOKUP('Données projet'!$B$13,Paramètres!$A$1:$I$89,5,0)</f>
        <v>277.80479999999983</v>
      </c>
      <c r="CV172" s="14">
        <f t="shared" si="173"/>
        <v>66.50288772038418</v>
      </c>
      <c r="CW172" s="22">
        <f t="shared" si="174"/>
        <v>599.66922277966887</v>
      </c>
      <c r="CX172" s="62">
        <f t="shared" si="122"/>
        <v>893.00255611300213</v>
      </c>
      <c r="CY172" s="62">
        <f ca="1">AVERAGE(OFFSET($CX$3,0,0,'Données projet'!$E$13+1,1))-AVERAGE(OFFSET($H$3,0,0,'Données projet'!$E$13+1,1))</f>
        <v>383.46266660377637</v>
      </c>
      <c r="CZ172" s="62">
        <f t="shared" si="150"/>
        <v>373.1287543230714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0.34033419447493379</v>
      </c>
      <c r="DH172" s="23">
        <f>EXP(-LN(2)/2)*DH171+(1-EXP(-LN(2)/2))/(LN(2)/2)*DB172*DE172*VLOOKUP('Données projet'!$B$13,Paramètres!$A$1:$I$89,3,0)*0.475*44/12</f>
        <v>2.5438821144120475E-20</v>
      </c>
      <c r="DI172" s="24">
        <f t="shared" si="175"/>
        <v>0.34033419447493379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>
        <f>DO172*VLOOKUP('Données projet'!$B$14,Paramètres!$A$1:$I$89,3,0)*VLOOKUP('Données projet'!$B$14,Paramètres!$A$1:$I$89,5,0)</f>
        <v>0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96.56611521638132</v>
      </c>
      <c r="DU172" s="62">
        <f t="shared" si="152"/>
        <v>465.03257878814094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5.2540942250676785</v>
      </c>
      <c r="EB172" s="23">
        <f>EXP(-LN(2)/25)*EB171+(1-EXP(-LN(2)/25))/(LN(2)/25)*Calculateur!DW172*Calculateur!DY172*VLOOKUP('Données projet'!$B$14,Paramètres!$A$1:$I$89,3,0)*0.475*44/12</f>
        <v>0.38936064975038637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5.6434548748180653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317.99999999999972</v>
      </c>
      <c r="EK172" s="18">
        <f>EJ172*VLOOKUP('Données projet'!$B$15,Paramètres!$A$1:$I$89,3,0)*VLOOKUP('Données projet'!$B$15,Paramètres!$A$1:$I$89,5,0)</f>
        <v>257.96159999999981</v>
      </c>
      <c r="EL172" s="14">
        <f t="shared" si="179"/>
        <v>62.287674609742425</v>
      </c>
      <c r="EM172" s="22">
        <f t="shared" si="180"/>
        <v>557.76748661196768</v>
      </c>
      <c r="EN172" s="62">
        <f t="shared" si="128"/>
        <v>851.10081994530105</v>
      </c>
      <c r="EO172" s="62">
        <f ca="1">AVERAGE(OFFSET($EN$3,0,0,'Données projet'!$E$15+1,1))-AVERAGE(OFFSET($H$3,0,0,'Données projet'!$E$15+1,1))</f>
        <v>358.75637627589799</v>
      </c>
      <c r="EP172" s="62">
        <f t="shared" si="154"/>
        <v>349.64821164483607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0.61628861754796105</v>
      </c>
      <c r="EW172" s="23">
        <f>EXP(-LN(2)/25)*EW171+(1-EXP(-LN(2)/25))/(LN(2)/25)*Calculateur!ER172*Calculateur!ET172*VLOOKUP('Données projet'!$B$15,Paramètres!$A$1:$I$89,3,0)*0.475*44/12</f>
        <v>0.325117646880902</v>
      </c>
      <c r="EX172" s="23">
        <f>EXP(-LN(2)/2)*EX171+(1-EXP(-LN(2)/2))/(LN(2)/2)*ER172*EU172*VLOOKUP('Données projet'!$B$15,Paramètres!$A$1:$I$89,3,0)*0.475*44/12</f>
        <v>4.3679458662583494E-21</v>
      </c>
      <c r="EY172" s="24">
        <f t="shared" si="181"/>
        <v>0.94140626442886299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>
        <f>FE172*VLOOKUP('Données projet'!$B$16,Paramètres!$A$1:$I$89,3,0)*VLOOKUP('Données projet'!$B$16,Paramètres!$A$1:$I$89,5,0)</f>
        <v>0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121.28977654040114</v>
      </c>
      <c r="FK172" s="62">
        <f t="shared" si="156"/>
        <v>615.69585264342595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7.0790457206093942</v>
      </c>
      <c r="FR172" s="23">
        <f>EXP(-LN(2)/25)*FR171+(1-EXP(-LN(2)/25))/(LN(2)/25)*Calculateur!FM172*Calculateur!FO172*VLOOKUP('Données projet'!$B$16,Paramètres!$A$1:$I$89,3,0)*0.475*44/12</f>
        <v>0.52460076338917594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7.6036464839985705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317.99999999999972</v>
      </c>
      <c r="O173" s="14">
        <f>N173*VLOOKUP('Données projet'!$B$9,Paramètres!$A$1:$I$89,3,0)*VLOOKUP('Données projet'!$B$9,Paramètres!$A$1:$I$89,5,0)</f>
        <v>253.0007999999998</v>
      </c>
      <c r="P173" s="14">
        <f t="shared" si="141"/>
        <v>61.228070105968683</v>
      </c>
      <c r="Q173" s="22">
        <f t="shared" si="162"/>
        <v>547.28194876789507</v>
      </c>
      <c r="R173" s="62">
        <f t="shared" si="109"/>
        <v>840.61528210122833</v>
      </c>
      <c r="S173" s="62">
        <f ca="1">AVERAGE(OFFSET($R$3,0,0,'Données projet'!$E$9+1,1))-AVERAGE(OFFSET($H$3,0,0,'Données projet'!$E$9+1,1))</f>
        <v>352.5736659365665</v>
      </c>
      <c r="T173" s="62">
        <f t="shared" si="142"/>
        <v>343.77208530767069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0.84255096565849963</v>
      </c>
      <c r="AA173" s="23">
        <f>EXP(-LN(2)/25)*AA172+(1-EXP(-LN(2)/25))/(LN(2)/25)*Calculateur!V173*Calculateur!X173*VLOOKUP('Données projet'!$B$9,Paramètres!$A$1:$I$89,3,0)*0.475*44/12</f>
        <v>0.48903592030801341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1.331586885966513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3.7243808037601412E-14</v>
      </c>
      <c r="AK173" s="14">
        <f t="shared" si="164"/>
        <v>6.2767589361185393E-13</v>
      </c>
      <c r="AL173" s="22">
        <f t="shared" si="165"/>
        <v>1.1580684803728015E-12</v>
      </c>
      <c r="AM173" s="62">
        <f t="shared" si="113"/>
        <v>293.33333333333445</v>
      </c>
      <c r="AN173" s="62">
        <f ca="1">AVERAGE(OFFSET($AM$3,0,0,'Données projet'!$E$10+1,1))-AVERAGE(OFFSET($H$3,0,0,'Données projet'!$E$10+1,1))</f>
        <v>210.08998695869161</v>
      </c>
      <c r="AO173" s="62">
        <f t="shared" si="144"/>
        <v>207.30911916430881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1.5646174661671694E-22</v>
      </c>
      <c r="AX173" s="23">
        <f t="shared" si="166"/>
        <v>1.5646174661671694E-22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335.83558218229564</v>
      </c>
      <c r="BJ173" s="62">
        <f t="shared" si="146"/>
        <v>217.08423061559648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1.7764953771971188E-20</v>
      </c>
      <c r="BS173" s="24">
        <f t="shared" si="169"/>
        <v>1.7764953771971188E-20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5.6843418860808015E-14</v>
      </c>
      <c r="BZ173" s="14">
        <f>BY173*VLOOKUP('Données projet'!$B$12,Paramètres!$A$1:$I$89,3,0)*VLOOKUP('Données projet'!$B$12,Paramètres!$A$1:$I$89,5,0)</f>
        <v>4.4337866711430253E-14</v>
      </c>
      <c r="CA173" s="14">
        <f t="shared" si="170"/>
        <v>7.3222115536967035E-13</v>
      </c>
      <c r="CB173" s="22">
        <f t="shared" si="171"/>
        <v>1.3525069634579169E-12</v>
      </c>
      <c r="CC173" s="62">
        <f t="shared" si="119"/>
        <v>293.33333333333468</v>
      </c>
      <c r="CD173" s="62">
        <f ca="1">AVERAGE(OFFSET($CC$3,0,0,'Données projet'!$E$12+1,1))-AVERAGE(OFFSET($H$3,0,0,'Données projet'!$E$12+1,1))</f>
        <v>288.82868507674738</v>
      </c>
      <c r="CE173" s="62">
        <f t="shared" si="148"/>
        <v>283.48738729114024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0.10044177395332085</v>
      </c>
      <c r="CM173" s="23">
        <f>EXP(-LN(2)/2)*CM172+(1-EXP(-LN(2)/2))/(LN(2)/2)*CG173*CJ173*VLOOKUP('Données projet'!$B$12,Paramètres!$A$1:$I$89,3,0)*0.475*44/12</f>
        <v>2.1851499320292744E-21</v>
      </c>
      <c r="CN173" s="24">
        <f t="shared" si="172"/>
        <v>0.10044177395332085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317.99999999999972</v>
      </c>
      <c r="CU173" s="18">
        <f>CT173*VLOOKUP('Données projet'!$B$13,Paramètres!$A$1:$I$89,3,0)*VLOOKUP('Données projet'!$B$13,Paramètres!$A$1:$I$89,5,0)</f>
        <v>277.80479999999983</v>
      </c>
      <c r="CV173" s="14">
        <f t="shared" si="173"/>
        <v>66.50288772038418</v>
      </c>
      <c r="CW173" s="22">
        <f t="shared" si="174"/>
        <v>599.66922277966887</v>
      </c>
      <c r="CX173" s="62">
        <f t="shared" si="122"/>
        <v>893.00255611300213</v>
      </c>
      <c r="CY173" s="62">
        <f ca="1">AVERAGE(OFFSET($CX$3,0,0,'Données projet'!$E$13+1,1))-AVERAGE(OFFSET($H$3,0,0,'Données projet'!$E$13+1,1))</f>
        <v>383.46266660377637</v>
      </c>
      <c r="CZ173" s="62">
        <f t="shared" si="150"/>
        <v>373.1287543230714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0.33102773802961927</v>
      </c>
      <c r="DH173" s="23">
        <f>EXP(-LN(2)/2)*DH172+(1-EXP(-LN(2)/2))/(LN(2)/2)*DB173*DE173*VLOOKUP('Données projet'!$B$13,Paramètres!$A$1:$I$89,3,0)*0.475*44/12</f>
        <v>1.7987962936399315E-20</v>
      </c>
      <c r="DI173" s="24">
        <f t="shared" si="175"/>
        <v>0.33102773802961927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>
        <f>DO173*VLOOKUP('Données projet'!$B$14,Paramètres!$A$1:$I$89,3,0)*VLOOKUP('Données projet'!$B$14,Paramètres!$A$1:$I$89,5,0)</f>
        <v>0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96.56611521638132</v>
      </c>
      <c r="DU173" s="62">
        <f t="shared" si="152"/>
        <v>465.03257878814094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5.1510646419951422</v>
      </c>
      <c r="EB173" s="23">
        <f>EXP(-LN(2)/25)*EB172+(1-EXP(-LN(2)/25))/(LN(2)/25)*Calculateur!DW173*Calculateur!DY173*VLOOKUP('Données projet'!$B$14,Paramètres!$A$1:$I$89,3,0)*0.475*44/12</f>
        <v>0.37871356230737535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5.5297782043025174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317.99999999999972</v>
      </c>
      <c r="EK173" s="18">
        <f>EJ173*VLOOKUP('Données projet'!$B$15,Paramètres!$A$1:$I$89,3,0)*VLOOKUP('Données projet'!$B$15,Paramètres!$A$1:$I$89,5,0)</f>
        <v>257.96159999999981</v>
      </c>
      <c r="EL173" s="14">
        <f t="shared" si="179"/>
        <v>62.287674609742425</v>
      </c>
      <c r="EM173" s="22">
        <f t="shared" si="180"/>
        <v>557.76748661196768</v>
      </c>
      <c r="EN173" s="62">
        <f t="shared" si="128"/>
        <v>851.10081994530105</v>
      </c>
      <c r="EO173" s="62">
        <f ca="1">AVERAGE(OFFSET($EN$3,0,0,'Données projet'!$E$15+1,1))-AVERAGE(OFFSET($H$3,0,0,'Données projet'!$E$15+1,1))</f>
        <v>358.75637627589799</v>
      </c>
      <c r="EP173" s="62">
        <f t="shared" si="154"/>
        <v>349.64821164483607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0.60420357365678534</v>
      </c>
      <c r="EW173" s="23">
        <f>EXP(-LN(2)/25)*EW172+(1-EXP(-LN(2)/25))/(LN(2)/25)*Calculateur!ER173*Calculateur!ET173*VLOOKUP('Données projet'!$B$15,Paramètres!$A$1:$I$89,3,0)*0.475*44/12</f>
        <v>0.31622728772974973</v>
      </c>
      <c r="EX173" s="23">
        <f>EXP(-LN(2)/2)*EX172+(1-EXP(-LN(2)/2))/(LN(2)/2)*ER173*EU173*VLOOKUP('Données projet'!$B$15,Paramètres!$A$1:$I$89,3,0)*0.475*44/12</f>
        <v>3.0886041418870275E-21</v>
      </c>
      <c r="EY173" s="24">
        <f t="shared" si="181"/>
        <v>0.92043086138653507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>
        <f>FE173*VLOOKUP('Données projet'!$B$16,Paramètres!$A$1:$I$89,3,0)*VLOOKUP('Données projet'!$B$16,Paramètres!$A$1:$I$89,5,0)</f>
        <v>0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121.28977654040114</v>
      </c>
      <c r="FK173" s="62">
        <f t="shared" si="156"/>
        <v>615.69585264342595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6.940229951819787</v>
      </c>
      <c r="FR173" s="23">
        <f>EXP(-LN(2)/25)*FR172+(1-EXP(-LN(2)/25))/(LN(2)/25)*Calculateur!FM173*Calculateur!FO173*VLOOKUP('Données projet'!$B$16,Paramètres!$A$1:$I$89,3,0)*0.475*44/12</f>
        <v>0.51025552792674378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7.450485479746531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317.99999999999972</v>
      </c>
      <c r="O174" s="14">
        <f>N174*VLOOKUP('Données projet'!$B$9,Paramètres!$A$1:$I$89,3,0)*VLOOKUP('Données projet'!$B$9,Paramètres!$A$1:$I$89,5,0)</f>
        <v>253.0007999999998</v>
      </c>
      <c r="P174" s="14">
        <f t="shared" si="141"/>
        <v>61.228070105968683</v>
      </c>
      <c r="Q174" s="22">
        <f t="shared" si="162"/>
        <v>547.28194876789507</v>
      </c>
      <c r="R174" s="62">
        <f t="shared" si="109"/>
        <v>840.61528210122833</v>
      </c>
      <c r="S174" s="62">
        <f ca="1">AVERAGE(OFFSET($R$3,0,0,'Données projet'!$E$9+1,1))-AVERAGE(OFFSET($H$3,0,0,'Données projet'!$E$9+1,1))</f>
        <v>352.5736659365665</v>
      </c>
      <c r="T174" s="62">
        <f t="shared" si="142"/>
        <v>343.77208530767069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0.82602905512728153</v>
      </c>
      <c r="AA174" s="23">
        <f>EXP(-LN(2)/25)*AA173+(1-EXP(-LN(2)/25))/(LN(2)/25)*Calculateur!V174*Calculateur!X174*VLOOKUP('Données projet'!$B$9,Paramètres!$A$1:$I$89,3,0)*0.475*44/12</f>
        <v>0.47566320734990941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1.3016922624771909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3.7243808037601412E-14</v>
      </c>
      <c r="AK174" s="14">
        <f t="shared" si="164"/>
        <v>6.2767589361185393E-13</v>
      </c>
      <c r="AL174" s="22">
        <f t="shared" si="165"/>
        <v>1.1580684803728015E-12</v>
      </c>
      <c r="AM174" s="62">
        <f t="shared" si="113"/>
        <v>293.33333333333445</v>
      </c>
      <c r="AN174" s="62">
        <f ca="1">AVERAGE(OFFSET($AM$3,0,0,'Données projet'!$E$10+1,1))-AVERAGE(OFFSET($H$3,0,0,'Données projet'!$E$10+1,1))</f>
        <v>210.08998695869161</v>
      </c>
      <c r="AO174" s="62">
        <f t="shared" si="144"/>
        <v>207.30911916430881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1.106351620289719E-22</v>
      </c>
      <c r="AX174" s="23">
        <f t="shared" si="166"/>
        <v>1.106351620289719E-22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335.83558218229564</v>
      </c>
      <c r="BJ174" s="62">
        <f t="shared" si="146"/>
        <v>217.08423061559648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1.2561719279626363E-20</v>
      </c>
      <c r="BS174" s="24">
        <f t="shared" si="169"/>
        <v>1.2561719279626363E-20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5.6843418860808015E-14</v>
      </c>
      <c r="BZ174" s="14">
        <f>BY174*VLOOKUP('Données projet'!$B$12,Paramètres!$A$1:$I$89,3,0)*VLOOKUP('Données projet'!$B$12,Paramètres!$A$1:$I$89,5,0)</f>
        <v>4.4337866711430253E-14</v>
      </c>
      <c r="CA174" s="14">
        <f t="shared" si="170"/>
        <v>7.3222115536967035E-13</v>
      </c>
      <c r="CB174" s="22">
        <f t="shared" si="171"/>
        <v>1.3525069634579169E-12</v>
      </c>
      <c r="CC174" s="62">
        <f t="shared" si="119"/>
        <v>293.33333333333468</v>
      </c>
      <c r="CD174" s="62">
        <f ca="1">AVERAGE(OFFSET($CC$3,0,0,'Données projet'!$E$12+1,1))-AVERAGE(OFFSET($H$3,0,0,'Données projet'!$E$12+1,1))</f>
        <v>288.82868507674738</v>
      </c>
      <c r="CE174" s="62">
        <f t="shared" si="148"/>
        <v>283.48738729114024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9.7695188362563967E-2</v>
      </c>
      <c r="CM174" s="23">
        <f>EXP(-LN(2)/2)*CM173+(1-EXP(-LN(2)/2))/(LN(2)/2)*CG174*CJ174*VLOOKUP('Données projet'!$B$12,Paramètres!$A$1:$I$89,3,0)*0.475*44/12</f>
        <v>1.5451343348472233E-21</v>
      </c>
      <c r="CN174" s="24">
        <f t="shared" si="172"/>
        <v>9.7695188362563967E-2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317.99999999999972</v>
      </c>
      <c r="CU174" s="18">
        <f>CT174*VLOOKUP('Données projet'!$B$13,Paramètres!$A$1:$I$89,3,0)*VLOOKUP('Données projet'!$B$13,Paramètres!$A$1:$I$89,5,0)</f>
        <v>277.80479999999983</v>
      </c>
      <c r="CV174" s="14">
        <f t="shared" si="173"/>
        <v>66.50288772038418</v>
      </c>
      <c r="CW174" s="22">
        <f t="shared" si="174"/>
        <v>599.66922277966887</v>
      </c>
      <c r="CX174" s="62">
        <f t="shared" si="122"/>
        <v>893.00255611300213</v>
      </c>
      <c r="CY174" s="62">
        <f ca="1">AVERAGE(OFFSET($CX$3,0,0,'Données projet'!$E$13+1,1))-AVERAGE(OFFSET($H$3,0,0,'Données projet'!$E$13+1,1))</f>
        <v>383.46266660377637</v>
      </c>
      <c r="CZ174" s="62">
        <f t="shared" si="150"/>
        <v>373.1287543230714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0.32197576712520715</v>
      </c>
      <c r="DH174" s="23">
        <f>EXP(-LN(2)/2)*DH173+(1-EXP(-LN(2)/2))/(LN(2)/2)*DB174*DE174*VLOOKUP('Données projet'!$B$13,Paramètres!$A$1:$I$89,3,0)*0.475*44/12</f>
        <v>1.2719410572060238E-20</v>
      </c>
      <c r="DI174" s="24">
        <f t="shared" si="175"/>
        <v>0.32197576712520715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>
        <f>DO174*VLOOKUP('Données projet'!$B$14,Paramètres!$A$1:$I$89,3,0)*VLOOKUP('Données projet'!$B$14,Paramètres!$A$1:$I$89,5,0)</f>
        <v>0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96.56611521638132</v>
      </c>
      <c r="DU174" s="62">
        <f t="shared" si="152"/>
        <v>465.03257878814094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5.0500554062048186</v>
      </c>
      <c r="EB174" s="23">
        <f>EXP(-LN(2)/25)*EB173+(1-EXP(-LN(2)/25))/(LN(2)/25)*Calculateur!DW174*Calculateur!DY174*VLOOKUP('Données projet'!$B$14,Paramètres!$A$1:$I$89,3,0)*0.475*44/12</f>
        <v>0.36835762003039951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5.4184130262352177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317.99999999999972</v>
      </c>
      <c r="EK174" s="18">
        <f>EJ174*VLOOKUP('Données projet'!$B$15,Paramètres!$A$1:$I$89,3,0)*VLOOKUP('Données projet'!$B$15,Paramètres!$A$1:$I$89,5,0)</f>
        <v>257.96159999999981</v>
      </c>
      <c r="EL174" s="14">
        <f t="shared" si="179"/>
        <v>62.287674609742425</v>
      </c>
      <c r="EM174" s="22">
        <f t="shared" si="180"/>
        <v>557.76748661196768</v>
      </c>
      <c r="EN174" s="62">
        <f t="shared" si="128"/>
        <v>851.10081994530105</v>
      </c>
      <c r="EO174" s="62">
        <f ca="1">AVERAGE(OFFSET($EN$3,0,0,'Données projet'!$E$15+1,1))-AVERAGE(OFFSET($H$3,0,0,'Données projet'!$E$15+1,1))</f>
        <v>358.75637627589799</v>
      </c>
      <c r="EP174" s="62">
        <f t="shared" si="154"/>
        <v>349.64821164483607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0.59235551010516663</v>
      </c>
      <c r="EW174" s="23">
        <f>EXP(-LN(2)/25)*EW173+(1-EXP(-LN(2)/25))/(LN(2)/25)*Calculateur!ER174*Calculateur!ET174*VLOOKUP('Données projet'!$B$15,Paramètres!$A$1:$I$89,3,0)*0.475*44/12</f>
        <v>0.30758003591710942</v>
      </c>
      <c r="EX174" s="23">
        <f>EXP(-LN(2)/2)*EX173+(1-EXP(-LN(2)/2))/(LN(2)/2)*ER174*EU174*VLOOKUP('Données projet'!$B$15,Paramètres!$A$1:$I$89,3,0)*0.475*44/12</f>
        <v>2.1839729331291747E-21</v>
      </c>
      <c r="EY174" s="24">
        <f t="shared" si="181"/>
        <v>0.89993554602227599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>
        <f>FE174*VLOOKUP('Données projet'!$B$16,Paramètres!$A$1:$I$89,3,0)*VLOOKUP('Données projet'!$B$16,Paramètres!$A$1:$I$89,5,0)</f>
        <v>0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121.28977654040114</v>
      </c>
      <c r="FK174" s="62">
        <f t="shared" si="156"/>
        <v>615.69585264342595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6.8041362755868855</v>
      </c>
      <c r="FR174" s="23">
        <f>EXP(-LN(2)/25)*FR173+(1-EXP(-LN(2)/25))/(LN(2)/25)*Calculateur!FM174*Calculateur!FO174*VLOOKUP('Données projet'!$B$16,Paramètres!$A$1:$I$89,3,0)*0.475*44/12</f>
        <v>0.49630256368241499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7.3004388392693009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317.99999999999972</v>
      </c>
      <c r="O175" s="14">
        <f>N175*VLOOKUP('Données projet'!$B$9,Paramètres!$A$1:$I$89,3,0)*VLOOKUP('Données projet'!$B$9,Paramètres!$A$1:$I$89,5,0)</f>
        <v>253.0007999999998</v>
      </c>
      <c r="P175" s="14">
        <f t="shared" si="141"/>
        <v>61.228070105968683</v>
      </c>
      <c r="Q175" s="22">
        <f t="shared" si="162"/>
        <v>547.28194876789507</v>
      </c>
      <c r="R175" s="62">
        <f t="shared" si="109"/>
        <v>840.61528210122833</v>
      </c>
      <c r="S175" s="62">
        <f ca="1">AVERAGE(OFFSET($R$3,0,0,'Données projet'!$E$9+1,1))-AVERAGE(OFFSET($H$3,0,0,'Données projet'!$E$9+1,1))</f>
        <v>352.5736659365665</v>
      </c>
      <c r="T175" s="62">
        <f t="shared" si="142"/>
        <v>343.77208530767069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0.8098311291842103</v>
      </c>
      <c r="AA175" s="23">
        <f>EXP(-LN(2)/25)*AA174+(1-EXP(-LN(2)/25))/(LN(2)/25)*Calculateur!V175*Calculateur!X175*VLOOKUP('Données projet'!$B$9,Paramètres!$A$1:$I$89,3,0)*0.475*44/12</f>
        <v>0.46265617193088521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1.2724873011150954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3.7243808037601412E-14</v>
      </c>
      <c r="AK175" s="14">
        <f t="shared" si="164"/>
        <v>6.2767589361185393E-13</v>
      </c>
      <c r="AL175" s="22">
        <f t="shared" si="165"/>
        <v>1.1580684803728015E-12</v>
      </c>
      <c r="AM175" s="62">
        <f t="shared" si="113"/>
        <v>293.33333333333445</v>
      </c>
      <c r="AN175" s="62">
        <f ca="1">AVERAGE(OFFSET($AM$3,0,0,'Données projet'!$E$10+1,1))-AVERAGE(OFFSET($H$3,0,0,'Données projet'!$E$10+1,1))</f>
        <v>210.08998695869161</v>
      </c>
      <c r="AO175" s="62">
        <f t="shared" si="144"/>
        <v>207.30911916430881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7.823087330835847E-23</v>
      </c>
      <c r="AX175" s="23">
        <f t="shared" si="166"/>
        <v>7.823087330835847E-23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335.83558218229564</v>
      </c>
      <c r="BJ175" s="62">
        <f t="shared" si="146"/>
        <v>217.08423061559648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8.8824768859855941E-21</v>
      </c>
      <c r="BS175" s="24">
        <f t="shared" si="169"/>
        <v>8.8824768859855941E-21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5.6843418860808015E-14</v>
      </c>
      <c r="BZ175" s="14">
        <f>BY175*VLOOKUP('Données projet'!$B$12,Paramètres!$A$1:$I$89,3,0)*VLOOKUP('Données projet'!$B$12,Paramètres!$A$1:$I$89,5,0)</f>
        <v>4.4337866711430253E-14</v>
      </c>
      <c r="CA175" s="14">
        <f t="shared" si="170"/>
        <v>7.3222115536967035E-13</v>
      </c>
      <c r="CB175" s="22">
        <f t="shared" si="171"/>
        <v>1.3525069634579169E-12</v>
      </c>
      <c r="CC175" s="62">
        <f t="shared" si="119"/>
        <v>293.33333333333468</v>
      </c>
      <c r="CD175" s="62">
        <f ca="1">AVERAGE(OFFSET($CC$3,0,0,'Données projet'!$E$12+1,1))-AVERAGE(OFFSET($H$3,0,0,'Données projet'!$E$12+1,1))</f>
        <v>288.82868507674738</v>
      </c>
      <c r="CE175" s="62">
        <f t="shared" si="148"/>
        <v>283.48738729114024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9.5023708299222978E-2</v>
      </c>
      <c r="CM175" s="23">
        <f>EXP(-LN(2)/2)*CM174+(1-EXP(-LN(2)/2))/(LN(2)/2)*CG175*CJ175*VLOOKUP('Données projet'!$B$12,Paramètres!$A$1:$I$89,3,0)*0.475*44/12</f>
        <v>1.0925749660146372E-21</v>
      </c>
      <c r="CN175" s="24">
        <f t="shared" si="172"/>
        <v>9.5023708299222978E-2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317.99999999999972</v>
      </c>
      <c r="CU175" s="18">
        <f>CT175*VLOOKUP('Données projet'!$B$13,Paramètres!$A$1:$I$89,3,0)*VLOOKUP('Données projet'!$B$13,Paramètres!$A$1:$I$89,5,0)</f>
        <v>277.80479999999983</v>
      </c>
      <c r="CV175" s="14">
        <f t="shared" si="173"/>
        <v>66.50288772038418</v>
      </c>
      <c r="CW175" s="22">
        <f t="shared" si="174"/>
        <v>599.66922277966887</v>
      </c>
      <c r="CX175" s="62">
        <f t="shared" si="122"/>
        <v>893.00255611300213</v>
      </c>
      <c r="CY175" s="62">
        <f ca="1">AVERAGE(OFFSET($CX$3,0,0,'Données projet'!$E$13+1,1))-AVERAGE(OFFSET($H$3,0,0,'Données projet'!$E$13+1,1))</f>
        <v>383.46266660377637</v>
      </c>
      <c r="CZ175" s="62">
        <f t="shared" si="150"/>
        <v>373.1287543230714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0.31317132284119864</v>
      </c>
      <c r="DH175" s="23">
        <f>EXP(-LN(2)/2)*DH174+(1-EXP(-LN(2)/2))/(LN(2)/2)*DB175*DE175*VLOOKUP('Données projet'!$B$13,Paramètres!$A$1:$I$89,3,0)*0.475*44/12</f>
        <v>8.9939814681996576E-21</v>
      </c>
      <c r="DI175" s="24">
        <f t="shared" si="175"/>
        <v>0.31317132284119864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>
        <f>DO175*VLOOKUP('Données projet'!$B$14,Paramètres!$A$1:$I$89,3,0)*VLOOKUP('Données projet'!$B$14,Paramètres!$A$1:$I$89,5,0)</f>
        <v>0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96.56611521638132</v>
      </c>
      <c r="DU175" s="62">
        <f t="shared" si="152"/>
        <v>465.03257878814094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4.9510268999187925</v>
      </c>
      <c r="EB175" s="23">
        <f>EXP(-LN(2)/25)*EB174+(1-EXP(-LN(2)/25))/(LN(2)/25)*Calculateur!DW175*Calculateur!DY175*VLOOKUP('Données projet'!$B$14,Paramètres!$A$1:$I$89,3,0)*0.475*44/12</f>
        <v>0.35828486153958289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5.3093117614583756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317.99999999999972</v>
      </c>
      <c r="EK175" s="18">
        <f>EJ175*VLOOKUP('Données projet'!$B$15,Paramètres!$A$1:$I$89,3,0)*VLOOKUP('Données projet'!$B$15,Paramètres!$A$1:$I$89,5,0)</f>
        <v>257.96159999999981</v>
      </c>
      <c r="EL175" s="14">
        <f t="shared" si="179"/>
        <v>62.287674609742425</v>
      </c>
      <c r="EM175" s="22">
        <f t="shared" si="180"/>
        <v>557.76748661196768</v>
      </c>
      <c r="EN175" s="62">
        <f t="shared" si="128"/>
        <v>851.10081994530105</v>
      </c>
      <c r="EO175" s="62">
        <f ca="1">AVERAGE(OFFSET($EN$3,0,0,'Données projet'!$E$15+1,1))-AVERAGE(OFFSET($H$3,0,0,'Données projet'!$E$15+1,1))</f>
        <v>358.75637627589799</v>
      </c>
      <c r="EP175" s="62">
        <f t="shared" si="154"/>
        <v>349.64821164483607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0.58073977985318992</v>
      </c>
      <c r="EW175" s="23">
        <f>EXP(-LN(2)/25)*EW174+(1-EXP(-LN(2)/25))/(LN(2)/25)*Calculateur!ER175*Calculateur!ET175*VLOOKUP('Données projet'!$B$15,Paramètres!$A$1:$I$89,3,0)*0.475*44/12</f>
        <v>0.29916924366002495</v>
      </c>
      <c r="EX175" s="23">
        <f>EXP(-LN(2)/2)*EX174+(1-EXP(-LN(2)/2))/(LN(2)/2)*ER175*EU175*VLOOKUP('Données projet'!$B$15,Paramètres!$A$1:$I$89,3,0)*0.475*44/12</f>
        <v>1.5443020709435138E-21</v>
      </c>
      <c r="EY175" s="24">
        <f t="shared" si="181"/>
        <v>0.87990902351321487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>
        <f>FE175*VLOOKUP('Données projet'!$B$16,Paramètres!$A$1:$I$89,3,0)*VLOOKUP('Données projet'!$B$16,Paramètres!$A$1:$I$89,5,0)</f>
        <v>0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121.28977654040114</v>
      </c>
      <c r="FK175" s="62">
        <f t="shared" si="156"/>
        <v>615.69585264342595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6.670711313335965</v>
      </c>
      <c r="FR175" s="23">
        <f>EXP(-LN(2)/25)*FR174+(1-EXP(-LN(2)/25))/(LN(2)/25)*Calculateur!FM175*Calculateur!FO175*VLOOKUP('Données projet'!$B$16,Paramètres!$A$1:$I$89,3,0)*0.475*44/12</f>
        <v>0.48273114397910183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7.1534424573150668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317.99999999999972</v>
      </c>
      <c r="O176" s="14">
        <f>N176*VLOOKUP('Données projet'!$B$9,Paramètres!$A$1:$I$89,3,0)*VLOOKUP('Données projet'!$B$9,Paramètres!$A$1:$I$89,5,0)</f>
        <v>253.0007999999998</v>
      </c>
      <c r="P176" s="14">
        <f t="shared" si="141"/>
        <v>61.228070105968683</v>
      </c>
      <c r="Q176" s="22">
        <f t="shared" si="162"/>
        <v>547.28194876789507</v>
      </c>
      <c r="R176" s="62">
        <f t="shared" si="109"/>
        <v>840.61528210122833</v>
      </c>
      <c r="S176" s="62">
        <f ca="1">AVERAGE(OFFSET($R$3,0,0,'Données projet'!$E$9+1,1))-AVERAGE(OFFSET($H$3,0,0,'Données projet'!$E$9+1,1))</f>
        <v>352.5736659365665</v>
      </c>
      <c r="T176" s="62">
        <f t="shared" si="142"/>
        <v>343.77208530767069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0.79395083468912342</v>
      </c>
      <c r="AA176" s="23">
        <f>EXP(-LN(2)/25)*AA175+(1-EXP(-LN(2)/25))/(LN(2)/25)*Calculateur!V176*Calculateur!X176*VLOOKUP('Données projet'!$B$9,Paramètres!$A$1:$I$89,3,0)*0.475*44/12</f>
        <v>0.4500048145794045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1.243955649268528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3.7243808037601412E-14</v>
      </c>
      <c r="AK176" s="14">
        <f t="shared" si="164"/>
        <v>6.2767589361185393E-13</v>
      </c>
      <c r="AL176" s="22">
        <f t="shared" si="165"/>
        <v>1.1580684803728015E-12</v>
      </c>
      <c r="AM176" s="62">
        <f t="shared" si="113"/>
        <v>293.33333333333445</v>
      </c>
      <c r="AN176" s="62">
        <f ca="1">AVERAGE(OFFSET($AM$3,0,0,'Données projet'!$E$10+1,1))-AVERAGE(OFFSET($H$3,0,0,'Données projet'!$E$10+1,1))</f>
        <v>210.08998695869161</v>
      </c>
      <c r="AO176" s="62">
        <f t="shared" si="144"/>
        <v>207.30911916430881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5.5317581014485952E-23</v>
      </c>
      <c r="AX176" s="23">
        <f t="shared" si="166"/>
        <v>5.5317581014485952E-23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335.83558218229564</v>
      </c>
      <c r="BJ176" s="62">
        <f t="shared" si="146"/>
        <v>217.08423061559648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6.2808596398131816E-21</v>
      </c>
      <c r="BS176" s="24">
        <f t="shared" si="169"/>
        <v>6.2808596398131816E-21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5.6843418860808015E-14</v>
      </c>
      <c r="BZ176" s="14">
        <f>BY176*VLOOKUP('Données projet'!$B$12,Paramètres!$A$1:$I$89,3,0)*VLOOKUP('Données projet'!$B$12,Paramètres!$A$1:$I$89,5,0)</f>
        <v>4.4337866711430253E-14</v>
      </c>
      <c r="CA176" s="14">
        <f t="shared" si="170"/>
        <v>7.3222115536967035E-13</v>
      </c>
      <c r="CB176" s="22">
        <f t="shared" si="171"/>
        <v>1.3525069634579169E-12</v>
      </c>
      <c r="CC176" s="62">
        <f t="shared" si="119"/>
        <v>293.33333333333468</v>
      </c>
      <c r="CD176" s="62">
        <f ca="1">AVERAGE(OFFSET($CC$3,0,0,'Données projet'!$E$12+1,1))-AVERAGE(OFFSET($H$3,0,0,'Données projet'!$E$12+1,1))</f>
        <v>288.82868507674738</v>
      </c>
      <c r="CE176" s="62">
        <f t="shared" si="148"/>
        <v>283.48738729114024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9.2425279998701079E-2</v>
      </c>
      <c r="CM176" s="23">
        <f>EXP(-LN(2)/2)*CM175+(1-EXP(-LN(2)/2))/(LN(2)/2)*CG176*CJ176*VLOOKUP('Données projet'!$B$12,Paramètres!$A$1:$I$89,3,0)*0.475*44/12</f>
        <v>7.7256716742361166E-22</v>
      </c>
      <c r="CN176" s="24">
        <f t="shared" si="172"/>
        <v>9.2425279998701079E-2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317.99999999999972</v>
      </c>
      <c r="CU176" s="18">
        <f>CT176*VLOOKUP('Données projet'!$B$13,Paramètres!$A$1:$I$89,3,0)*VLOOKUP('Données projet'!$B$13,Paramètres!$A$1:$I$89,5,0)</f>
        <v>277.80479999999983</v>
      </c>
      <c r="CV176" s="14">
        <f t="shared" si="173"/>
        <v>66.50288772038418</v>
      </c>
      <c r="CW176" s="22">
        <f t="shared" si="174"/>
        <v>599.66922277966887</v>
      </c>
      <c r="CX176" s="62">
        <f t="shared" si="122"/>
        <v>893.00255611300213</v>
      </c>
      <c r="CY176" s="62">
        <f ca="1">AVERAGE(OFFSET($CX$3,0,0,'Données projet'!$E$13+1,1))-AVERAGE(OFFSET($H$3,0,0,'Données projet'!$E$13+1,1))</f>
        <v>383.46266660377637</v>
      </c>
      <c r="CZ176" s="62">
        <f t="shared" si="150"/>
        <v>373.1287543230714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0.30460763654914197</v>
      </c>
      <c r="DH176" s="23">
        <f>EXP(-LN(2)/2)*DH175+(1-EXP(-LN(2)/2))/(LN(2)/2)*DB176*DE176*VLOOKUP('Données projet'!$B$13,Paramètres!$A$1:$I$89,3,0)*0.475*44/12</f>
        <v>6.3597052860301188E-21</v>
      </c>
      <c r="DI176" s="24">
        <f t="shared" si="175"/>
        <v>0.30460763654914197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>
        <f>DO176*VLOOKUP('Données projet'!$B$14,Paramètres!$A$1:$I$89,3,0)*VLOOKUP('Données projet'!$B$14,Paramètres!$A$1:$I$89,5,0)</f>
        <v>0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96.56611521638132</v>
      </c>
      <c r="DU176" s="62">
        <f t="shared" si="152"/>
        <v>465.03257878814094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4.8539402822396109</v>
      </c>
      <c r="EB176" s="23">
        <f>EXP(-LN(2)/25)*EB175+(1-EXP(-LN(2)/25))/(LN(2)/25)*Calculateur!DW176*Calculateur!DY176*VLOOKUP('Données projet'!$B$14,Paramètres!$A$1:$I$89,3,0)*0.475*44/12</f>
        <v>0.348487543159401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5.2024278253990115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317.99999999999972</v>
      </c>
      <c r="EK176" s="18">
        <f>EJ176*VLOOKUP('Données projet'!$B$15,Paramètres!$A$1:$I$89,3,0)*VLOOKUP('Données projet'!$B$15,Paramètres!$A$1:$I$89,5,0)</f>
        <v>257.96159999999981</v>
      </c>
      <c r="EL176" s="14">
        <f t="shared" si="179"/>
        <v>62.287674609742425</v>
      </c>
      <c r="EM176" s="22">
        <f t="shared" si="180"/>
        <v>557.76748661196768</v>
      </c>
      <c r="EN176" s="62">
        <f t="shared" si="128"/>
        <v>851.10081994530105</v>
      </c>
      <c r="EO176" s="62">
        <f ca="1">AVERAGE(OFFSET($EN$3,0,0,'Données projet'!$E$15+1,1))-AVERAGE(OFFSET($H$3,0,0,'Données projet'!$E$15+1,1))</f>
        <v>358.75637627589799</v>
      </c>
      <c r="EP176" s="62">
        <f t="shared" si="154"/>
        <v>349.64821164483607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0.56935182698655862</v>
      </c>
      <c r="EW176" s="23">
        <f>EXP(-LN(2)/25)*EW175+(1-EXP(-LN(2)/25))/(LN(2)/25)*Calculateur!ER176*Calculateur!ET176*VLOOKUP('Données projet'!$B$15,Paramètres!$A$1:$I$89,3,0)*0.475*44/12</f>
        <v>0.29098844495951481</v>
      </c>
      <c r="EX176" s="23">
        <f>EXP(-LN(2)/2)*EX175+(1-EXP(-LN(2)/2))/(LN(2)/2)*ER176*EU176*VLOOKUP('Données projet'!$B$15,Paramètres!$A$1:$I$89,3,0)*0.475*44/12</f>
        <v>1.0919864665645874E-21</v>
      </c>
      <c r="EY176" s="24">
        <f t="shared" si="181"/>
        <v>0.86034027194607343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>
        <f>FE176*VLOOKUP('Données projet'!$B$16,Paramètres!$A$1:$I$89,3,0)*VLOOKUP('Données projet'!$B$16,Paramètres!$A$1:$I$89,5,0)</f>
        <v>0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121.28977654040114</v>
      </c>
      <c r="FK176" s="62">
        <f t="shared" si="156"/>
        <v>615.69585264342595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6.5399027332135935</v>
      </c>
      <c r="FR176" s="23">
        <f>EXP(-LN(2)/25)*FR175+(1-EXP(-LN(2)/25))/(LN(2)/25)*Calculateur!FM176*Calculateur!FO176*VLOOKUP('Données projet'!$B$16,Paramètres!$A$1:$I$89,3,0)*0.475*44/12</f>
        <v>0.46953083546126573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7.0094335686748597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317.99999999999972</v>
      </c>
      <c r="O177" s="14">
        <f>N177*VLOOKUP('Données projet'!$B$9,Paramètres!$A$1:$I$89,3,0)*VLOOKUP('Données projet'!$B$9,Paramètres!$A$1:$I$89,5,0)</f>
        <v>253.0007999999998</v>
      </c>
      <c r="P177" s="14">
        <f t="shared" si="141"/>
        <v>61.228070105968683</v>
      </c>
      <c r="Q177" s="22">
        <f t="shared" si="162"/>
        <v>547.28194876789507</v>
      </c>
      <c r="R177" s="62">
        <f t="shared" si="109"/>
        <v>840.61528210122833</v>
      </c>
      <c r="S177" s="62">
        <f ca="1">AVERAGE(OFFSET($R$3,0,0,'Données projet'!$E$9+1,1))-AVERAGE(OFFSET($H$3,0,0,'Données projet'!$E$9+1,1))</f>
        <v>352.5736659365665</v>
      </c>
      <c r="T177" s="62">
        <f t="shared" si="142"/>
        <v>343.77208530767069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0.77838194308306197</v>
      </c>
      <c r="AA177" s="23">
        <f>EXP(-LN(2)/25)*AA176+(1-EXP(-LN(2)/25))/(LN(2)/25)*Calculateur!V177*Calculateur!X177*VLOOKUP('Données projet'!$B$9,Paramètres!$A$1:$I$89,3,0)*0.475*44/12</f>
        <v>0.437699409260006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1.216081352343068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3.7243808037601412E-14</v>
      </c>
      <c r="AK177" s="14">
        <f t="shared" si="164"/>
        <v>6.2767589361185393E-13</v>
      </c>
      <c r="AL177" s="22">
        <f t="shared" si="165"/>
        <v>1.1580684803728015E-12</v>
      </c>
      <c r="AM177" s="62">
        <f t="shared" si="113"/>
        <v>293.33333333333445</v>
      </c>
      <c r="AN177" s="62">
        <f ca="1">AVERAGE(OFFSET($AM$3,0,0,'Données projet'!$E$10+1,1))-AVERAGE(OFFSET($H$3,0,0,'Données projet'!$E$10+1,1))</f>
        <v>210.08998695869161</v>
      </c>
      <c r="AO177" s="62">
        <f t="shared" si="144"/>
        <v>207.30911916430881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3.9115436654179235E-23</v>
      </c>
      <c r="AX177" s="23">
        <f t="shared" si="166"/>
        <v>3.9115436654179235E-23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335.83558218229564</v>
      </c>
      <c r="BJ177" s="62">
        <f t="shared" si="146"/>
        <v>217.08423061559648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4.4412384429927971E-21</v>
      </c>
      <c r="BS177" s="24">
        <f t="shared" si="169"/>
        <v>4.4412384429927971E-21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5.6843418860808015E-14</v>
      </c>
      <c r="BZ177" s="14">
        <f>BY177*VLOOKUP('Données projet'!$B$12,Paramètres!$A$1:$I$89,3,0)*VLOOKUP('Données projet'!$B$12,Paramètres!$A$1:$I$89,5,0)</f>
        <v>4.4337866711430253E-14</v>
      </c>
      <c r="CA177" s="14">
        <f t="shared" si="170"/>
        <v>7.3222115536967035E-13</v>
      </c>
      <c r="CB177" s="22">
        <f t="shared" si="171"/>
        <v>1.3525069634579169E-12</v>
      </c>
      <c r="CC177" s="62">
        <f t="shared" si="119"/>
        <v>293.33333333333468</v>
      </c>
      <c r="CD177" s="62">
        <f ca="1">AVERAGE(OFFSET($CC$3,0,0,'Données projet'!$E$12+1,1))-AVERAGE(OFFSET($H$3,0,0,'Données projet'!$E$12+1,1))</f>
        <v>288.82868507674738</v>
      </c>
      <c r="CE177" s="62">
        <f t="shared" si="148"/>
        <v>283.48738729114024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8.9897905856702362E-2</v>
      </c>
      <c r="CM177" s="23">
        <f>EXP(-LN(2)/2)*CM176+(1-EXP(-LN(2)/2))/(LN(2)/2)*CG177*CJ177*VLOOKUP('Données projet'!$B$12,Paramètres!$A$1:$I$89,3,0)*0.475*44/12</f>
        <v>5.4628748300731859E-22</v>
      </c>
      <c r="CN177" s="24">
        <f t="shared" si="172"/>
        <v>8.9897905856702362E-2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317.99999999999972</v>
      </c>
      <c r="CU177" s="18">
        <f>CT177*VLOOKUP('Données projet'!$B$13,Paramètres!$A$1:$I$89,3,0)*VLOOKUP('Données projet'!$B$13,Paramètres!$A$1:$I$89,5,0)</f>
        <v>277.80479999999983</v>
      </c>
      <c r="CV177" s="14">
        <f t="shared" si="173"/>
        <v>66.50288772038418</v>
      </c>
      <c r="CW177" s="22">
        <f t="shared" si="174"/>
        <v>599.66922277966887</v>
      </c>
      <c r="CX177" s="62">
        <f t="shared" si="122"/>
        <v>893.00255611300213</v>
      </c>
      <c r="CY177" s="62">
        <f ca="1">AVERAGE(OFFSET($CX$3,0,0,'Données projet'!$E$13+1,1))-AVERAGE(OFFSET($H$3,0,0,'Données projet'!$E$13+1,1))</f>
        <v>383.46266660377637</v>
      </c>
      <c r="CZ177" s="62">
        <f t="shared" si="150"/>
        <v>373.1287543230714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0.29627812470908627</v>
      </c>
      <c r="DH177" s="23">
        <f>EXP(-LN(2)/2)*DH176+(1-EXP(-LN(2)/2))/(LN(2)/2)*DB177*DE177*VLOOKUP('Données projet'!$B$13,Paramètres!$A$1:$I$89,3,0)*0.475*44/12</f>
        <v>4.4969907340998288E-21</v>
      </c>
      <c r="DI177" s="24">
        <f t="shared" si="175"/>
        <v>0.29627812470908627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>
        <f>DO177*VLOOKUP('Données projet'!$B$14,Paramètres!$A$1:$I$89,3,0)*VLOOKUP('Données projet'!$B$14,Paramètres!$A$1:$I$89,5,0)</f>
        <v>0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96.56611521638132</v>
      </c>
      <c r="DU177" s="62">
        <f t="shared" si="152"/>
        <v>465.03257878814094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4.7587574739161287</v>
      </c>
      <c r="EB177" s="23">
        <f>EXP(-LN(2)/25)*EB176+(1-EXP(-LN(2)/25))/(LN(2)/25)*Calculateur!DW177*Calculateur!DY177*VLOOKUP('Données projet'!$B$14,Paramètres!$A$1:$I$89,3,0)*0.475*44/12</f>
        <v>0.33895813296554378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5.0977156068816729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317.99999999999972</v>
      </c>
      <c r="EK177" s="18">
        <f>EJ177*VLOOKUP('Données projet'!$B$15,Paramètres!$A$1:$I$89,3,0)*VLOOKUP('Données projet'!$B$15,Paramètres!$A$1:$I$89,5,0)</f>
        <v>257.96159999999981</v>
      </c>
      <c r="EL177" s="14">
        <f t="shared" si="179"/>
        <v>62.287674609742425</v>
      </c>
      <c r="EM177" s="22">
        <f t="shared" si="180"/>
        <v>557.76748661196768</v>
      </c>
      <c r="EN177" s="62">
        <f t="shared" si="128"/>
        <v>851.10081994530105</v>
      </c>
      <c r="EO177" s="62">
        <f ca="1">AVERAGE(OFFSET($EN$3,0,0,'Données projet'!$E$15+1,1))-AVERAGE(OFFSET($H$3,0,0,'Données projet'!$E$15+1,1))</f>
        <v>358.75637627589799</v>
      </c>
      <c r="EP177" s="62">
        <f t="shared" si="154"/>
        <v>349.64821164483607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0.55818718492967656</v>
      </c>
      <c r="EW177" s="23">
        <f>EXP(-LN(2)/25)*EW176+(1-EXP(-LN(2)/25))/(LN(2)/25)*Calculateur!ER177*Calculateur!ET177*VLOOKUP('Données projet'!$B$15,Paramètres!$A$1:$I$89,3,0)*0.475*44/12</f>
        <v>0.2830313506296796</v>
      </c>
      <c r="EX177" s="23">
        <f>EXP(-LN(2)/2)*EX176+(1-EXP(-LN(2)/2))/(LN(2)/2)*ER177*EU177*VLOOKUP('Données projet'!$B$15,Paramètres!$A$1:$I$89,3,0)*0.475*44/12</f>
        <v>7.7215103547175688E-22</v>
      </c>
      <c r="EY177" s="24">
        <f t="shared" si="181"/>
        <v>0.84121853555935622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>
        <f>FE177*VLOOKUP('Données projet'!$B$16,Paramètres!$A$1:$I$89,3,0)*VLOOKUP('Données projet'!$B$16,Paramètres!$A$1:$I$89,5,0)</f>
        <v>0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121.28977654040114</v>
      </c>
      <c r="FK177" s="62">
        <f t="shared" si="156"/>
        <v>615.69585264342595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6.4116592295620665</v>
      </c>
      <c r="FR177" s="23">
        <f>EXP(-LN(2)/25)*FR176+(1-EXP(-LN(2)/25))/(LN(2)/25)*Calculateur!FM177*Calculateur!FO177*VLOOKUP('Données projet'!$B$16,Paramètres!$A$1:$I$89,3,0)*0.475*44/12</f>
        <v>0.45669149007402393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6.8683507196360907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317.99999999999972</v>
      </c>
      <c r="O178" s="14">
        <f>N178*VLOOKUP('Données projet'!$B$9,Paramètres!$A$1:$I$89,3,0)*VLOOKUP('Données projet'!$B$9,Paramètres!$A$1:$I$89,5,0)</f>
        <v>253.0007999999998</v>
      </c>
      <c r="P178" s="14">
        <f t="shared" si="141"/>
        <v>61.228070105968683</v>
      </c>
      <c r="Q178" s="22">
        <f t="shared" si="162"/>
        <v>547.28194876789507</v>
      </c>
      <c r="R178" s="62">
        <f t="shared" si="109"/>
        <v>840.61528210122833</v>
      </c>
      <c r="S178" s="62">
        <f ca="1">AVERAGE(OFFSET($R$3,0,0,'Données projet'!$E$9+1,1))-AVERAGE(OFFSET($H$3,0,0,'Données projet'!$E$9+1,1))</f>
        <v>352.5736659365665</v>
      </c>
      <c r="T178" s="62">
        <f t="shared" si="142"/>
        <v>343.77208530767069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0.76311834794530919</v>
      </c>
      <c r="AA178" s="23">
        <f>EXP(-LN(2)/25)*AA177+(1-EXP(-LN(2)/25))/(LN(2)/25)*Calculateur!V178*Calculateur!X178*VLOOKUP('Données projet'!$B$9,Paramètres!$A$1:$I$89,3,0)*0.475*44/12</f>
        <v>0.42573049589617956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1.1888488438414888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3.7243808037601412E-14</v>
      </c>
      <c r="AK178" s="14">
        <f t="shared" si="164"/>
        <v>6.2767589361185393E-13</v>
      </c>
      <c r="AL178" s="22">
        <f t="shared" si="165"/>
        <v>1.1580684803728015E-12</v>
      </c>
      <c r="AM178" s="62">
        <f t="shared" si="113"/>
        <v>293.33333333333445</v>
      </c>
      <c r="AN178" s="62">
        <f ca="1">AVERAGE(OFFSET($AM$3,0,0,'Données projet'!$E$10+1,1))-AVERAGE(OFFSET($H$3,0,0,'Données projet'!$E$10+1,1))</f>
        <v>210.08998695869161</v>
      </c>
      <c r="AO178" s="62">
        <f t="shared" si="144"/>
        <v>207.30911916430881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2.7658790507242976E-23</v>
      </c>
      <c r="AX178" s="23">
        <f t="shared" si="166"/>
        <v>2.7658790507242976E-23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335.83558218229564</v>
      </c>
      <c r="BJ178" s="62">
        <f t="shared" si="146"/>
        <v>217.08423061559648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3.1404298199065908E-21</v>
      </c>
      <c r="BS178" s="24">
        <f t="shared" si="169"/>
        <v>3.1404298199065908E-21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5.6843418860808015E-14</v>
      </c>
      <c r="BZ178" s="14">
        <f>BY178*VLOOKUP('Données projet'!$B$12,Paramètres!$A$1:$I$89,3,0)*VLOOKUP('Données projet'!$B$12,Paramètres!$A$1:$I$89,5,0)</f>
        <v>4.4337866711430253E-14</v>
      </c>
      <c r="CA178" s="14">
        <f t="shared" si="170"/>
        <v>7.3222115536967035E-13</v>
      </c>
      <c r="CB178" s="22">
        <f t="shared" si="171"/>
        <v>1.3525069634579169E-12</v>
      </c>
      <c r="CC178" s="62">
        <f t="shared" si="119"/>
        <v>293.33333333333468</v>
      </c>
      <c r="CD178" s="62">
        <f ca="1">AVERAGE(OFFSET($CC$3,0,0,'Données projet'!$E$12+1,1))-AVERAGE(OFFSET($H$3,0,0,'Données projet'!$E$12+1,1))</f>
        <v>288.82868507674738</v>
      </c>
      <c r="CE178" s="62">
        <f t="shared" si="148"/>
        <v>283.48738729114024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8.7439642893525432E-2</v>
      </c>
      <c r="CM178" s="23">
        <f>EXP(-LN(2)/2)*CM177+(1-EXP(-LN(2)/2))/(LN(2)/2)*CG178*CJ178*VLOOKUP('Données projet'!$B$12,Paramètres!$A$1:$I$89,3,0)*0.475*44/12</f>
        <v>3.8628358371180583E-22</v>
      </c>
      <c r="CN178" s="24">
        <f t="shared" si="172"/>
        <v>8.7439642893525432E-2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317.99999999999972</v>
      </c>
      <c r="CU178" s="18">
        <f>CT178*VLOOKUP('Données projet'!$B$13,Paramètres!$A$1:$I$89,3,0)*VLOOKUP('Données projet'!$B$13,Paramètres!$A$1:$I$89,5,0)</f>
        <v>277.80479999999983</v>
      </c>
      <c r="CV178" s="14">
        <f t="shared" si="173"/>
        <v>66.50288772038418</v>
      </c>
      <c r="CW178" s="22">
        <f t="shared" si="174"/>
        <v>599.66922277966887</v>
      </c>
      <c r="CX178" s="62">
        <f t="shared" si="122"/>
        <v>893.00255611300213</v>
      </c>
      <c r="CY178" s="62">
        <f ca="1">AVERAGE(OFFSET($CX$3,0,0,'Données projet'!$E$13+1,1))-AVERAGE(OFFSET($H$3,0,0,'Données projet'!$E$13+1,1))</f>
        <v>383.46266660377637</v>
      </c>
      <c r="CZ178" s="62">
        <f t="shared" si="150"/>
        <v>373.1287543230714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0.28817638380832689</v>
      </c>
      <c r="DH178" s="23">
        <f>EXP(-LN(2)/2)*DH177+(1-EXP(-LN(2)/2))/(LN(2)/2)*DB178*DE178*VLOOKUP('Données projet'!$B$13,Paramètres!$A$1:$I$89,3,0)*0.475*44/12</f>
        <v>3.1798526430150594E-21</v>
      </c>
      <c r="DI178" s="24">
        <f t="shared" si="175"/>
        <v>0.28817638380832689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>
        <f>DO178*VLOOKUP('Données projet'!$B$14,Paramètres!$A$1:$I$89,3,0)*VLOOKUP('Données projet'!$B$14,Paramètres!$A$1:$I$89,5,0)</f>
        <v>0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96.56611521638132</v>
      </c>
      <c r="DU178" s="62">
        <f t="shared" si="152"/>
        <v>465.03257878814094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4.6654411424080893</v>
      </c>
      <c r="EB178" s="23">
        <f>EXP(-LN(2)/25)*EB177+(1-EXP(-LN(2)/25))/(LN(2)/25)*Calculateur!DW178*Calculateur!DY178*VLOOKUP('Données projet'!$B$14,Paramètres!$A$1:$I$89,3,0)*0.475*44/12</f>
        <v>0.32968930499456744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4.9951304474026568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317.99999999999972</v>
      </c>
      <c r="EK178" s="18">
        <f>EJ178*VLOOKUP('Données projet'!$B$15,Paramètres!$A$1:$I$89,3,0)*VLOOKUP('Données projet'!$B$15,Paramètres!$A$1:$I$89,5,0)</f>
        <v>257.96159999999981</v>
      </c>
      <c r="EL178" s="14">
        <f t="shared" si="179"/>
        <v>62.287674609742425</v>
      </c>
      <c r="EM178" s="22">
        <f t="shared" si="180"/>
        <v>557.76748661196768</v>
      </c>
      <c r="EN178" s="62">
        <f t="shared" si="128"/>
        <v>851.10081994530105</v>
      </c>
      <c r="EO178" s="62">
        <f ca="1">AVERAGE(OFFSET($EN$3,0,0,'Données projet'!$E$15+1,1))-AVERAGE(OFFSET($H$3,0,0,'Données projet'!$E$15+1,1))</f>
        <v>358.75637627589799</v>
      </c>
      <c r="EP178" s="62">
        <f t="shared" si="154"/>
        <v>349.64821164483607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0.54724147469377071</v>
      </c>
      <c r="EW178" s="23">
        <f>EXP(-LN(2)/25)*EW177+(1-EXP(-LN(2)/25))/(LN(2)/25)*Calculateur!ER178*Calculateur!ET178*VLOOKUP('Données projet'!$B$15,Paramètres!$A$1:$I$89,3,0)*0.475*44/12</f>
        <v>0.27529184346273916</v>
      </c>
      <c r="EX178" s="23">
        <f>EXP(-LN(2)/2)*EX177+(1-EXP(-LN(2)/2))/(LN(2)/2)*ER178*EU178*VLOOKUP('Données projet'!$B$15,Paramètres!$A$1:$I$89,3,0)*0.475*44/12</f>
        <v>5.4599323328229368E-22</v>
      </c>
      <c r="EY178" s="24">
        <f t="shared" si="181"/>
        <v>0.82253331815650987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>
        <f>FE178*VLOOKUP('Données projet'!$B$16,Paramètres!$A$1:$I$89,3,0)*VLOOKUP('Données projet'!$B$16,Paramètres!$A$1:$I$89,5,0)</f>
        <v>0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121.28977654040114</v>
      </c>
      <c r="FK178" s="62">
        <f t="shared" si="156"/>
        <v>615.69585264342595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6.2859305027963321</v>
      </c>
      <c r="FR178" s="23">
        <f>EXP(-LN(2)/25)*FR177+(1-EXP(-LN(2)/25))/(LN(2)/25)*Calculateur!FM178*Calculateur!FO178*VLOOKUP('Données projet'!$B$16,Paramètres!$A$1:$I$89,3,0)*0.475*44/12</f>
        <v>0.44420323726158806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6.7301337400579202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317.99999999999972</v>
      </c>
      <c r="O179" s="14">
        <f>N179*VLOOKUP('Données projet'!$B$9,Paramètres!$A$1:$I$89,3,0)*VLOOKUP('Données projet'!$B$9,Paramètres!$A$1:$I$89,5,0)</f>
        <v>253.0007999999998</v>
      </c>
      <c r="P179" s="14">
        <f t="shared" si="141"/>
        <v>61.228070105968683</v>
      </c>
      <c r="Q179" s="22">
        <f t="shared" si="162"/>
        <v>547.28194876789507</v>
      </c>
      <c r="R179" s="62">
        <f t="shared" si="109"/>
        <v>840.61528210122833</v>
      </c>
      <c r="S179" s="62">
        <f ca="1">AVERAGE(OFFSET($R$3,0,0,'Données projet'!$E$9+1,1))-AVERAGE(OFFSET($H$3,0,0,'Données projet'!$E$9+1,1))</f>
        <v>352.5736659365665</v>
      </c>
      <c r="T179" s="62">
        <f t="shared" si="142"/>
        <v>343.77208530767069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0.74815406259833395</v>
      </c>
      <c r="AA179" s="23">
        <f>EXP(-LN(2)/25)*AA178+(1-EXP(-LN(2)/25))/(LN(2)/25)*Calculateur!V179*Calculateur!X179*VLOOKUP('Données projet'!$B$9,Paramètres!$A$1:$I$89,3,0)*0.475*44/12</f>
        <v>0.41408887309770476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1.1622429356960386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3.7243808037601412E-14</v>
      </c>
      <c r="AK179" s="14">
        <f t="shared" si="164"/>
        <v>6.2767589361185393E-13</v>
      </c>
      <c r="AL179" s="22">
        <f t="shared" si="165"/>
        <v>1.1580684803728015E-12</v>
      </c>
      <c r="AM179" s="62">
        <f t="shared" si="113"/>
        <v>293.33333333333445</v>
      </c>
      <c r="AN179" s="62">
        <f ca="1">AVERAGE(OFFSET($AM$3,0,0,'Données projet'!$E$10+1,1))-AVERAGE(OFFSET($H$3,0,0,'Données projet'!$E$10+1,1))</f>
        <v>210.08998695869161</v>
      </c>
      <c r="AO179" s="62">
        <f t="shared" si="144"/>
        <v>207.30911916430881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1.9557718327089617E-23</v>
      </c>
      <c r="AX179" s="23">
        <f t="shared" si="166"/>
        <v>1.9557718327089617E-23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335.83558218229564</v>
      </c>
      <c r="BJ179" s="62">
        <f t="shared" si="146"/>
        <v>217.08423061559648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2.2206192214963985E-21</v>
      </c>
      <c r="BS179" s="24">
        <f t="shared" si="169"/>
        <v>2.2206192214963985E-21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5.6843418860808015E-14</v>
      </c>
      <c r="BZ179" s="14">
        <f>BY179*VLOOKUP('Données projet'!$B$12,Paramètres!$A$1:$I$89,3,0)*VLOOKUP('Données projet'!$B$12,Paramètres!$A$1:$I$89,5,0)</f>
        <v>4.4337866711430253E-14</v>
      </c>
      <c r="CA179" s="14">
        <f t="shared" si="170"/>
        <v>7.3222115536967035E-13</v>
      </c>
      <c r="CB179" s="22">
        <f t="shared" si="171"/>
        <v>1.3525069634579169E-12</v>
      </c>
      <c r="CC179" s="62">
        <f t="shared" si="119"/>
        <v>293.33333333333468</v>
      </c>
      <c r="CD179" s="62">
        <f ca="1">AVERAGE(OFFSET($CC$3,0,0,'Données projet'!$E$12+1,1))-AVERAGE(OFFSET($H$3,0,0,'Données projet'!$E$12+1,1))</f>
        <v>288.82868507674738</v>
      </c>
      <c r="CE179" s="62">
        <f t="shared" si="148"/>
        <v>283.48738729114024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8.5048601260351006E-2</v>
      </c>
      <c r="CM179" s="23">
        <f>EXP(-LN(2)/2)*CM178+(1-EXP(-LN(2)/2))/(LN(2)/2)*CG179*CJ179*VLOOKUP('Données projet'!$B$12,Paramètres!$A$1:$I$89,3,0)*0.475*44/12</f>
        <v>2.7314374150365929E-22</v>
      </c>
      <c r="CN179" s="24">
        <f t="shared" si="172"/>
        <v>8.5048601260351006E-2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317.99999999999972</v>
      </c>
      <c r="CU179" s="18">
        <f>CT179*VLOOKUP('Données projet'!$B$13,Paramètres!$A$1:$I$89,3,0)*VLOOKUP('Données projet'!$B$13,Paramètres!$A$1:$I$89,5,0)</f>
        <v>277.80479999999983</v>
      </c>
      <c r="CV179" s="14">
        <f t="shared" si="173"/>
        <v>66.50288772038418</v>
      </c>
      <c r="CW179" s="22">
        <f t="shared" si="174"/>
        <v>599.66922277966887</v>
      </c>
      <c r="CX179" s="62">
        <f t="shared" si="122"/>
        <v>893.00255611300213</v>
      </c>
      <c r="CY179" s="62">
        <f ca="1">AVERAGE(OFFSET($CX$3,0,0,'Données projet'!$E$13+1,1))-AVERAGE(OFFSET($H$3,0,0,'Données projet'!$E$13+1,1))</f>
        <v>383.46266660377637</v>
      </c>
      <c r="CZ179" s="62">
        <f t="shared" si="150"/>
        <v>373.1287543230714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0.28029618543855078</v>
      </c>
      <c r="DH179" s="23">
        <f>EXP(-LN(2)/2)*DH178+(1-EXP(-LN(2)/2))/(LN(2)/2)*DB179*DE179*VLOOKUP('Données projet'!$B$13,Paramètres!$A$1:$I$89,3,0)*0.475*44/12</f>
        <v>2.2484953670499144E-21</v>
      </c>
      <c r="DI179" s="24">
        <f t="shared" si="175"/>
        <v>0.28029618543855078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>
        <f>DO179*VLOOKUP('Données projet'!$B$14,Paramètres!$A$1:$I$89,3,0)*VLOOKUP('Données projet'!$B$14,Paramètres!$A$1:$I$89,5,0)</f>
        <v>0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96.56611521638132</v>
      </c>
      <c r="DU179" s="62">
        <f t="shared" si="152"/>
        <v>465.03257878814094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4.5739546872435799</v>
      </c>
      <c r="EB179" s="23">
        <f>EXP(-LN(2)/25)*EB178+(1-EXP(-LN(2)/25))/(LN(2)/25)*Calculateur!DW179*Calculateur!DY179*VLOOKUP('Données projet'!$B$14,Paramètres!$A$1:$I$89,3,0)*0.475*44/12</f>
        <v>0.32067393361188395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4.8946286208554639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317.99999999999972</v>
      </c>
      <c r="EK179" s="18">
        <f>EJ179*VLOOKUP('Données projet'!$B$15,Paramètres!$A$1:$I$89,3,0)*VLOOKUP('Données projet'!$B$15,Paramètres!$A$1:$I$89,5,0)</f>
        <v>257.96159999999981</v>
      </c>
      <c r="EL179" s="14">
        <f t="shared" si="179"/>
        <v>62.287674609742425</v>
      </c>
      <c r="EM179" s="22">
        <f t="shared" si="180"/>
        <v>557.76748661196768</v>
      </c>
      <c r="EN179" s="62">
        <f t="shared" si="128"/>
        <v>851.10081994530105</v>
      </c>
      <c r="EO179" s="62">
        <f ca="1">AVERAGE(OFFSET($EN$3,0,0,'Données projet'!$E$15+1,1))-AVERAGE(OFFSET($H$3,0,0,'Données projet'!$E$15+1,1))</f>
        <v>358.75637627589799</v>
      </c>
      <c r="EP179" s="62">
        <f t="shared" si="154"/>
        <v>349.64821164483607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0.53651040315936693</v>
      </c>
      <c r="EW179" s="23">
        <f>EXP(-LN(2)/25)*EW178+(1-EXP(-LN(2)/25))/(LN(2)/25)*Calculateur!ER179*Calculateur!ET179*VLOOKUP('Données projet'!$B$15,Paramètres!$A$1:$I$89,3,0)*0.475*44/12</f>
        <v>0.26776397352628167</v>
      </c>
      <c r="EX179" s="23">
        <f>EXP(-LN(2)/2)*EX178+(1-EXP(-LN(2)/2))/(LN(2)/2)*ER179*EU179*VLOOKUP('Données projet'!$B$15,Paramètres!$A$1:$I$89,3,0)*0.475*44/12</f>
        <v>3.8607551773587844E-22</v>
      </c>
      <c r="EY179" s="24">
        <f t="shared" si="181"/>
        <v>0.80427437668564861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>
        <f>FE179*VLOOKUP('Données projet'!$B$16,Paramètres!$A$1:$I$89,3,0)*VLOOKUP('Données projet'!$B$16,Paramètres!$A$1:$I$89,5,0)</f>
        <v>0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121.28977654040114</v>
      </c>
      <c r="FK179" s="62">
        <f t="shared" si="156"/>
        <v>615.69585264342595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6.1626672396755229</v>
      </c>
      <c r="FR179" s="23">
        <f>EXP(-LN(2)/25)*FR178+(1-EXP(-LN(2)/25))/(LN(2)/25)*Calculateur!FM179*Calculateur!FO179*VLOOKUP('Données projet'!$B$16,Paramètres!$A$1:$I$89,3,0)*0.475*44/12</f>
        <v>0.43205647637903694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6.5947237160545598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317.99999999999972</v>
      </c>
      <c r="O180" s="14">
        <f>N180*VLOOKUP('Données projet'!$B$9,Paramètres!$A$1:$I$89,3,0)*VLOOKUP('Données projet'!$B$9,Paramètres!$A$1:$I$89,5,0)</f>
        <v>253.0007999999998</v>
      </c>
      <c r="P180" s="14">
        <f t="shared" si="141"/>
        <v>61.228070105968683</v>
      </c>
      <c r="Q180" s="22">
        <f t="shared" si="162"/>
        <v>547.28194876789507</v>
      </c>
      <c r="R180" s="62">
        <f t="shared" si="109"/>
        <v>840.61528210122833</v>
      </c>
      <c r="S180" s="62">
        <f ca="1">AVERAGE(OFFSET($R$3,0,0,'Données projet'!$E$9+1,1))-AVERAGE(OFFSET($H$3,0,0,'Données projet'!$E$9+1,1))</f>
        <v>352.5736659365665</v>
      </c>
      <c r="T180" s="62">
        <f t="shared" si="142"/>
        <v>343.77208530767069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0.73348321775970005</v>
      </c>
      <c r="AA180" s="23">
        <f>EXP(-LN(2)/25)*AA179+(1-EXP(-LN(2)/25))/(LN(2)/25)*Calculateur!V180*Calculateur!X180*VLOOKUP('Données projet'!$B$9,Paramètres!$A$1:$I$89,3,0)*0.475*44/12</f>
        <v>0.40276559108686061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1.1362488088465605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3.7243808037601412E-14</v>
      </c>
      <c r="AK180" s="14">
        <f t="shared" si="164"/>
        <v>6.2767589361185393E-13</v>
      </c>
      <c r="AL180" s="22">
        <f t="shared" si="165"/>
        <v>1.1580684803728015E-12</v>
      </c>
      <c r="AM180" s="62">
        <f t="shared" si="113"/>
        <v>293.33333333333445</v>
      </c>
      <c r="AN180" s="62">
        <f ca="1">AVERAGE(OFFSET($AM$3,0,0,'Données projet'!$E$10+1,1))-AVERAGE(OFFSET($H$3,0,0,'Données projet'!$E$10+1,1))</f>
        <v>210.08998695869161</v>
      </c>
      <c r="AO180" s="62">
        <f t="shared" si="144"/>
        <v>207.30911916430881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1.3829395253621488E-23</v>
      </c>
      <c r="AX180" s="23">
        <f t="shared" si="166"/>
        <v>1.3829395253621488E-23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335.83558218229564</v>
      </c>
      <c r="BJ180" s="62">
        <f t="shared" si="146"/>
        <v>217.08423061559648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1.5702149099532954E-21</v>
      </c>
      <c r="BS180" s="24">
        <f t="shared" si="169"/>
        <v>1.5702149099532954E-21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5.6843418860808015E-14</v>
      </c>
      <c r="BZ180" s="14">
        <f>BY180*VLOOKUP('Données projet'!$B$12,Paramètres!$A$1:$I$89,3,0)*VLOOKUP('Données projet'!$B$12,Paramètres!$A$1:$I$89,5,0)</f>
        <v>4.4337866711430253E-14</v>
      </c>
      <c r="CA180" s="14">
        <f t="shared" si="170"/>
        <v>7.3222115536967035E-13</v>
      </c>
      <c r="CB180" s="22">
        <f t="shared" si="171"/>
        <v>1.3525069634579169E-12</v>
      </c>
      <c r="CC180" s="62">
        <f t="shared" si="119"/>
        <v>293.33333333333468</v>
      </c>
      <c r="CD180" s="62">
        <f ca="1">AVERAGE(OFFSET($CC$3,0,0,'Données projet'!$E$12+1,1))-AVERAGE(OFFSET($H$3,0,0,'Données projet'!$E$12+1,1))</f>
        <v>288.82868507674738</v>
      </c>
      <c r="CE180" s="62">
        <f t="shared" si="148"/>
        <v>283.48738729114024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8.2722942786375153E-2</v>
      </c>
      <c r="CM180" s="23">
        <f>EXP(-LN(2)/2)*CM179+(1-EXP(-LN(2)/2))/(LN(2)/2)*CG180*CJ180*VLOOKUP('Données projet'!$B$12,Paramètres!$A$1:$I$89,3,0)*0.475*44/12</f>
        <v>1.9314179185590291E-22</v>
      </c>
      <c r="CN180" s="24">
        <f t="shared" si="172"/>
        <v>8.2722942786375153E-2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317.99999999999972</v>
      </c>
      <c r="CU180" s="18">
        <f>CT180*VLOOKUP('Données projet'!$B$13,Paramètres!$A$1:$I$89,3,0)*VLOOKUP('Données projet'!$B$13,Paramètres!$A$1:$I$89,5,0)</f>
        <v>277.80479999999983</v>
      </c>
      <c r="CV180" s="14">
        <f t="shared" si="173"/>
        <v>66.50288772038418</v>
      </c>
      <c r="CW180" s="22">
        <f t="shared" si="174"/>
        <v>599.66922277966887</v>
      </c>
      <c r="CX180" s="62">
        <f t="shared" si="122"/>
        <v>893.00255611300213</v>
      </c>
      <c r="CY180" s="62">
        <f ca="1">AVERAGE(OFFSET($CX$3,0,0,'Données projet'!$E$13+1,1))-AVERAGE(OFFSET($H$3,0,0,'Données projet'!$E$13+1,1))</f>
        <v>383.46266660377637</v>
      </c>
      <c r="CZ180" s="62">
        <f t="shared" si="150"/>
        <v>373.1287543230714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0.27263147150759787</v>
      </c>
      <c r="DH180" s="23">
        <f>EXP(-LN(2)/2)*DH179+(1-EXP(-LN(2)/2))/(LN(2)/2)*DB180*DE180*VLOOKUP('Données projet'!$B$13,Paramètres!$A$1:$I$89,3,0)*0.475*44/12</f>
        <v>1.5899263215075297E-21</v>
      </c>
      <c r="DI180" s="24">
        <f t="shared" si="175"/>
        <v>0.27263147150759787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>
        <f>DO180*VLOOKUP('Données projet'!$B$14,Paramètres!$A$1:$I$89,3,0)*VLOOKUP('Données projet'!$B$14,Paramètres!$A$1:$I$89,5,0)</f>
        <v>0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96.56611521638132</v>
      </c>
      <c r="DU180" s="62">
        <f t="shared" si="152"/>
        <v>465.03257878814094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4.4842622256636187</v>
      </c>
      <c r="EB180" s="23">
        <f>EXP(-LN(2)/25)*EB179+(1-EXP(-LN(2)/25))/(LN(2)/25)*Calculateur!DW180*Calculateur!DY180*VLOOKUP('Données projet'!$B$14,Paramètres!$A$1:$I$89,3,0)*0.475*44/12</f>
        <v>0.31190508803375772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4.7961673136973761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317.99999999999972</v>
      </c>
      <c r="EK180" s="18">
        <f>EJ180*VLOOKUP('Données projet'!$B$15,Paramètres!$A$1:$I$89,3,0)*VLOOKUP('Données projet'!$B$15,Paramètres!$A$1:$I$89,5,0)</f>
        <v>257.96159999999981</v>
      </c>
      <c r="EL180" s="14">
        <f t="shared" si="179"/>
        <v>62.287674609742425</v>
      </c>
      <c r="EM180" s="22">
        <f t="shared" si="180"/>
        <v>557.76748661196768</v>
      </c>
      <c r="EN180" s="62">
        <f t="shared" si="128"/>
        <v>851.10081994530105</v>
      </c>
      <c r="EO180" s="62">
        <f ca="1">AVERAGE(OFFSET($EN$3,0,0,'Données projet'!$E$15+1,1))-AVERAGE(OFFSET($H$3,0,0,'Données projet'!$E$15+1,1))</f>
        <v>358.75637627589799</v>
      </c>
      <c r="EP180" s="62">
        <f t="shared" si="154"/>
        <v>349.64821164483607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0.52598976139244547</v>
      </c>
      <c r="EW180" s="23">
        <f>EXP(-LN(2)/25)*EW179+(1-EXP(-LN(2)/25))/(LN(2)/25)*Calculateur!ER180*Calculateur!ET180*VLOOKUP('Données projet'!$B$15,Paramètres!$A$1:$I$89,3,0)*0.475*44/12</f>
        <v>0.2604419535891101</v>
      </c>
      <c r="EX180" s="23">
        <f>EXP(-LN(2)/2)*EX179+(1-EXP(-LN(2)/2))/(LN(2)/2)*ER180*EU180*VLOOKUP('Données projet'!$B$15,Paramètres!$A$1:$I$89,3,0)*0.475*44/12</f>
        <v>2.7299661664114684E-22</v>
      </c>
      <c r="EY180" s="24">
        <f t="shared" si="181"/>
        <v>0.78643171498155562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>
        <f>FE180*VLOOKUP('Données projet'!$B$16,Paramètres!$A$1:$I$89,3,0)*VLOOKUP('Données projet'!$B$16,Paramètres!$A$1:$I$89,5,0)</f>
        <v>0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121.28977654040114</v>
      </c>
      <c r="FK180" s="62">
        <f t="shared" si="156"/>
        <v>615.69585264342595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6.0418210939613459</v>
      </c>
      <c r="FR180" s="23">
        <f>EXP(-LN(2)/25)*FR179+(1-EXP(-LN(2)/25))/(LN(2)/25)*Calculateur!FM180*Calculateur!FO180*VLOOKUP('Données projet'!$B$16,Paramètres!$A$1:$I$89,3,0)*0.475*44/12</f>
        <v>0.42024186931158958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6.4620629632729356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317.99999999999972</v>
      </c>
      <c r="O181" s="14">
        <f>N181*VLOOKUP('Données projet'!$B$9,Paramètres!$A$1:$I$89,3,0)*VLOOKUP('Données projet'!$B$9,Paramètres!$A$1:$I$89,5,0)</f>
        <v>253.0007999999998</v>
      </c>
      <c r="P181" s="14">
        <f t="shared" si="141"/>
        <v>61.228070105968683</v>
      </c>
      <c r="Q181" s="22">
        <f t="shared" si="162"/>
        <v>547.28194876789507</v>
      </c>
      <c r="R181" s="62">
        <f t="shared" si="109"/>
        <v>840.61528210122833</v>
      </c>
      <c r="S181" s="62">
        <f ca="1">AVERAGE(OFFSET($R$3,0,0,'Données projet'!$E$9+1,1))-AVERAGE(OFFSET($H$3,0,0,'Données projet'!$E$9+1,1))</f>
        <v>352.5736659365665</v>
      </c>
      <c r="T181" s="62">
        <f t="shared" si="142"/>
        <v>343.77208530767069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0.71910005924001996</v>
      </c>
      <c r="AA181" s="23">
        <f>EXP(-LN(2)/25)*AA180+(1-EXP(-LN(2)/25))/(LN(2)/25)*Calculateur!V181*Calculateur!X181*VLOOKUP('Données projet'!$B$9,Paramètres!$A$1:$I$89,3,0)*0.475*44/12</f>
        <v>0.39175194481806852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1.1108520040580885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3.7243808037601412E-14</v>
      </c>
      <c r="AK181" s="14">
        <f t="shared" si="164"/>
        <v>6.2767589361185393E-13</v>
      </c>
      <c r="AL181" s="22">
        <f t="shared" si="165"/>
        <v>1.1580684803728015E-12</v>
      </c>
      <c r="AM181" s="62">
        <f t="shared" si="113"/>
        <v>293.33333333333445</v>
      </c>
      <c r="AN181" s="62">
        <f ca="1">AVERAGE(OFFSET($AM$3,0,0,'Données projet'!$E$10+1,1))-AVERAGE(OFFSET($H$3,0,0,'Données projet'!$E$10+1,1))</f>
        <v>210.08998695869161</v>
      </c>
      <c r="AO181" s="62">
        <f t="shared" si="144"/>
        <v>207.30911916430881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9.7788591635448087E-24</v>
      </c>
      <c r="AX181" s="23">
        <f t="shared" si="166"/>
        <v>9.7788591635448087E-24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335.83558218229564</v>
      </c>
      <c r="BJ181" s="62">
        <f t="shared" si="146"/>
        <v>217.08423061559648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1.1103096107481993E-21</v>
      </c>
      <c r="BS181" s="24">
        <f t="shared" si="169"/>
        <v>1.1103096107481993E-21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5.6843418860808015E-14</v>
      </c>
      <c r="BZ181" s="14">
        <f>BY181*VLOOKUP('Données projet'!$B$12,Paramètres!$A$1:$I$89,3,0)*VLOOKUP('Données projet'!$B$12,Paramètres!$A$1:$I$89,5,0)</f>
        <v>4.4337866711430253E-14</v>
      </c>
      <c r="CA181" s="14">
        <f t="shared" si="170"/>
        <v>7.3222115536967035E-13</v>
      </c>
      <c r="CB181" s="22">
        <f t="shared" si="171"/>
        <v>1.3525069634579169E-12</v>
      </c>
      <c r="CC181" s="62">
        <f t="shared" si="119"/>
        <v>293.33333333333468</v>
      </c>
      <c r="CD181" s="62">
        <f ca="1">AVERAGE(OFFSET($CC$3,0,0,'Données projet'!$E$12+1,1))-AVERAGE(OFFSET($H$3,0,0,'Données projet'!$E$12+1,1))</f>
        <v>288.82868507674738</v>
      </c>
      <c r="CE181" s="62">
        <f t="shared" si="148"/>
        <v>283.48738729114024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8.0460879565671231E-2</v>
      </c>
      <c r="CM181" s="23">
        <f>EXP(-LN(2)/2)*CM180+(1-EXP(-LN(2)/2))/(LN(2)/2)*CG181*CJ181*VLOOKUP('Données projet'!$B$12,Paramètres!$A$1:$I$89,3,0)*0.475*44/12</f>
        <v>1.3657187075182965E-22</v>
      </c>
      <c r="CN181" s="24">
        <f t="shared" si="172"/>
        <v>8.0460879565671231E-2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317.99999999999972</v>
      </c>
      <c r="CU181" s="18">
        <f>CT181*VLOOKUP('Données projet'!$B$13,Paramètres!$A$1:$I$89,3,0)*VLOOKUP('Données projet'!$B$13,Paramètres!$A$1:$I$89,5,0)</f>
        <v>277.80479999999983</v>
      </c>
      <c r="CV181" s="14">
        <f t="shared" si="173"/>
        <v>66.50288772038418</v>
      </c>
      <c r="CW181" s="22">
        <f t="shared" si="174"/>
        <v>599.66922277966887</v>
      </c>
      <c r="CX181" s="62">
        <f t="shared" si="122"/>
        <v>893.00255611300213</v>
      </c>
      <c r="CY181" s="62">
        <f ca="1">AVERAGE(OFFSET($CX$3,0,0,'Données projet'!$E$13+1,1))-AVERAGE(OFFSET($H$3,0,0,'Données projet'!$E$13+1,1))</f>
        <v>383.46266660377637</v>
      </c>
      <c r="CZ181" s="62">
        <f t="shared" si="150"/>
        <v>373.1287543230714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0.26517634958215663</v>
      </c>
      <c r="DH181" s="23">
        <f>EXP(-LN(2)/2)*DH180+(1-EXP(-LN(2)/2))/(LN(2)/2)*DB181*DE181*VLOOKUP('Données projet'!$B$13,Paramètres!$A$1:$I$89,3,0)*0.475*44/12</f>
        <v>1.1242476835249572E-21</v>
      </c>
      <c r="DI181" s="24">
        <f t="shared" si="175"/>
        <v>0.26517634958215663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>
        <f>DO181*VLOOKUP('Données projet'!$B$14,Paramètres!$A$1:$I$89,3,0)*VLOOKUP('Données projet'!$B$14,Paramètres!$A$1:$I$89,5,0)</f>
        <v>0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96.56611521638132</v>
      </c>
      <c r="DU181" s="62">
        <f t="shared" si="152"/>
        <v>465.03257878814094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4.3963285785482409</v>
      </c>
      <c r="EB181" s="23">
        <f>EXP(-LN(2)/25)*EB180+(1-EXP(-LN(2)/25))/(LN(2)/25)*Calculateur!DW181*Calculateur!DY181*VLOOKUP('Données projet'!$B$14,Paramètres!$A$1:$I$89,3,0)*0.475*44/12</f>
        <v>0.30337602699909888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4.6997046055473399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317.99999999999972</v>
      </c>
      <c r="EK181" s="18">
        <f>EJ181*VLOOKUP('Données projet'!$B$15,Paramètres!$A$1:$I$89,3,0)*VLOOKUP('Données projet'!$B$15,Paramètres!$A$1:$I$89,5,0)</f>
        <v>257.96159999999981</v>
      </c>
      <c r="EL181" s="14">
        <f t="shared" si="179"/>
        <v>62.287674609742425</v>
      </c>
      <c r="EM181" s="22">
        <f t="shared" si="180"/>
        <v>557.76748661196768</v>
      </c>
      <c r="EN181" s="62">
        <f t="shared" si="128"/>
        <v>851.10081994530105</v>
      </c>
      <c r="EO181" s="62">
        <f ca="1">AVERAGE(OFFSET($EN$3,0,0,'Données projet'!$E$15+1,1))-AVERAGE(OFFSET($H$3,0,0,'Données projet'!$E$15+1,1))</f>
        <v>358.75637627589799</v>
      </c>
      <c r="EP181" s="62">
        <f t="shared" si="154"/>
        <v>349.64821164483607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0.51567542299361546</v>
      </c>
      <c r="EW181" s="23">
        <f>EXP(-LN(2)/25)*EW180+(1-EXP(-LN(2)/25))/(LN(2)/25)*Calculateur!ER181*Calculateur!ET181*VLOOKUP('Données projet'!$B$15,Paramètres!$A$1:$I$89,3,0)*0.475*44/12</f>
        <v>0.25332015467216878</v>
      </c>
      <c r="EX181" s="23">
        <f>EXP(-LN(2)/2)*EX180+(1-EXP(-LN(2)/2))/(LN(2)/2)*ER181*EU181*VLOOKUP('Données projet'!$B$15,Paramètres!$A$1:$I$89,3,0)*0.475*44/12</f>
        <v>1.9303775886793922E-22</v>
      </c>
      <c r="EY181" s="24">
        <f t="shared" si="181"/>
        <v>0.76899557766578419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>
        <f>FE181*VLOOKUP('Données projet'!$B$16,Paramètres!$A$1:$I$89,3,0)*VLOOKUP('Données projet'!$B$16,Paramètres!$A$1:$I$89,5,0)</f>
        <v>0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121.28977654040114</v>
      </c>
      <c r="FK181" s="62">
        <f t="shared" si="156"/>
        <v>615.69585264342595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5.9233446674557531</v>
      </c>
      <c r="FR181" s="23">
        <f>EXP(-LN(2)/25)*FR180+(1-EXP(-LN(2)/25))/(LN(2)/25)*Calculateur!FM181*Calculateur!FO181*VLOOKUP('Données projet'!$B$16,Paramètres!$A$1:$I$89,3,0)*0.475*44/12</f>
        <v>0.4087503332957047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6.3320950007514574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317.99999999999972</v>
      </c>
      <c r="O182" s="14">
        <f>N182*VLOOKUP('Données projet'!$B$9,Paramètres!$A$1:$I$89,3,0)*VLOOKUP('Données projet'!$B$9,Paramètres!$A$1:$I$89,5,0)</f>
        <v>253.0007999999998</v>
      </c>
      <c r="P182" s="14">
        <f t="shared" si="141"/>
        <v>61.228070105968683</v>
      </c>
      <c r="Q182" s="22">
        <f t="shared" si="162"/>
        <v>547.28194876789507</v>
      </c>
      <c r="R182" s="62">
        <f t="shared" si="109"/>
        <v>840.61528210122833</v>
      </c>
      <c r="S182" s="62">
        <f ca="1">AVERAGE(OFFSET($R$3,0,0,'Données projet'!$E$9+1,1))-AVERAGE(OFFSET($H$3,0,0,'Données projet'!$E$9+1,1))</f>
        <v>352.5736659365665</v>
      </c>
      <c r="T182" s="62">
        <f t="shared" si="142"/>
        <v>343.77208530767069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0.70499894568605037</v>
      </c>
      <c r="AA182" s="23">
        <f>EXP(-LN(2)/25)*AA181+(1-EXP(-LN(2)/25))/(LN(2)/25)*Calculateur!V182*Calculateur!X182*VLOOKUP('Données projet'!$B$9,Paramètres!$A$1:$I$89,3,0)*0.475*44/12</f>
        <v>0.381039467285679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1.0860384129717293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3.7243808037601412E-14</v>
      </c>
      <c r="AK182" s="14">
        <f t="shared" si="164"/>
        <v>6.2767589361185393E-13</v>
      </c>
      <c r="AL182" s="22">
        <f t="shared" si="165"/>
        <v>1.1580684803728015E-12</v>
      </c>
      <c r="AM182" s="62">
        <f t="shared" si="113"/>
        <v>293.33333333333445</v>
      </c>
      <c r="AN182" s="62">
        <f ca="1">AVERAGE(OFFSET($AM$3,0,0,'Données projet'!$E$10+1,1))-AVERAGE(OFFSET($H$3,0,0,'Données projet'!$E$10+1,1))</f>
        <v>210.08998695869161</v>
      </c>
      <c r="AO182" s="62">
        <f t="shared" si="144"/>
        <v>207.30911916430881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6.914697626810744E-24</v>
      </c>
      <c r="AX182" s="23">
        <f t="shared" si="166"/>
        <v>6.914697626810744E-24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335.83558218229564</v>
      </c>
      <c r="BJ182" s="62">
        <f t="shared" si="146"/>
        <v>217.08423061559648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7.851074549766477E-22</v>
      </c>
      <c r="BS182" s="24">
        <f t="shared" si="169"/>
        <v>7.851074549766477E-22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5.6843418860808015E-14</v>
      </c>
      <c r="BZ182" s="14">
        <f>BY182*VLOOKUP('Données projet'!$B$12,Paramètres!$A$1:$I$89,3,0)*VLOOKUP('Données projet'!$B$12,Paramètres!$A$1:$I$89,5,0)</f>
        <v>4.4337866711430253E-14</v>
      </c>
      <c r="CA182" s="14">
        <f t="shared" si="170"/>
        <v>7.3222115536967035E-13</v>
      </c>
      <c r="CB182" s="22">
        <f t="shared" si="171"/>
        <v>1.3525069634579169E-12</v>
      </c>
      <c r="CC182" s="62">
        <f t="shared" si="119"/>
        <v>293.33333333333468</v>
      </c>
      <c r="CD182" s="62">
        <f ca="1">AVERAGE(OFFSET($CC$3,0,0,'Données projet'!$E$12+1,1))-AVERAGE(OFFSET($H$3,0,0,'Données projet'!$E$12+1,1))</f>
        <v>288.82868507674738</v>
      </c>
      <c r="CE182" s="62">
        <f t="shared" si="148"/>
        <v>283.48738729114024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7.8260672582694188E-2</v>
      </c>
      <c r="CM182" s="23">
        <f>EXP(-LN(2)/2)*CM181+(1-EXP(-LN(2)/2))/(LN(2)/2)*CG182*CJ182*VLOOKUP('Données projet'!$B$12,Paramètres!$A$1:$I$89,3,0)*0.475*44/12</f>
        <v>9.6570895927951457E-23</v>
      </c>
      <c r="CN182" s="24">
        <f t="shared" si="172"/>
        <v>7.8260672582694188E-2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317.99999999999972</v>
      </c>
      <c r="CU182" s="18">
        <f>CT182*VLOOKUP('Données projet'!$B$13,Paramètres!$A$1:$I$89,3,0)*VLOOKUP('Données projet'!$B$13,Paramètres!$A$1:$I$89,5,0)</f>
        <v>277.80479999999983</v>
      </c>
      <c r="CV182" s="14">
        <f t="shared" si="173"/>
        <v>66.50288772038418</v>
      </c>
      <c r="CW182" s="22">
        <f t="shared" si="174"/>
        <v>599.66922277966887</v>
      </c>
      <c r="CX182" s="62">
        <f t="shared" si="122"/>
        <v>893.00255611300213</v>
      </c>
      <c r="CY182" s="62">
        <f ca="1">AVERAGE(OFFSET($CX$3,0,0,'Données projet'!$E$13+1,1))-AVERAGE(OFFSET($H$3,0,0,'Données projet'!$E$13+1,1))</f>
        <v>383.46266660377637</v>
      </c>
      <c r="CZ182" s="62">
        <f t="shared" si="150"/>
        <v>373.1287543230714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0.25792508835781441</v>
      </c>
      <c r="DH182" s="23">
        <f>EXP(-LN(2)/2)*DH181+(1-EXP(-LN(2)/2))/(LN(2)/2)*DB182*DE182*VLOOKUP('Données projet'!$B$13,Paramètres!$A$1:$I$89,3,0)*0.475*44/12</f>
        <v>7.9496316075376485E-22</v>
      </c>
      <c r="DI182" s="24">
        <f t="shared" si="175"/>
        <v>0.25792508835781441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>
        <f>DO182*VLOOKUP('Données projet'!$B$14,Paramètres!$A$1:$I$89,3,0)*VLOOKUP('Données projet'!$B$14,Paramètres!$A$1:$I$89,5,0)</f>
        <v>0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96.56611521638132</v>
      </c>
      <c r="DU182" s="62">
        <f t="shared" si="152"/>
        <v>465.03257878814094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4.3101192566185667</v>
      </c>
      <c r="EB182" s="23">
        <f>EXP(-LN(2)/25)*EB181+(1-EXP(-LN(2)/25))/(LN(2)/25)*Calculateur!DW182*Calculateur!DY182*VLOOKUP('Données projet'!$B$14,Paramètres!$A$1:$I$89,3,0)*0.475*44/12</f>
        <v>0.29508019358695664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4.6051994502055233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317.99999999999972</v>
      </c>
      <c r="EK182" s="18">
        <f>EJ182*VLOOKUP('Données projet'!$B$15,Paramètres!$A$1:$I$89,3,0)*VLOOKUP('Données projet'!$B$15,Paramètres!$A$1:$I$89,5,0)</f>
        <v>257.96159999999981</v>
      </c>
      <c r="EL182" s="14">
        <f t="shared" si="179"/>
        <v>62.287674609742425</v>
      </c>
      <c r="EM182" s="22">
        <f t="shared" si="180"/>
        <v>557.76748661196768</v>
      </c>
      <c r="EN182" s="62">
        <f t="shared" si="128"/>
        <v>851.10081994530105</v>
      </c>
      <c r="EO182" s="62">
        <f ca="1">AVERAGE(OFFSET($EN$3,0,0,'Données projet'!$E$15+1,1))-AVERAGE(OFFSET($H$3,0,0,'Données projet'!$E$15+1,1))</f>
        <v>358.75637627589799</v>
      </c>
      <c r="EP182" s="62">
        <f t="shared" si="154"/>
        <v>349.64821164483607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0.50556334247966128</v>
      </c>
      <c r="EW182" s="23">
        <f>EXP(-LN(2)/25)*EW181+(1-EXP(-LN(2)/25))/(LN(2)/25)*Calculateur!ER182*Calculateur!ET182*VLOOKUP('Données projet'!$B$15,Paramètres!$A$1:$I$89,3,0)*0.475*44/12</f>
        <v>0.24639310172113035</v>
      </c>
      <c r="EX182" s="23">
        <f>EXP(-LN(2)/2)*EX181+(1-EXP(-LN(2)/2))/(LN(2)/2)*ER182*EU182*VLOOKUP('Données projet'!$B$15,Paramètres!$A$1:$I$89,3,0)*0.475*44/12</f>
        <v>1.3649830832057342E-22</v>
      </c>
      <c r="EY182" s="24">
        <f t="shared" si="181"/>
        <v>0.75195644420079166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>
        <f>FE182*VLOOKUP('Données projet'!$B$16,Paramètres!$A$1:$I$89,3,0)*VLOOKUP('Données projet'!$B$16,Paramètres!$A$1:$I$89,5,0)</f>
        <v>0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121.28977654040114</v>
      </c>
      <c r="FK182" s="62">
        <f t="shared" si="156"/>
        <v>615.69585264342595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5.8071914914104505</v>
      </c>
      <c r="FR182" s="23">
        <f>EXP(-LN(2)/25)*FR181+(1-EXP(-LN(2)/25))/(LN(2)/25)*Calculateur!FM182*Calculateur!FO182*VLOOKUP('Données projet'!$B$16,Paramètres!$A$1:$I$89,3,0)*0.475*44/12</f>
        <v>0.39757303393648785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6.2047645253469383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317.99999999999972</v>
      </c>
      <c r="O183" s="14">
        <f>N183*VLOOKUP('Données projet'!$B$9,Paramètres!$A$1:$I$89,3,0)*VLOOKUP('Données projet'!$B$9,Paramètres!$A$1:$I$89,5,0)</f>
        <v>253.0007999999998</v>
      </c>
      <c r="P183" s="14">
        <f t="shared" si="141"/>
        <v>61.228070105968683</v>
      </c>
      <c r="Q183" s="22">
        <f t="shared" si="162"/>
        <v>547.28194876789507</v>
      </c>
      <c r="R183" s="62">
        <f t="shared" si="109"/>
        <v>840.61528210122833</v>
      </c>
      <c r="S183" s="62">
        <f ca="1">AVERAGE(OFFSET($R$3,0,0,'Données projet'!$E$9+1,1))-AVERAGE(OFFSET($H$3,0,0,'Données projet'!$E$9+1,1))</f>
        <v>352.5736659365665</v>
      </c>
      <c r="T183" s="62">
        <f t="shared" si="142"/>
        <v>343.77208530767069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0.69117434636804409</v>
      </c>
      <c r="AA183" s="23">
        <f>EXP(-LN(2)/25)*AA182+(1-EXP(-LN(2)/25))/(LN(2)/25)*Calculateur!V183*Calculateur!X183*VLOOKUP('Données projet'!$B$9,Paramètres!$A$1:$I$89,3,0)*0.475*44/12</f>
        <v>0.37061992301475738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1.0617942693828015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3.7243808037601412E-14</v>
      </c>
      <c r="AK183" s="14">
        <f t="shared" si="164"/>
        <v>6.2767589361185393E-13</v>
      </c>
      <c r="AL183" s="22">
        <f t="shared" si="165"/>
        <v>1.1580684803728015E-12</v>
      </c>
      <c r="AM183" s="62">
        <f t="shared" si="113"/>
        <v>293.33333333333445</v>
      </c>
      <c r="AN183" s="62">
        <f ca="1">AVERAGE(OFFSET($AM$3,0,0,'Données projet'!$E$10+1,1))-AVERAGE(OFFSET($H$3,0,0,'Données projet'!$E$10+1,1))</f>
        <v>210.08998695869161</v>
      </c>
      <c r="AO183" s="62">
        <f t="shared" si="144"/>
        <v>207.30911916430881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4.8894295817724044E-24</v>
      </c>
      <c r="AX183" s="23">
        <f t="shared" si="166"/>
        <v>4.8894295817724044E-24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335.83558218229564</v>
      </c>
      <c r="BJ183" s="62">
        <f t="shared" si="146"/>
        <v>217.08423061559648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5.5515480537409963E-22</v>
      </c>
      <c r="BS183" s="24">
        <f t="shared" si="169"/>
        <v>5.5515480537409963E-22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5.6843418860808015E-14</v>
      </c>
      <c r="BZ183" s="14">
        <f>BY183*VLOOKUP('Données projet'!$B$12,Paramètres!$A$1:$I$89,3,0)*VLOOKUP('Données projet'!$B$12,Paramètres!$A$1:$I$89,5,0)</f>
        <v>4.4337866711430253E-14</v>
      </c>
      <c r="CA183" s="14">
        <f t="shared" si="170"/>
        <v>7.3222115536967035E-13</v>
      </c>
      <c r="CB183" s="22">
        <f t="shared" si="171"/>
        <v>1.3525069634579169E-12</v>
      </c>
      <c r="CC183" s="62">
        <f t="shared" si="119"/>
        <v>293.33333333333468</v>
      </c>
      <c r="CD183" s="62">
        <f ca="1">AVERAGE(OFFSET($CC$3,0,0,'Données projet'!$E$12+1,1))-AVERAGE(OFFSET($H$3,0,0,'Données projet'!$E$12+1,1))</f>
        <v>288.82868507674738</v>
      </c>
      <c r="CE183" s="62">
        <f t="shared" si="148"/>
        <v>283.48738729114024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7.6120630375370507E-2</v>
      </c>
      <c r="CM183" s="23">
        <f>EXP(-LN(2)/2)*CM182+(1-EXP(-LN(2)/2))/(LN(2)/2)*CG183*CJ183*VLOOKUP('Données projet'!$B$12,Paramètres!$A$1:$I$89,3,0)*0.475*44/12</f>
        <v>6.8285935375914824E-23</v>
      </c>
      <c r="CN183" s="24">
        <f t="shared" si="172"/>
        <v>7.6120630375370507E-2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317.99999999999972</v>
      </c>
      <c r="CU183" s="18">
        <f>CT183*VLOOKUP('Données projet'!$B$13,Paramètres!$A$1:$I$89,3,0)*VLOOKUP('Données projet'!$B$13,Paramètres!$A$1:$I$89,5,0)</f>
        <v>277.80479999999983</v>
      </c>
      <c r="CV183" s="14">
        <f t="shared" si="173"/>
        <v>66.50288772038418</v>
      </c>
      <c r="CW183" s="22">
        <f t="shared" si="174"/>
        <v>599.66922277966887</v>
      </c>
      <c r="CX183" s="62">
        <f t="shared" si="122"/>
        <v>893.00255611300213</v>
      </c>
      <c r="CY183" s="62">
        <f ca="1">AVERAGE(OFFSET($CX$3,0,0,'Données projet'!$E$13+1,1))-AVERAGE(OFFSET($H$3,0,0,'Données projet'!$E$13+1,1))</f>
        <v>383.46266660377637</v>
      </c>
      <c r="CZ183" s="62">
        <f t="shared" si="150"/>
        <v>373.1287543230714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0.25087211325297909</v>
      </c>
      <c r="DH183" s="23">
        <f>EXP(-LN(2)/2)*DH182+(1-EXP(-LN(2)/2))/(LN(2)/2)*DB183*DE183*VLOOKUP('Données projet'!$B$13,Paramètres!$A$1:$I$89,3,0)*0.475*44/12</f>
        <v>5.621238417624786E-22</v>
      </c>
      <c r="DI183" s="24">
        <f t="shared" si="175"/>
        <v>0.25087211325297909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>
        <f>DO183*VLOOKUP('Données projet'!$B$14,Paramètres!$A$1:$I$89,3,0)*VLOOKUP('Données projet'!$B$14,Paramètres!$A$1:$I$89,5,0)</f>
        <v>0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96.56611521638132</v>
      </c>
      <c r="DU183" s="62">
        <f t="shared" si="152"/>
        <v>465.03257878814094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4.2256004469094393</v>
      </c>
      <c r="EB183" s="23">
        <f>EXP(-LN(2)/25)*EB182+(1-EXP(-LN(2)/25))/(LN(2)/25)*Calculateur!DW183*Calculateur!DY183*VLOOKUP('Données projet'!$B$14,Paramètres!$A$1:$I$89,3,0)*0.475*44/12</f>
        <v>0.28701121017572834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4.5126116570851673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317.99999999999972</v>
      </c>
      <c r="EK183" s="18">
        <f>EJ183*VLOOKUP('Données projet'!$B$15,Paramètres!$A$1:$I$89,3,0)*VLOOKUP('Données projet'!$B$15,Paramètres!$A$1:$I$89,5,0)</f>
        <v>257.96159999999981</v>
      </c>
      <c r="EL183" s="14">
        <f t="shared" si="179"/>
        <v>62.287674609742425</v>
      </c>
      <c r="EM183" s="22">
        <f t="shared" si="180"/>
        <v>557.76748661196768</v>
      </c>
      <c r="EN183" s="62">
        <f t="shared" si="128"/>
        <v>851.10081994530105</v>
      </c>
      <c r="EO183" s="62">
        <f ca="1">AVERAGE(OFFSET($EN$3,0,0,'Données projet'!$E$15+1,1))-AVERAGE(OFFSET($H$3,0,0,'Données projet'!$E$15+1,1))</f>
        <v>358.75637627589799</v>
      </c>
      <c r="EP183" s="62">
        <f t="shared" si="154"/>
        <v>349.64821164483607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0.49564955369682567</v>
      </c>
      <c r="EW183" s="23">
        <f>EXP(-LN(2)/25)*EW182+(1-EXP(-LN(2)/25))/(LN(2)/25)*Calculateur!ER183*Calculateur!ET183*VLOOKUP('Données projet'!$B$15,Paramètres!$A$1:$I$89,3,0)*0.475*44/12</f>
        <v>0.23965546939731597</v>
      </c>
      <c r="EX183" s="23">
        <f>EXP(-LN(2)/2)*EX182+(1-EXP(-LN(2)/2))/(LN(2)/2)*ER183*EU183*VLOOKUP('Données projet'!$B$15,Paramètres!$A$1:$I$89,3,0)*0.475*44/12</f>
        <v>9.6518879433969609E-23</v>
      </c>
      <c r="EY183" s="24">
        <f t="shared" si="181"/>
        <v>0.73530502309414159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>
        <f>FE183*VLOOKUP('Données projet'!$B$16,Paramètres!$A$1:$I$89,3,0)*VLOOKUP('Données projet'!$B$16,Paramètres!$A$1:$I$89,5,0)</f>
        <v>0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121.28977654040114</v>
      </c>
      <c r="FK183" s="62">
        <f t="shared" si="156"/>
        <v>615.69585264342595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5.693316008300954</v>
      </c>
      <c r="FR183" s="23">
        <f>EXP(-LN(2)/25)*FR182+(1-EXP(-LN(2)/25))/(LN(2)/25)*Calculateur!FM183*Calculateur!FO183*VLOOKUP('Données projet'!$B$16,Paramètres!$A$1:$I$89,3,0)*0.475*44/12</f>
        <v>0.38670137841603741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6.0800173867169915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317.99999999999972</v>
      </c>
      <c r="O184" s="14">
        <f>N184*VLOOKUP('Données projet'!$B$9,Paramètres!$A$1:$I$89,3,0)*VLOOKUP('Données projet'!$B$9,Paramètres!$A$1:$I$89,5,0)</f>
        <v>253.0007999999998</v>
      </c>
      <c r="P184" s="14">
        <f t="shared" si="141"/>
        <v>61.228070105968683</v>
      </c>
      <c r="Q184" s="22">
        <f t="shared" si="162"/>
        <v>547.28194876789507</v>
      </c>
      <c r="R184" s="62">
        <f t="shared" si="109"/>
        <v>840.61528210122833</v>
      </c>
      <c r="S184" s="62">
        <f ca="1">AVERAGE(OFFSET($R$3,0,0,'Données projet'!$E$9+1,1))-AVERAGE(OFFSET($H$3,0,0,'Données projet'!$E$9+1,1))</f>
        <v>352.5736659365665</v>
      </c>
      <c r="T184" s="62">
        <f t="shared" si="142"/>
        <v>343.77208530767069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0.67762083901049097</v>
      </c>
      <c r="AA184" s="23">
        <f>EXP(-LN(2)/25)*AA183+(1-EXP(-LN(2)/25))/(LN(2)/25)*Calculateur!V184*Calculateur!X184*VLOOKUP('Données projet'!$B$9,Paramètres!$A$1:$I$89,3,0)*0.475*44/12</f>
        <v>0.36048530172986415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1.0381061407403551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3.7243808037601412E-14</v>
      </c>
      <c r="AK184" s="14">
        <f t="shared" si="164"/>
        <v>6.2767589361185393E-13</v>
      </c>
      <c r="AL184" s="22">
        <f t="shared" si="165"/>
        <v>1.1580684803728015E-12</v>
      </c>
      <c r="AM184" s="62">
        <f t="shared" si="113"/>
        <v>293.33333333333445</v>
      </c>
      <c r="AN184" s="62">
        <f ca="1">AVERAGE(OFFSET($AM$3,0,0,'Données projet'!$E$10+1,1))-AVERAGE(OFFSET($H$3,0,0,'Données projet'!$E$10+1,1))</f>
        <v>210.08998695869161</v>
      </c>
      <c r="AO184" s="62">
        <f t="shared" si="144"/>
        <v>207.30911916430881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3.457348813405372E-24</v>
      </c>
      <c r="AX184" s="23">
        <f t="shared" si="166"/>
        <v>3.457348813405372E-24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335.83558218229564</v>
      </c>
      <c r="BJ184" s="62">
        <f t="shared" si="146"/>
        <v>217.08423061559648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3.9255372748832385E-22</v>
      </c>
      <c r="BS184" s="24">
        <f t="shared" si="169"/>
        <v>3.9255372748832385E-22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5.6843418860808015E-14</v>
      </c>
      <c r="BZ184" s="14">
        <f>BY184*VLOOKUP('Données projet'!$B$12,Paramètres!$A$1:$I$89,3,0)*VLOOKUP('Données projet'!$B$12,Paramètres!$A$1:$I$89,5,0)</f>
        <v>4.4337866711430253E-14</v>
      </c>
      <c r="CA184" s="14">
        <f t="shared" si="170"/>
        <v>7.3222115536967035E-13</v>
      </c>
      <c r="CB184" s="22">
        <f t="shared" si="171"/>
        <v>1.3525069634579169E-12</v>
      </c>
      <c r="CC184" s="62">
        <f t="shared" si="119"/>
        <v>293.33333333333468</v>
      </c>
      <c r="CD184" s="62">
        <f ca="1">AVERAGE(OFFSET($CC$3,0,0,'Données projet'!$E$12+1,1))-AVERAGE(OFFSET($H$3,0,0,'Données projet'!$E$12+1,1))</f>
        <v>288.82868507674738</v>
      </c>
      <c r="CE184" s="62">
        <f t="shared" si="148"/>
        <v>283.48738729114024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7.4039107734746021E-2</v>
      </c>
      <c r="CM184" s="23">
        <f>EXP(-LN(2)/2)*CM183+(1-EXP(-LN(2)/2))/(LN(2)/2)*CG184*CJ184*VLOOKUP('Données projet'!$B$12,Paramètres!$A$1:$I$89,3,0)*0.475*44/12</f>
        <v>4.8285447963975729E-23</v>
      </c>
      <c r="CN184" s="24">
        <f t="shared" si="172"/>
        <v>7.4039107734746021E-2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317.99999999999972</v>
      </c>
      <c r="CU184" s="18">
        <f>CT184*VLOOKUP('Données projet'!$B$13,Paramètres!$A$1:$I$89,3,0)*VLOOKUP('Données projet'!$B$13,Paramètres!$A$1:$I$89,5,0)</f>
        <v>277.80479999999983</v>
      </c>
      <c r="CV184" s="14">
        <f t="shared" si="173"/>
        <v>66.50288772038418</v>
      </c>
      <c r="CW184" s="22">
        <f t="shared" si="174"/>
        <v>599.66922277966887</v>
      </c>
      <c r="CX184" s="62">
        <f t="shared" si="122"/>
        <v>893.00255611300213</v>
      </c>
      <c r="CY184" s="62">
        <f ca="1">AVERAGE(OFFSET($CX$3,0,0,'Données projet'!$E$13+1,1))-AVERAGE(OFFSET($H$3,0,0,'Données projet'!$E$13+1,1))</f>
        <v>383.46266660377637</v>
      </c>
      <c r="CZ184" s="62">
        <f t="shared" si="150"/>
        <v>373.1287543230714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0.2440120021232853</v>
      </c>
      <c r="DH184" s="23">
        <f>EXP(-LN(2)/2)*DH183+(1-EXP(-LN(2)/2))/(LN(2)/2)*DB184*DE184*VLOOKUP('Données projet'!$B$13,Paramètres!$A$1:$I$89,3,0)*0.475*44/12</f>
        <v>3.9748158037688243E-22</v>
      </c>
      <c r="DI184" s="24">
        <f t="shared" si="175"/>
        <v>0.2440120021232853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>
        <f>DO184*VLOOKUP('Données projet'!$B$14,Paramètres!$A$1:$I$89,3,0)*VLOOKUP('Données projet'!$B$14,Paramètres!$A$1:$I$89,5,0)</f>
        <v>0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96.56611521638132</v>
      </c>
      <c r="DU184" s="62">
        <f t="shared" si="152"/>
        <v>465.03257878814094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4.1427389995073245</v>
      </c>
      <c r="EB184" s="23">
        <f>EXP(-LN(2)/25)*EB183+(1-EXP(-LN(2)/25))/(LN(2)/25)*Calculateur!DW184*Calculateur!DY184*VLOOKUP('Données projet'!$B$14,Paramètres!$A$1:$I$89,3,0)*0.475*44/12</f>
        <v>0.27916287354020947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4.4219018730475339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317.99999999999972</v>
      </c>
      <c r="EK184" s="18">
        <f>EJ184*VLOOKUP('Données projet'!$B$15,Paramètres!$A$1:$I$89,3,0)*VLOOKUP('Données projet'!$B$15,Paramètres!$A$1:$I$89,5,0)</f>
        <v>257.96159999999981</v>
      </c>
      <c r="EL184" s="14">
        <f t="shared" si="179"/>
        <v>62.287674609742425</v>
      </c>
      <c r="EM184" s="22">
        <f t="shared" si="180"/>
        <v>557.76748661196768</v>
      </c>
      <c r="EN184" s="62">
        <f t="shared" si="128"/>
        <v>851.10081994530105</v>
      </c>
      <c r="EO184" s="62">
        <f ca="1">AVERAGE(OFFSET($EN$3,0,0,'Données projet'!$E$15+1,1))-AVERAGE(OFFSET($H$3,0,0,'Données projet'!$E$15+1,1))</f>
        <v>358.75637627589799</v>
      </c>
      <c r="EP184" s="62">
        <f t="shared" si="154"/>
        <v>349.64821164483607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0.48593016826520741</v>
      </c>
      <c r="EW184" s="23">
        <f>EXP(-LN(2)/25)*EW183+(1-EXP(-LN(2)/25))/(LN(2)/25)*Calculateur!ER184*Calculateur!ET184*VLOOKUP('Données projet'!$B$15,Paramètres!$A$1:$I$89,3,0)*0.475*44/12</f>
        <v>0.23310207798371296</v>
      </c>
      <c r="EX184" s="23">
        <f>EXP(-LN(2)/2)*EX183+(1-EXP(-LN(2)/2))/(LN(2)/2)*ER184*EU184*VLOOKUP('Données projet'!$B$15,Paramètres!$A$1:$I$89,3,0)*0.475*44/12</f>
        <v>6.824915416028671E-23</v>
      </c>
      <c r="EY184" s="24">
        <f t="shared" si="181"/>
        <v>0.71903224624892037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>
        <f>FE184*VLOOKUP('Données projet'!$B$16,Paramètres!$A$1:$I$89,3,0)*VLOOKUP('Données projet'!$B$16,Paramètres!$A$1:$I$89,5,0)</f>
        <v>0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121.28977654040114</v>
      </c>
      <c r="FK184" s="62">
        <f t="shared" si="156"/>
        <v>615.69585264342595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5.5816735539580487</v>
      </c>
      <c r="FR184" s="23">
        <f>EXP(-LN(2)/25)*FR183+(1-EXP(-LN(2)/25))/(LN(2)/25)*Calculateur!FM184*Calculateur!FO184*VLOOKUP('Données projet'!$B$16,Paramètres!$A$1:$I$89,3,0)*0.475*44/12</f>
        <v>0.37612700888750922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5.9578005628455575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317.99999999999972</v>
      </c>
      <c r="O185" s="14">
        <f>N185*VLOOKUP('Données projet'!$B$9,Paramètres!$A$1:$I$89,3,0)*VLOOKUP('Données projet'!$B$9,Paramètres!$A$1:$I$89,5,0)</f>
        <v>253.0007999999998</v>
      </c>
      <c r="P185" s="14">
        <f t="shared" si="141"/>
        <v>61.228070105968683</v>
      </c>
      <c r="Q185" s="22">
        <f t="shared" si="162"/>
        <v>547.28194876789507</v>
      </c>
      <c r="R185" s="62">
        <f t="shared" si="109"/>
        <v>840.61528210122833</v>
      </c>
      <c r="S185" s="62">
        <f ca="1">AVERAGE(OFFSET($R$3,0,0,'Données projet'!$E$9+1,1))-AVERAGE(OFFSET($H$3,0,0,'Données projet'!$E$9+1,1))</f>
        <v>352.5736659365665</v>
      </c>
      <c r="T185" s="62">
        <f t="shared" si="142"/>
        <v>343.77208530767069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0.66433310766539633</v>
      </c>
      <c r="AA185" s="23">
        <f>EXP(-LN(2)/25)*AA184+(1-EXP(-LN(2)/25))/(LN(2)/25)*Calculateur!V185*Calculateur!X185*VLOOKUP('Données projet'!$B$9,Paramètres!$A$1:$I$89,3,0)*0.475*44/12</f>
        <v>0.35062781219696287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1.0149609198623593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3.7243808037601412E-14</v>
      </c>
      <c r="AK185" s="14">
        <f t="shared" si="164"/>
        <v>6.2767589361185393E-13</v>
      </c>
      <c r="AL185" s="22">
        <f t="shared" si="165"/>
        <v>1.1580684803728015E-12</v>
      </c>
      <c r="AM185" s="62">
        <f t="shared" si="113"/>
        <v>293.33333333333445</v>
      </c>
      <c r="AN185" s="62">
        <f ca="1">AVERAGE(OFFSET($AM$3,0,0,'Données projet'!$E$10+1,1))-AVERAGE(OFFSET($H$3,0,0,'Données projet'!$E$10+1,1))</f>
        <v>210.08998695869161</v>
      </c>
      <c r="AO185" s="62">
        <f t="shared" si="144"/>
        <v>207.30911916430881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2.4447147908862022E-24</v>
      </c>
      <c r="AX185" s="23">
        <f t="shared" si="166"/>
        <v>2.4447147908862022E-24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335.83558218229564</v>
      </c>
      <c r="BJ185" s="62">
        <f t="shared" si="146"/>
        <v>217.08423061559648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2.7757740268704982E-22</v>
      </c>
      <c r="BS185" s="24">
        <f t="shared" si="169"/>
        <v>2.7757740268704982E-22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5.6843418860808015E-14</v>
      </c>
      <c r="BZ185" s="14">
        <f>BY185*VLOOKUP('Données projet'!$B$12,Paramètres!$A$1:$I$89,3,0)*VLOOKUP('Données projet'!$B$12,Paramètres!$A$1:$I$89,5,0)</f>
        <v>4.4337866711430253E-14</v>
      </c>
      <c r="CA185" s="14">
        <f t="shared" si="170"/>
        <v>7.3222115536967035E-13</v>
      </c>
      <c r="CB185" s="22">
        <f t="shared" si="171"/>
        <v>1.3525069634579169E-12</v>
      </c>
      <c r="CC185" s="62">
        <f t="shared" si="119"/>
        <v>293.33333333333468</v>
      </c>
      <c r="CD185" s="62">
        <f ca="1">AVERAGE(OFFSET($CC$3,0,0,'Données projet'!$E$12+1,1))-AVERAGE(OFFSET($H$3,0,0,'Données projet'!$E$12+1,1))</f>
        <v>288.82868507674738</v>
      </c>
      <c r="CE185" s="62">
        <f t="shared" si="148"/>
        <v>283.48738729114024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7.2014504440191932E-2</v>
      </c>
      <c r="CM185" s="23">
        <f>EXP(-LN(2)/2)*CM184+(1-EXP(-LN(2)/2))/(LN(2)/2)*CG185*CJ185*VLOOKUP('Données projet'!$B$12,Paramètres!$A$1:$I$89,3,0)*0.475*44/12</f>
        <v>3.4142967687957412E-23</v>
      </c>
      <c r="CN185" s="24">
        <f t="shared" si="172"/>
        <v>7.2014504440191932E-2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317.99999999999972</v>
      </c>
      <c r="CU185" s="18">
        <f>CT185*VLOOKUP('Données projet'!$B$13,Paramètres!$A$1:$I$89,3,0)*VLOOKUP('Données projet'!$B$13,Paramètres!$A$1:$I$89,5,0)</f>
        <v>277.80479999999983</v>
      </c>
      <c r="CV185" s="14">
        <f t="shared" si="173"/>
        <v>66.50288772038418</v>
      </c>
      <c r="CW185" s="22">
        <f t="shared" si="174"/>
        <v>599.66922277966887</v>
      </c>
      <c r="CX185" s="62">
        <f t="shared" si="122"/>
        <v>893.00255611300213</v>
      </c>
      <c r="CY185" s="62">
        <f ca="1">AVERAGE(OFFSET($CX$3,0,0,'Données projet'!$E$13+1,1))-AVERAGE(OFFSET($H$3,0,0,'Données projet'!$E$13+1,1))</f>
        <v>383.46266660377637</v>
      </c>
      <c r="CZ185" s="62">
        <f t="shared" si="150"/>
        <v>373.1287543230714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0.23733948109319059</v>
      </c>
      <c r="DH185" s="23">
        <f>EXP(-LN(2)/2)*DH184+(1-EXP(-LN(2)/2))/(LN(2)/2)*DB185*DE185*VLOOKUP('Données projet'!$B$13,Paramètres!$A$1:$I$89,3,0)*0.475*44/12</f>
        <v>2.810619208812393E-22</v>
      </c>
      <c r="DI185" s="24">
        <f t="shared" si="175"/>
        <v>0.23733948109319059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>
        <f>DO185*VLOOKUP('Données projet'!$B$14,Paramètres!$A$1:$I$89,3,0)*VLOOKUP('Données projet'!$B$14,Paramètres!$A$1:$I$89,5,0)</f>
        <v>0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96.56611521638132</v>
      </c>
      <c r="DU185" s="62">
        <f t="shared" si="152"/>
        <v>465.03257878814094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4.061502414548273</v>
      </c>
      <c r="EB185" s="23">
        <f>EXP(-LN(2)/25)*EB184+(1-EXP(-LN(2)/25))/(LN(2)/25)*Calculateur!DW185*Calculateur!DY185*VLOOKUP('Données projet'!$B$14,Paramètres!$A$1:$I$89,3,0)*0.475*44/12</f>
        <v>0.27152915008271494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4.3330315646309883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317.99999999999972</v>
      </c>
      <c r="EK185" s="18">
        <f>EJ185*VLOOKUP('Données projet'!$B$15,Paramètres!$A$1:$I$89,3,0)*VLOOKUP('Données projet'!$B$15,Paramètres!$A$1:$I$89,5,0)</f>
        <v>257.96159999999981</v>
      </c>
      <c r="EL185" s="14">
        <f t="shared" si="179"/>
        <v>62.287674609742425</v>
      </c>
      <c r="EM185" s="22">
        <f t="shared" si="180"/>
        <v>557.76748661196768</v>
      </c>
      <c r="EN185" s="62">
        <f t="shared" si="128"/>
        <v>851.10081994530105</v>
      </c>
      <c r="EO185" s="62">
        <f ca="1">AVERAGE(OFFSET($EN$3,0,0,'Données projet'!$E$15+1,1))-AVERAGE(OFFSET($H$3,0,0,'Données projet'!$E$15+1,1))</f>
        <v>358.75637627589799</v>
      </c>
      <c r="EP185" s="62">
        <f t="shared" si="154"/>
        <v>349.64821164483607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0.47640137405366345</v>
      </c>
      <c r="EW185" s="23">
        <f>EXP(-LN(2)/25)*EW184+(1-EXP(-LN(2)/25))/(LN(2)/25)*Calculateur!ER185*Calculateur!ET185*VLOOKUP('Données projet'!$B$15,Paramètres!$A$1:$I$89,3,0)*0.475*44/12</f>
        <v>0.22672788940294281</v>
      </c>
      <c r="EX185" s="23">
        <f>EXP(-LN(2)/2)*EX184+(1-EXP(-LN(2)/2))/(LN(2)/2)*ER185*EU185*VLOOKUP('Données projet'!$B$15,Paramètres!$A$1:$I$89,3,0)*0.475*44/12</f>
        <v>4.8259439716984805E-23</v>
      </c>
      <c r="EY185" s="24">
        <f t="shared" si="181"/>
        <v>0.7031292634566062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>
        <f>FE185*VLOOKUP('Données projet'!$B$16,Paramètres!$A$1:$I$89,3,0)*VLOOKUP('Données projet'!$B$16,Paramètres!$A$1:$I$89,5,0)</f>
        <v>0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121.28977654040114</v>
      </c>
      <c r="FK185" s="62">
        <f t="shared" si="156"/>
        <v>615.69585264342595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5.4722203400496339</v>
      </c>
      <c r="FR185" s="23">
        <f>EXP(-LN(2)/25)*FR184+(1-EXP(-LN(2)/25))/(LN(2)/25)*Calculateur!FM185*Calculateur!FO185*VLOOKUP('Données projet'!$B$16,Paramètres!$A$1:$I$89,3,0)*0.475*44/12</f>
        <v>0.36584179604982053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5.8380621360994542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317.99999999999972</v>
      </c>
      <c r="O186" s="14">
        <f>N186*VLOOKUP('Données projet'!$B$9,Paramètres!$A$1:$I$89,3,0)*VLOOKUP('Données projet'!$B$9,Paramètres!$A$1:$I$89,5,0)</f>
        <v>253.0007999999998</v>
      </c>
      <c r="P186" s="14">
        <f t="shared" si="141"/>
        <v>61.228070105968683</v>
      </c>
      <c r="Q186" s="22">
        <f t="shared" si="162"/>
        <v>547.28194876789507</v>
      </c>
      <c r="R186" s="62">
        <f t="shared" si="109"/>
        <v>840.61528210122833</v>
      </c>
      <c r="S186" s="62">
        <f ca="1">AVERAGE(OFFSET($R$3,0,0,'Données projet'!$E$9+1,1))-AVERAGE(OFFSET($H$3,0,0,'Données projet'!$E$9+1,1))</f>
        <v>352.5736659365665</v>
      </c>
      <c r="T186" s="62">
        <f t="shared" si="142"/>
        <v>343.77208530767069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0.6513059406272631</v>
      </c>
      <c r="AA186" s="23">
        <f>EXP(-LN(2)/25)*AA185+(1-EXP(-LN(2)/25))/(LN(2)/25)*Calculateur!V186*Calculateur!X186*VLOOKUP('Données projet'!$B$9,Paramètres!$A$1:$I$89,3,0)*0.475*44/12</f>
        <v>0.34103987623372167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0.99234581686098478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3.7243808037601412E-14</v>
      </c>
      <c r="AK186" s="14">
        <f t="shared" si="164"/>
        <v>6.2767589361185393E-13</v>
      </c>
      <c r="AL186" s="22">
        <f t="shared" si="165"/>
        <v>1.1580684803728015E-12</v>
      </c>
      <c r="AM186" s="62">
        <f t="shared" si="113"/>
        <v>293.33333333333445</v>
      </c>
      <c r="AN186" s="62">
        <f ca="1">AVERAGE(OFFSET($AM$3,0,0,'Données projet'!$E$10+1,1))-AVERAGE(OFFSET($H$3,0,0,'Données projet'!$E$10+1,1))</f>
        <v>210.08998695869161</v>
      </c>
      <c r="AO186" s="62">
        <f t="shared" si="144"/>
        <v>207.30911916430881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1.728674406702686E-24</v>
      </c>
      <c r="AX186" s="23">
        <f t="shared" si="166"/>
        <v>1.728674406702686E-24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335.83558218229564</v>
      </c>
      <c r="BJ186" s="62">
        <f t="shared" si="146"/>
        <v>217.08423061559648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1.9627686374416193E-22</v>
      </c>
      <c r="BS186" s="24">
        <f t="shared" si="169"/>
        <v>1.9627686374416193E-22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5.6843418860808015E-14</v>
      </c>
      <c r="BZ186" s="14">
        <f>BY186*VLOOKUP('Données projet'!$B$12,Paramètres!$A$1:$I$89,3,0)*VLOOKUP('Données projet'!$B$12,Paramètres!$A$1:$I$89,5,0)</f>
        <v>4.4337866711430253E-14</v>
      </c>
      <c r="CA186" s="14">
        <f t="shared" si="170"/>
        <v>7.3222115536967035E-13</v>
      </c>
      <c r="CB186" s="22">
        <f t="shared" si="171"/>
        <v>1.3525069634579169E-12</v>
      </c>
      <c r="CC186" s="62">
        <f t="shared" si="119"/>
        <v>293.33333333333468</v>
      </c>
      <c r="CD186" s="62">
        <f ca="1">AVERAGE(OFFSET($CC$3,0,0,'Données projet'!$E$12+1,1))-AVERAGE(OFFSET($H$3,0,0,'Données projet'!$E$12+1,1))</f>
        <v>288.82868507674738</v>
      </c>
      <c r="CE186" s="62">
        <f t="shared" si="148"/>
        <v>283.48738729114024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7.0045264029196683E-2</v>
      </c>
      <c r="CM186" s="23">
        <f>EXP(-LN(2)/2)*CM185+(1-EXP(-LN(2)/2))/(LN(2)/2)*CG186*CJ186*VLOOKUP('Données projet'!$B$12,Paramètres!$A$1:$I$89,3,0)*0.475*44/12</f>
        <v>2.4142723981987864E-23</v>
      </c>
      <c r="CN186" s="24">
        <f t="shared" si="172"/>
        <v>7.0045264029196683E-2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317.99999999999972</v>
      </c>
      <c r="CU186" s="18">
        <f>CT186*VLOOKUP('Données projet'!$B$13,Paramètres!$A$1:$I$89,3,0)*VLOOKUP('Données projet'!$B$13,Paramètres!$A$1:$I$89,5,0)</f>
        <v>277.80479999999983</v>
      </c>
      <c r="CV186" s="14">
        <f t="shared" si="173"/>
        <v>66.50288772038418</v>
      </c>
      <c r="CW186" s="22">
        <f t="shared" si="174"/>
        <v>599.66922277966887</v>
      </c>
      <c r="CX186" s="62">
        <f t="shared" si="122"/>
        <v>893.00255611300213</v>
      </c>
      <c r="CY186" s="62">
        <f ca="1">AVERAGE(OFFSET($CX$3,0,0,'Données projet'!$E$13+1,1))-AVERAGE(OFFSET($H$3,0,0,'Données projet'!$E$13+1,1))</f>
        <v>383.46266660377637</v>
      </c>
      <c r="CZ186" s="62">
        <f t="shared" si="150"/>
        <v>373.1287543230714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0.23084942050155643</v>
      </c>
      <c r="DH186" s="23">
        <f>EXP(-LN(2)/2)*DH185+(1-EXP(-LN(2)/2))/(LN(2)/2)*DB186*DE186*VLOOKUP('Données projet'!$B$13,Paramètres!$A$1:$I$89,3,0)*0.475*44/12</f>
        <v>1.9874079018844121E-22</v>
      </c>
      <c r="DI186" s="24">
        <f t="shared" si="175"/>
        <v>0.23084942050155643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>
        <f>DO186*VLOOKUP('Données projet'!$B$14,Paramètres!$A$1:$I$89,3,0)*VLOOKUP('Données projet'!$B$14,Paramètres!$A$1:$I$89,5,0)</f>
        <v>0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96.56611521638132</v>
      </c>
      <c r="DU186" s="62">
        <f t="shared" si="152"/>
        <v>465.03257878814094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3.9818588294708439</v>
      </c>
      <c r="EB186" s="23">
        <f>EXP(-LN(2)/25)*EB185+(1-EXP(-LN(2)/25))/(LN(2)/25)*Calculateur!DW186*Calculateur!DY186*VLOOKUP('Données projet'!$B$14,Paramètres!$A$1:$I$89,3,0)*0.475*44/12</f>
        <v>0.26410417119460566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4.2459630006654496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317.99999999999972</v>
      </c>
      <c r="EK186" s="18">
        <f>EJ186*VLOOKUP('Données projet'!$B$15,Paramètres!$A$1:$I$89,3,0)*VLOOKUP('Données projet'!$B$15,Paramètres!$A$1:$I$89,5,0)</f>
        <v>257.96159999999981</v>
      </c>
      <c r="EL186" s="14">
        <f t="shared" si="179"/>
        <v>62.287674609742425</v>
      </c>
      <c r="EM186" s="22">
        <f t="shared" si="180"/>
        <v>557.76748661196768</v>
      </c>
      <c r="EN186" s="62">
        <f t="shared" si="128"/>
        <v>851.10081994530105</v>
      </c>
      <c r="EO186" s="62">
        <f ca="1">AVERAGE(OFFSET($EN$3,0,0,'Données projet'!$E$15+1,1))-AVERAGE(OFFSET($H$3,0,0,'Données projet'!$E$15+1,1))</f>
        <v>358.75637627589799</v>
      </c>
      <c r="EP186" s="62">
        <f t="shared" si="154"/>
        <v>349.64821164483607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0.46705943368461728</v>
      </c>
      <c r="EW186" s="23">
        <f>EXP(-LN(2)/25)*EW185+(1-EXP(-LN(2)/25))/(LN(2)/25)*Calculateur!ER186*Calculateur!ET186*VLOOKUP('Données projet'!$B$15,Paramètres!$A$1:$I$89,3,0)*0.475*44/12</f>
        <v>0.22052800334411782</v>
      </c>
      <c r="EX186" s="23">
        <f>EXP(-LN(2)/2)*EX185+(1-EXP(-LN(2)/2))/(LN(2)/2)*ER186*EU186*VLOOKUP('Données projet'!$B$15,Paramètres!$A$1:$I$89,3,0)*0.475*44/12</f>
        <v>3.4124577080143355E-23</v>
      </c>
      <c r="EY186" s="24">
        <f t="shared" si="181"/>
        <v>0.68758743702873515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>
        <f>FE186*VLOOKUP('Données projet'!$B$16,Paramètres!$A$1:$I$89,3,0)*VLOOKUP('Données projet'!$B$16,Paramètres!$A$1:$I$89,5,0)</f>
        <v>0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121.28977654040114</v>
      </c>
      <c r="FK186" s="62">
        <f t="shared" si="156"/>
        <v>615.69585264342595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5.3649134369060949</v>
      </c>
      <c r="FR186" s="23">
        <f>EXP(-LN(2)/25)*FR185+(1-EXP(-LN(2)/25))/(LN(2)/25)*Calculateur!FM186*Calculateur!FO186*VLOOKUP('Données projet'!$B$16,Paramètres!$A$1:$I$89,3,0)*0.475*44/12</f>
        <v>0.35583783289805426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5.7207512698041487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317.99999999999972</v>
      </c>
      <c r="O187" s="14">
        <f>N187*VLOOKUP('Données projet'!$B$9,Paramètres!$A$1:$I$89,3,0)*VLOOKUP('Données projet'!$B$9,Paramètres!$A$1:$I$89,5,0)</f>
        <v>253.0007999999998</v>
      </c>
      <c r="P187" s="14">
        <f t="shared" si="141"/>
        <v>61.228070105968683</v>
      </c>
      <c r="Q187" s="22">
        <f t="shared" si="162"/>
        <v>547.28194876789507</v>
      </c>
      <c r="R187" s="62">
        <f t="shared" si="109"/>
        <v>840.61528210122833</v>
      </c>
      <c r="S187" s="62">
        <f ca="1">AVERAGE(OFFSET($R$3,0,0,'Données projet'!$E$9+1,1))-AVERAGE(OFFSET($H$3,0,0,'Données projet'!$E$9+1,1))</f>
        <v>352.5736659365665</v>
      </c>
      <c r="T187" s="62">
        <f t="shared" si="142"/>
        <v>343.77208530767069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0.63853422838896035</v>
      </c>
      <c r="AA187" s="23">
        <f>EXP(-LN(2)/25)*AA186+(1-EXP(-LN(2)/25))/(LN(2)/25)*Calculateur!V187*Calculateur!X187*VLOOKUP('Données projet'!$B$9,Paramètres!$A$1:$I$89,3,0)*0.475*44/12</f>
        <v>0.33171412288360291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0.97024835127256326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3.7243808037601412E-14</v>
      </c>
      <c r="AK187" s="14">
        <f t="shared" si="164"/>
        <v>6.2767589361185393E-13</v>
      </c>
      <c r="AL187" s="22">
        <f t="shared" si="165"/>
        <v>1.1580684803728015E-12</v>
      </c>
      <c r="AM187" s="62">
        <f t="shared" si="113"/>
        <v>293.33333333333445</v>
      </c>
      <c r="AN187" s="62">
        <f ca="1">AVERAGE(OFFSET($AM$3,0,0,'Données projet'!$E$10+1,1))-AVERAGE(OFFSET($H$3,0,0,'Données projet'!$E$10+1,1))</f>
        <v>210.08998695869161</v>
      </c>
      <c r="AO187" s="62">
        <f t="shared" si="144"/>
        <v>207.30911916430881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1.2223573954431011E-24</v>
      </c>
      <c r="AX187" s="23">
        <f t="shared" si="166"/>
        <v>1.2223573954431011E-24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335.83558218229564</v>
      </c>
      <c r="BJ187" s="62">
        <f t="shared" si="146"/>
        <v>217.08423061559648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1.3878870134352491E-22</v>
      </c>
      <c r="BS187" s="24">
        <f t="shared" si="169"/>
        <v>1.3878870134352491E-22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5.6843418860808015E-14</v>
      </c>
      <c r="BZ187" s="14">
        <f>BY187*VLOOKUP('Données projet'!$B$12,Paramètres!$A$1:$I$89,3,0)*VLOOKUP('Données projet'!$B$12,Paramètres!$A$1:$I$89,5,0)</f>
        <v>4.4337866711430253E-14</v>
      </c>
      <c r="CA187" s="14">
        <f t="shared" si="170"/>
        <v>7.3222115536967035E-13</v>
      </c>
      <c r="CB187" s="22">
        <f t="shared" si="171"/>
        <v>1.3525069634579169E-12</v>
      </c>
      <c r="CC187" s="62">
        <f t="shared" si="119"/>
        <v>293.33333333333468</v>
      </c>
      <c r="CD187" s="62">
        <f ca="1">AVERAGE(OFFSET($CC$3,0,0,'Données projet'!$E$12+1,1))-AVERAGE(OFFSET($H$3,0,0,'Données projet'!$E$12+1,1))</f>
        <v>288.82868507674738</v>
      </c>
      <c r="CE187" s="62">
        <f t="shared" si="148"/>
        <v>283.48738729114024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6.8129872600797961E-2</v>
      </c>
      <c r="CM187" s="23">
        <f>EXP(-LN(2)/2)*CM186+(1-EXP(-LN(2)/2))/(LN(2)/2)*CG187*CJ187*VLOOKUP('Données projet'!$B$12,Paramètres!$A$1:$I$89,3,0)*0.475*44/12</f>
        <v>1.7071483843978706E-23</v>
      </c>
      <c r="CN187" s="24">
        <f t="shared" si="172"/>
        <v>6.8129872600797961E-2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317.99999999999972</v>
      </c>
      <c r="CU187" s="18">
        <f>CT187*VLOOKUP('Données projet'!$B$13,Paramètres!$A$1:$I$89,3,0)*VLOOKUP('Données projet'!$B$13,Paramètres!$A$1:$I$89,5,0)</f>
        <v>277.80479999999983</v>
      </c>
      <c r="CV187" s="14">
        <f t="shared" si="173"/>
        <v>66.50288772038418</v>
      </c>
      <c r="CW187" s="22">
        <f t="shared" si="174"/>
        <v>599.66922277966887</v>
      </c>
      <c r="CX187" s="62">
        <f t="shared" si="122"/>
        <v>893.00255611300213</v>
      </c>
      <c r="CY187" s="62">
        <f ca="1">AVERAGE(OFFSET($CX$3,0,0,'Données projet'!$E$13+1,1))-AVERAGE(OFFSET($H$3,0,0,'Données projet'!$E$13+1,1))</f>
        <v>383.46266660377637</v>
      </c>
      <c r="CZ187" s="62">
        <f t="shared" si="150"/>
        <v>373.1287543230714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0.22453683095809795</v>
      </c>
      <c r="DH187" s="23">
        <f>EXP(-LN(2)/2)*DH186+(1-EXP(-LN(2)/2))/(LN(2)/2)*DB187*DE187*VLOOKUP('Données projet'!$B$13,Paramètres!$A$1:$I$89,3,0)*0.475*44/12</f>
        <v>1.4053096044061965E-22</v>
      </c>
      <c r="DI187" s="24">
        <f t="shared" si="175"/>
        <v>0.22453683095809795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>
        <f>DO187*VLOOKUP('Données projet'!$B$14,Paramètres!$A$1:$I$89,3,0)*VLOOKUP('Données projet'!$B$14,Paramètres!$A$1:$I$89,5,0)</f>
        <v>0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96.56611521638132</v>
      </c>
      <c r="DU187" s="62">
        <f t="shared" si="152"/>
        <v>465.03257878814094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3.9037770065189932</v>
      </c>
      <c r="EB187" s="23">
        <f>EXP(-LN(2)/25)*EB186+(1-EXP(-LN(2)/25))/(LN(2)/25)*Calculateur!DW187*Calculateur!DY187*VLOOKUP('Données projet'!$B$14,Paramètres!$A$1:$I$89,3,0)*0.475*44/12</f>
        <v>0.25688222874465444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4.1606592352636476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317.99999999999972</v>
      </c>
      <c r="EK187" s="18">
        <f>EJ187*VLOOKUP('Données projet'!$B$15,Paramètres!$A$1:$I$89,3,0)*VLOOKUP('Données projet'!$B$15,Paramètres!$A$1:$I$89,5,0)</f>
        <v>257.96159999999981</v>
      </c>
      <c r="EL187" s="14">
        <f t="shared" si="179"/>
        <v>62.287674609742425</v>
      </c>
      <c r="EM187" s="22">
        <f t="shared" si="180"/>
        <v>557.76748661196768</v>
      </c>
      <c r="EN187" s="62">
        <f t="shared" si="128"/>
        <v>851.10081994530105</v>
      </c>
      <c r="EO187" s="62">
        <f ca="1">AVERAGE(OFFSET($EN$3,0,0,'Données projet'!$E$15+1,1))-AVERAGE(OFFSET($H$3,0,0,'Données projet'!$E$15+1,1))</f>
        <v>358.75637627589799</v>
      </c>
      <c r="EP187" s="62">
        <f t="shared" si="154"/>
        <v>349.64821164483607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0.4579006830681871</v>
      </c>
      <c r="EW187" s="23">
        <f>EXP(-LN(2)/25)*EW186+(1-EXP(-LN(2)/25))/(LN(2)/25)*Calculateur!ER187*Calculateur!ET187*VLOOKUP('Données projet'!$B$15,Paramètres!$A$1:$I$89,3,0)*0.475*44/12</f>
        <v>0.21449765349560923</v>
      </c>
      <c r="EX187" s="23">
        <f>EXP(-LN(2)/2)*EX186+(1-EXP(-LN(2)/2))/(LN(2)/2)*ER187*EU187*VLOOKUP('Données projet'!$B$15,Paramètres!$A$1:$I$89,3,0)*0.475*44/12</f>
        <v>2.4129719858492402E-23</v>
      </c>
      <c r="EY187" s="24">
        <f t="shared" si="181"/>
        <v>0.67239833656379633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>
        <f>FE187*VLOOKUP('Données projet'!$B$16,Paramètres!$A$1:$I$89,3,0)*VLOOKUP('Données projet'!$B$16,Paramètres!$A$1:$I$89,5,0)</f>
        <v>0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121.28977654040114</v>
      </c>
      <c r="FK187" s="62">
        <f t="shared" si="156"/>
        <v>615.69585264342595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5.2597107566824528</v>
      </c>
      <c r="FR187" s="23">
        <f>EXP(-LN(2)/25)*FR186+(1-EXP(-LN(2)/25))/(LN(2)/25)*Calculateur!FM187*Calculateur!FO187*VLOOKUP('Données projet'!$B$16,Paramètres!$A$1:$I$89,3,0)*0.475*44/12</f>
        <v>0.34610742864475863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5.6058181853272115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317.99999999999972</v>
      </c>
      <c r="O188" s="14">
        <f>N188*VLOOKUP('Données projet'!$B$9,Paramètres!$A$1:$I$89,3,0)*VLOOKUP('Données projet'!$B$9,Paramètres!$A$1:$I$89,5,0)</f>
        <v>253.0007999999998</v>
      </c>
      <c r="P188" s="14">
        <f t="shared" si="141"/>
        <v>61.228070105968683</v>
      </c>
      <c r="Q188" s="22">
        <f t="shared" si="162"/>
        <v>547.28194876789507</v>
      </c>
      <c r="R188" s="62">
        <f t="shared" si="109"/>
        <v>840.61528210122833</v>
      </c>
      <c r="S188" s="62">
        <f ca="1">AVERAGE(OFFSET($R$3,0,0,'Données projet'!$E$9+1,1))-AVERAGE(OFFSET($H$3,0,0,'Données projet'!$E$9+1,1))</f>
        <v>352.5736659365665</v>
      </c>
      <c r="T188" s="62">
        <f t="shared" si="142"/>
        <v>343.77208530767069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0.62601296163767539</v>
      </c>
      <c r="AA188" s="23">
        <f>EXP(-LN(2)/25)*AA187+(1-EXP(-LN(2)/25))/(LN(2)/25)*Calculateur!V188*Calculateur!X188*VLOOKUP('Données projet'!$B$9,Paramètres!$A$1:$I$89,3,0)*0.475*44/12</f>
        <v>0.32264338274926319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0.94865634438693858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3.7243808037601412E-14</v>
      </c>
      <c r="AK188" s="14">
        <f t="shared" si="164"/>
        <v>6.2767589361185393E-13</v>
      </c>
      <c r="AL188" s="22">
        <f t="shared" si="165"/>
        <v>1.1580684803728015E-12</v>
      </c>
      <c r="AM188" s="62">
        <f t="shared" si="113"/>
        <v>293.33333333333445</v>
      </c>
      <c r="AN188" s="62">
        <f ca="1">AVERAGE(OFFSET($AM$3,0,0,'Données projet'!$E$10+1,1))-AVERAGE(OFFSET($H$3,0,0,'Données projet'!$E$10+1,1))</f>
        <v>210.08998695869161</v>
      </c>
      <c r="AO188" s="62">
        <f t="shared" si="144"/>
        <v>207.30911916430881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8.64337203351343E-25</v>
      </c>
      <c r="AX188" s="23">
        <f t="shared" si="166"/>
        <v>8.64337203351343E-25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335.83558218229564</v>
      </c>
      <c r="BJ188" s="62">
        <f t="shared" si="146"/>
        <v>217.08423061559648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9.8138431872080963E-23</v>
      </c>
      <c r="BS188" s="24">
        <f t="shared" si="169"/>
        <v>9.8138431872080963E-23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5.6843418860808015E-14</v>
      </c>
      <c r="BZ188" s="14">
        <f>BY188*VLOOKUP('Données projet'!$B$12,Paramètres!$A$1:$I$89,3,0)*VLOOKUP('Données projet'!$B$12,Paramètres!$A$1:$I$89,5,0)</f>
        <v>4.4337866711430253E-14</v>
      </c>
      <c r="CA188" s="14">
        <f t="shared" si="170"/>
        <v>7.3222115536967035E-13</v>
      </c>
      <c r="CB188" s="22">
        <f t="shared" si="171"/>
        <v>1.3525069634579169E-12</v>
      </c>
      <c r="CC188" s="62">
        <f t="shared" si="119"/>
        <v>293.33333333333468</v>
      </c>
      <c r="CD188" s="62">
        <f ca="1">AVERAGE(OFFSET($CC$3,0,0,'Données projet'!$E$12+1,1))-AVERAGE(OFFSET($H$3,0,0,'Données projet'!$E$12+1,1))</f>
        <v>288.82868507674738</v>
      </c>
      <c r="CE188" s="62">
        <f t="shared" si="148"/>
        <v>283.48738729114024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6.6266857651734859E-2</v>
      </c>
      <c r="CM188" s="23">
        <f>EXP(-LN(2)/2)*CM187+(1-EXP(-LN(2)/2))/(LN(2)/2)*CG188*CJ188*VLOOKUP('Données projet'!$B$12,Paramètres!$A$1:$I$89,3,0)*0.475*44/12</f>
        <v>1.2071361990993932E-23</v>
      </c>
      <c r="CN188" s="24">
        <f t="shared" si="172"/>
        <v>6.6266857651734859E-2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317.99999999999972</v>
      </c>
      <c r="CU188" s="18">
        <f>CT188*VLOOKUP('Données projet'!$B$13,Paramètres!$A$1:$I$89,3,0)*VLOOKUP('Données projet'!$B$13,Paramètres!$A$1:$I$89,5,0)</f>
        <v>277.80479999999983</v>
      </c>
      <c r="CV188" s="14">
        <f t="shared" si="173"/>
        <v>66.50288772038418</v>
      </c>
      <c r="CW188" s="22">
        <f t="shared" si="174"/>
        <v>599.66922277966887</v>
      </c>
      <c r="CX188" s="62">
        <f t="shared" si="122"/>
        <v>893.00255611300213</v>
      </c>
      <c r="CY188" s="62">
        <f ca="1">AVERAGE(OFFSET($CX$3,0,0,'Données projet'!$E$13+1,1))-AVERAGE(OFFSET($H$3,0,0,'Données projet'!$E$13+1,1))</f>
        <v>383.46266660377637</v>
      </c>
      <c r="CZ188" s="62">
        <f t="shared" si="150"/>
        <v>373.1287543230714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0.21839685950767002</v>
      </c>
      <c r="DH188" s="23">
        <f>EXP(-LN(2)/2)*DH187+(1-EXP(-LN(2)/2))/(LN(2)/2)*DB188*DE188*VLOOKUP('Données projet'!$B$13,Paramètres!$A$1:$I$89,3,0)*0.475*44/12</f>
        <v>9.9370395094220607E-23</v>
      </c>
      <c r="DI188" s="24">
        <f t="shared" si="175"/>
        <v>0.21839685950767002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>
        <f>DO188*VLOOKUP('Données projet'!$B$14,Paramètres!$A$1:$I$89,3,0)*VLOOKUP('Données projet'!$B$14,Paramètres!$A$1:$I$89,5,0)</f>
        <v>0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96.56611521638132</v>
      </c>
      <c r="DU188" s="62">
        <f t="shared" si="152"/>
        <v>465.03257878814094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3.8272263204900185</v>
      </c>
      <c r="EB188" s="23">
        <f>EXP(-LN(2)/25)*EB187+(1-EXP(-LN(2)/25))/(LN(2)/25)*Calculateur!DW188*Calculateur!DY188*VLOOKUP('Données projet'!$B$14,Paramètres!$A$1:$I$89,3,0)*0.475*44/12</f>
        <v>0.24985777069078258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4.0770840911808008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317.99999999999972</v>
      </c>
      <c r="EK188" s="18">
        <f>EJ188*VLOOKUP('Données projet'!$B$15,Paramètres!$A$1:$I$89,3,0)*VLOOKUP('Données projet'!$B$15,Paramètres!$A$1:$I$89,5,0)</f>
        <v>257.96159999999981</v>
      </c>
      <c r="EL188" s="14">
        <f t="shared" si="179"/>
        <v>62.287674609742425</v>
      </c>
      <c r="EM188" s="22">
        <f t="shared" si="180"/>
        <v>557.76748661196768</v>
      </c>
      <c r="EN188" s="62">
        <f t="shared" si="128"/>
        <v>851.10081994530105</v>
      </c>
      <c r="EO188" s="62">
        <f ca="1">AVERAGE(OFFSET($EN$3,0,0,'Données projet'!$E$15+1,1))-AVERAGE(OFFSET($H$3,0,0,'Données projet'!$E$15+1,1))</f>
        <v>358.75637627589799</v>
      </c>
      <c r="EP188" s="62">
        <f t="shared" si="154"/>
        <v>349.64821164483607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0.44892152996505885</v>
      </c>
      <c r="EW188" s="23">
        <f>EXP(-LN(2)/25)*EW187+(1-EXP(-LN(2)/25))/(LN(2)/25)*Calculateur!ER188*Calculateur!ET188*VLOOKUP('Données projet'!$B$15,Paramètres!$A$1:$I$89,3,0)*0.475*44/12</f>
        <v>0.20863220388083045</v>
      </c>
      <c r="EX188" s="23">
        <f>EXP(-LN(2)/2)*EX187+(1-EXP(-LN(2)/2))/(LN(2)/2)*ER188*EU188*VLOOKUP('Données projet'!$B$15,Paramètres!$A$1:$I$89,3,0)*0.475*44/12</f>
        <v>1.7062288540071677E-23</v>
      </c>
      <c r="EY188" s="24">
        <f t="shared" si="181"/>
        <v>0.65755373384588933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>
        <f>FE188*VLOOKUP('Données projet'!$B$16,Paramètres!$A$1:$I$89,3,0)*VLOOKUP('Données projet'!$B$16,Paramètres!$A$1:$I$89,5,0)</f>
        <v>0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121.28977654040114</v>
      </c>
      <c r="FK188" s="62">
        <f t="shared" si="156"/>
        <v>615.69585264342595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5.1565710368506972</v>
      </c>
      <c r="FR188" s="23">
        <f>EXP(-LN(2)/25)*FR187+(1-EXP(-LN(2)/25))/(LN(2)/25)*Calculateur!FM188*Calculateur!FO188*VLOOKUP('Données projet'!$B$16,Paramètres!$A$1:$I$89,3,0)*0.475*44/12</f>
        <v>0.33664310280746906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5.493214139658166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317.99999999999972</v>
      </c>
      <c r="O189" s="14">
        <f>N189*VLOOKUP('Données projet'!$B$9,Paramètres!$A$1:$I$89,3,0)*VLOOKUP('Données projet'!$B$9,Paramètres!$A$1:$I$89,5,0)</f>
        <v>253.0007999999998</v>
      </c>
      <c r="P189" s="14">
        <f t="shared" si="141"/>
        <v>61.228070105968683</v>
      </c>
      <c r="Q189" s="22">
        <f t="shared" si="162"/>
        <v>547.28194876789507</v>
      </c>
      <c r="R189" s="62">
        <f t="shared" si="109"/>
        <v>840.61528210122833</v>
      </c>
      <c r="S189" s="62">
        <f ca="1">AVERAGE(OFFSET($R$3,0,0,'Données projet'!$E$9+1,1))-AVERAGE(OFFSET($H$3,0,0,'Données projet'!$E$9+1,1))</f>
        <v>352.5736659365665</v>
      </c>
      <c r="T189" s="62">
        <f t="shared" si="142"/>
        <v>343.77208530767069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0.61373722929016461</v>
      </c>
      <c r="AA189" s="23">
        <f>EXP(-LN(2)/25)*AA188+(1-EXP(-LN(2)/25))/(LN(2)/25)*Calculateur!V189*Calculateur!X189*VLOOKUP('Données projet'!$B$9,Paramètres!$A$1:$I$89,3,0)*0.475*44/12</f>
        <v>0.3138206824809065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0.92755791177107105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3.7243808037601412E-14</v>
      </c>
      <c r="AK189" s="14">
        <f t="shared" si="164"/>
        <v>6.2767589361185393E-13</v>
      </c>
      <c r="AL189" s="22">
        <f t="shared" si="165"/>
        <v>1.1580684803728015E-12</v>
      </c>
      <c r="AM189" s="62">
        <f t="shared" si="113"/>
        <v>293.33333333333445</v>
      </c>
      <c r="AN189" s="62">
        <f ca="1">AVERAGE(OFFSET($AM$3,0,0,'Données projet'!$E$10+1,1))-AVERAGE(OFFSET($H$3,0,0,'Données projet'!$E$10+1,1))</f>
        <v>210.08998695869161</v>
      </c>
      <c r="AO189" s="62">
        <f t="shared" si="144"/>
        <v>207.30911916430881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6.1117869772155055E-25</v>
      </c>
      <c r="AX189" s="23">
        <f t="shared" si="166"/>
        <v>6.1117869772155055E-25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335.83558218229564</v>
      </c>
      <c r="BJ189" s="62">
        <f t="shared" si="146"/>
        <v>217.08423061559648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6.9394350671762454E-23</v>
      </c>
      <c r="BS189" s="24">
        <f t="shared" si="169"/>
        <v>6.9394350671762454E-23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5.6843418860808015E-14</v>
      </c>
      <c r="BZ189" s="14">
        <f>BY189*VLOOKUP('Données projet'!$B$12,Paramètres!$A$1:$I$89,3,0)*VLOOKUP('Données projet'!$B$12,Paramètres!$A$1:$I$89,5,0)</f>
        <v>4.4337866711430253E-14</v>
      </c>
      <c r="CA189" s="14">
        <f t="shared" si="170"/>
        <v>7.3222115536967035E-13</v>
      </c>
      <c r="CB189" s="22">
        <f t="shared" si="171"/>
        <v>1.3525069634579169E-12</v>
      </c>
      <c r="CC189" s="62">
        <f t="shared" si="119"/>
        <v>293.33333333333468</v>
      </c>
      <c r="CD189" s="62">
        <f ca="1">AVERAGE(OFFSET($CC$3,0,0,'Données projet'!$E$12+1,1))-AVERAGE(OFFSET($H$3,0,0,'Données projet'!$E$12+1,1))</f>
        <v>288.82868507674738</v>
      </c>
      <c r="CE189" s="62">
        <f t="shared" si="148"/>
        <v>283.48738729114024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6.4454786944425579E-2</v>
      </c>
      <c r="CM189" s="23">
        <f>EXP(-LN(2)/2)*CM188+(1-EXP(-LN(2)/2))/(LN(2)/2)*CG189*CJ189*VLOOKUP('Données projet'!$B$12,Paramètres!$A$1:$I$89,3,0)*0.475*44/12</f>
        <v>8.535741921989353E-24</v>
      </c>
      <c r="CN189" s="24">
        <f t="shared" si="172"/>
        <v>6.4454786944425579E-2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317.99999999999972</v>
      </c>
      <c r="CU189" s="18">
        <f>CT189*VLOOKUP('Données projet'!$B$13,Paramètres!$A$1:$I$89,3,0)*VLOOKUP('Données projet'!$B$13,Paramètres!$A$1:$I$89,5,0)</f>
        <v>277.80479999999983</v>
      </c>
      <c r="CV189" s="14">
        <f t="shared" si="173"/>
        <v>66.50288772038418</v>
      </c>
      <c r="CW189" s="22">
        <f t="shared" si="174"/>
        <v>599.66922277966887</v>
      </c>
      <c r="CX189" s="62">
        <f t="shared" si="122"/>
        <v>893.00255611300213</v>
      </c>
      <c r="CY189" s="62">
        <f ca="1">AVERAGE(OFFSET($CX$3,0,0,'Données projet'!$E$13+1,1))-AVERAGE(OFFSET($H$3,0,0,'Données projet'!$E$13+1,1))</f>
        <v>383.46266660377637</v>
      </c>
      <c r="CZ189" s="62">
        <f t="shared" si="150"/>
        <v>373.1287543230714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0.21242478589944108</v>
      </c>
      <c r="DH189" s="23">
        <f>EXP(-LN(2)/2)*DH188+(1-EXP(-LN(2)/2))/(LN(2)/2)*DB189*DE189*VLOOKUP('Données projet'!$B$13,Paramètres!$A$1:$I$89,3,0)*0.475*44/12</f>
        <v>7.0265480220309825E-23</v>
      </c>
      <c r="DI189" s="24">
        <f t="shared" si="175"/>
        <v>0.21242478589944108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>
        <f>DO189*VLOOKUP('Données projet'!$B$14,Paramètres!$A$1:$I$89,3,0)*VLOOKUP('Données projet'!$B$14,Paramètres!$A$1:$I$89,5,0)</f>
        <v>0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96.56611521638132</v>
      </c>
      <c r="DU189" s="62">
        <f t="shared" si="152"/>
        <v>465.03257878814094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3.752176746722764</v>
      </c>
      <c r="EB189" s="23">
        <f>EXP(-LN(2)/25)*EB188+(1-EXP(-LN(2)/25))/(LN(2)/25)*Calculateur!DW189*Calculateur!DY189*VLOOKUP('Données projet'!$B$14,Paramètres!$A$1:$I$89,3,0)*0.475*44/12</f>
        <v>0.24302539681179403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3.9952021435345579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317.99999999999972</v>
      </c>
      <c r="EK189" s="18">
        <f>EJ189*VLOOKUP('Données projet'!$B$15,Paramètres!$A$1:$I$89,3,0)*VLOOKUP('Données projet'!$B$15,Paramètres!$A$1:$I$89,5,0)</f>
        <v>257.96159999999981</v>
      </c>
      <c r="EL189" s="14">
        <f t="shared" si="179"/>
        <v>62.287674609742425</v>
      </c>
      <c r="EM189" s="22">
        <f t="shared" si="180"/>
        <v>557.76748661196768</v>
      </c>
      <c r="EN189" s="62">
        <f t="shared" si="128"/>
        <v>851.10081994530105</v>
      </c>
      <c r="EO189" s="62">
        <f ca="1">AVERAGE(OFFSET($EN$3,0,0,'Données projet'!$E$15+1,1))-AVERAGE(OFFSET($H$3,0,0,'Données projet'!$E$15+1,1))</f>
        <v>358.75637627589799</v>
      </c>
      <c r="EP189" s="62">
        <f t="shared" si="154"/>
        <v>349.64821164483607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0.44011845257754034</v>
      </c>
      <c r="EW189" s="23">
        <f>EXP(-LN(2)/25)*EW188+(1-EXP(-LN(2)/25))/(LN(2)/25)*Calculateur!ER189*Calculateur!ET189*VLOOKUP('Données projet'!$B$15,Paramètres!$A$1:$I$89,3,0)*0.475*44/12</f>
        <v>0.20292714529421838</v>
      </c>
      <c r="EX189" s="23">
        <f>EXP(-LN(2)/2)*EX188+(1-EXP(-LN(2)/2))/(LN(2)/2)*ER189*EU189*VLOOKUP('Données projet'!$B$15,Paramètres!$A$1:$I$89,3,0)*0.475*44/12</f>
        <v>1.2064859929246201E-23</v>
      </c>
      <c r="EY189" s="24">
        <f t="shared" si="181"/>
        <v>0.64304559787175875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>
        <f>FE189*VLOOKUP('Données projet'!$B$16,Paramètres!$A$1:$I$89,3,0)*VLOOKUP('Données projet'!$B$16,Paramètres!$A$1:$I$89,5,0)</f>
        <v>0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121.28977654040114</v>
      </c>
      <c r="FK189" s="62">
        <f t="shared" si="156"/>
        <v>615.69585264342595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5.0554538240158253</v>
      </c>
      <c r="FR189" s="23">
        <f>EXP(-LN(2)/25)*FR188+(1-EXP(-LN(2)/25))/(LN(2)/25)*Calculateur!FM189*Calculateur!FO189*VLOOKUP('Données projet'!$B$16,Paramètres!$A$1:$I$89,3,0)*0.475*44/12</f>
        <v>0.32743757945790747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5.3828914034737325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317.99999999999972</v>
      </c>
      <c r="O190" s="14">
        <f>N190*VLOOKUP('Données projet'!$B$9,Paramètres!$A$1:$I$89,3,0)*VLOOKUP('Données projet'!$B$9,Paramètres!$A$1:$I$89,5,0)</f>
        <v>253.0007999999998</v>
      </c>
      <c r="P190" s="14">
        <f t="shared" si="141"/>
        <v>61.228070105968683</v>
      </c>
      <c r="Q190" s="22">
        <f t="shared" si="162"/>
        <v>547.28194876789507</v>
      </c>
      <c r="R190" s="62">
        <f t="shared" si="109"/>
        <v>840.61528210122833</v>
      </c>
      <c r="S190" s="62">
        <f ca="1">AVERAGE(OFFSET($R$3,0,0,'Données projet'!$E$9+1,1))-AVERAGE(OFFSET($H$3,0,0,'Données projet'!$E$9+1,1))</f>
        <v>352.5736659365665</v>
      </c>
      <c r="T190" s="62">
        <f t="shared" si="142"/>
        <v>343.77208530767069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0.60170221656653111</v>
      </c>
      <c r="AA190" s="23">
        <f>EXP(-LN(2)/25)*AA189+(1-EXP(-LN(2)/25))/(LN(2)/25)*Calculateur!V190*Calculateur!X190*VLOOKUP('Données projet'!$B$9,Paramètres!$A$1:$I$89,3,0)*0.475*44/12</f>
        <v>0.30523923941535369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0.9069414559818848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3.7243808037601412E-14</v>
      </c>
      <c r="AK190" s="14">
        <f t="shared" si="164"/>
        <v>6.2767589361185393E-13</v>
      </c>
      <c r="AL190" s="22">
        <f t="shared" si="165"/>
        <v>1.1580684803728015E-12</v>
      </c>
      <c r="AM190" s="62">
        <f t="shared" si="113"/>
        <v>293.33333333333445</v>
      </c>
      <c r="AN190" s="62">
        <f ca="1">AVERAGE(OFFSET($AM$3,0,0,'Données projet'!$E$10+1,1))-AVERAGE(OFFSET($H$3,0,0,'Données projet'!$E$10+1,1))</f>
        <v>210.08998695869161</v>
      </c>
      <c r="AO190" s="62">
        <f t="shared" si="144"/>
        <v>207.30911916430881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4.321686016756715E-25</v>
      </c>
      <c r="AX190" s="23">
        <f t="shared" si="166"/>
        <v>4.321686016756715E-25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335.83558218229564</v>
      </c>
      <c r="BJ190" s="62">
        <f t="shared" si="146"/>
        <v>217.08423061559648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4.9069215936040481E-23</v>
      </c>
      <c r="BS190" s="24">
        <f t="shared" si="169"/>
        <v>4.9069215936040481E-23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5.6843418860808015E-14</v>
      </c>
      <c r="BZ190" s="14">
        <f>BY190*VLOOKUP('Données projet'!$B$12,Paramètres!$A$1:$I$89,3,0)*VLOOKUP('Données projet'!$B$12,Paramètres!$A$1:$I$89,5,0)</f>
        <v>4.4337866711430253E-14</v>
      </c>
      <c r="CA190" s="14">
        <f t="shared" si="170"/>
        <v>7.3222115536967035E-13</v>
      </c>
      <c r="CB190" s="22">
        <f t="shared" si="171"/>
        <v>1.3525069634579169E-12</v>
      </c>
      <c r="CC190" s="62">
        <f t="shared" si="119"/>
        <v>293.33333333333468</v>
      </c>
      <c r="CD190" s="62">
        <f ca="1">AVERAGE(OFFSET($CC$3,0,0,'Données projet'!$E$12+1,1))-AVERAGE(OFFSET($H$3,0,0,'Données projet'!$E$12+1,1))</f>
        <v>288.82868507674738</v>
      </c>
      <c r="CE190" s="62">
        <f t="shared" si="148"/>
        <v>283.48738729114024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6.2692267405900323E-2</v>
      </c>
      <c r="CM190" s="23">
        <f>EXP(-LN(2)/2)*CM189+(1-EXP(-LN(2)/2))/(LN(2)/2)*CG190*CJ190*VLOOKUP('Données projet'!$B$12,Paramètres!$A$1:$I$89,3,0)*0.475*44/12</f>
        <v>6.0356809954969661E-24</v>
      </c>
      <c r="CN190" s="24">
        <f t="shared" si="172"/>
        <v>6.2692267405900323E-2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317.99999999999972</v>
      </c>
      <c r="CU190" s="18">
        <f>CT190*VLOOKUP('Données projet'!$B$13,Paramètres!$A$1:$I$89,3,0)*VLOOKUP('Données projet'!$B$13,Paramètres!$A$1:$I$89,5,0)</f>
        <v>277.80479999999983</v>
      </c>
      <c r="CV190" s="14">
        <f t="shared" si="173"/>
        <v>66.50288772038418</v>
      </c>
      <c r="CW190" s="22">
        <f t="shared" si="174"/>
        <v>599.66922277966887</v>
      </c>
      <c r="CX190" s="62">
        <f t="shared" si="122"/>
        <v>893.00255611300213</v>
      </c>
      <c r="CY190" s="62">
        <f ca="1">AVERAGE(OFFSET($CX$3,0,0,'Données projet'!$E$13+1,1))-AVERAGE(OFFSET($H$3,0,0,'Données projet'!$E$13+1,1))</f>
        <v>383.46266660377637</v>
      </c>
      <c r="CZ190" s="62">
        <f t="shared" si="150"/>
        <v>373.1287543230714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0.20661601895808687</v>
      </c>
      <c r="DH190" s="23">
        <f>EXP(-LN(2)/2)*DH189+(1-EXP(-LN(2)/2))/(LN(2)/2)*DB190*DE190*VLOOKUP('Données projet'!$B$13,Paramètres!$A$1:$I$89,3,0)*0.475*44/12</f>
        <v>4.9685197547110303E-23</v>
      </c>
      <c r="DI190" s="24">
        <f t="shared" si="175"/>
        <v>0.20661601895808687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>
        <f>DO190*VLOOKUP('Données projet'!$B$14,Paramètres!$A$1:$I$89,3,0)*VLOOKUP('Données projet'!$B$14,Paramètres!$A$1:$I$89,5,0)</f>
        <v>0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96.56611521638132</v>
      </c>
      <c r="DU190" s="62">
        <f t="shared" si="152"/>
        <v>465.03257878814094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3.6785988493213653</v>
      </c>
      <c r="EB190" s="23">
        <f>EXP(-LN(2)/25)*EB189+(1-EXP(-LN(2)/25))/(LN(2)/25)*Calculateur!DW190*Calculateur!DY190*VLOOKUP('Données projet'!$B$14,Paramètres!$A$1:$I$89,3,0)*0.475*44/12</f>
        <v>0.23637985455582533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3.9149787038771908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317.99999999999972</v>
      </c>
      <c r="EK190" s="18">
        <f>EJ190*VLOOKUP('Données projet'!$B$15,Paramètres!$A$1:$I$89,3,0)*VLOOKUP('Données projet'!$B$15,Paramètres!$A$1:$I$89,5,0)</f>
        <v>257.96159999999981</v>
      </c>
      <c r="EL190" s="14">
        <f t="shared" si="179"/>
        <v>62.287674609742425</v>
      </c>
      <c r="EM190" s="22">
        <f t="shared" si="180"/>
        <v>557.76748661196768</v>
      </c>
      <c r="EN190" s="62">
        <f t="shared" si="128"/>
        <v>851.10081994530105</v>
      </c>
      <c r="EO190" s="62">
        <f ca="1">AVERAGE(OFFSET($EN$3,0,0,'Données projet'!$E$15+1,1))-AVERAGE(OFFSET($H$3,0,0,'Données projet'!$E$15+1,1))</f>
        <v>358.75637627589799</v>
      </c>
      <c r="EP190" s="62">
        <f t="shared" si="154"/>
        <v>349.64821164483607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0.43148799816824401</v>
      </c>
      <c r="EW190" s="23">
        <f>EXP(-LN(2)/25)*EW189+(1-EXP(-LN(2)/25))/(LN(2)/25)*Calculateur!ER190*Calculateur!ET190*VLOOKUP('Données projet'!$B$15,Paramètres!$A$1:$I$89,3,0)*0.475*44/12</f>
        <v>0.1973780918346732</v>
      </c>
      <c r="EX190" s="23">
        <f>EXP(-LN(2)/2)*EX189+(1-EXP(-LN(2)/2))/(LN(2)/2)*ER190*EU190*VLOOKUP('Données projet'!$B$15,Paramètres!$A$1:$I$89,3,0)*0.475*44/12</f>
        <v>8.5311442700358387E-24</v>
      </c>
      <c r="EY190" s="24">
        <f t="shared" si="181"/>
        <v>0.62886609000291727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>
        <f>FE190*VLOOKUP('Données projet'!$B$16,Paramètres!$A$1:$I$89,3,0)*VLOOKUP('Données projet'!$B$16,Paramètres!$A$1:$I$89,5,0)</f>
        <v>0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121.28977654040114</v>
      </c>
      <c r="FK190" s="62">
        <f t="shared" si="156"/>
        <v>615.69585264342595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4.9563194580492347</v>
      </c>
      <c r="FR190" s="23">
        <f>EXP(-LN(2)/25)*FR189+(1-EXP(-LN(2)/25))/(LN(2)/25)*Calculateur!FM190*Calculateur!FO190*VLOOKUP('Données projet'!$B$16,Paramètres!$A$1:$I$89,3,0)*0.475*44/12</f>
        <v>0.31848378162843705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5.2748032396776718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317.99999999999972</v>
      </c>
      <c r="O191" s="14">
        <f>N191*VLOOKUP('Données projet'!$B$9,Paramètres!$A$1:$I$89,3,0)*VLOOKUP('Données projet'!$B$9,Paramètres!$A$1:$I$89,5,0)</f>
        <v>253.0007999999998</v>
      </c>
      <c r="P191" s="14">
        <f t="shared" si="141"/>
        <v>61.228070105968683</v>
      </c>
      <c r="Q191" s="22">
        <f t="shared" si="162"/>
        <v>547.28194876789507</v>
      </c>
      <c r="R191" s="62">
        <f t="shared" si="109"/>
        <v>840.61528210122833</v>
      </c>
      <c r="S191" s="62">
        <f ca="1">AVERAGE(OFFSET($R$3,0,0,'Données projet'!$E$9+1,1))-AVERAGE(OFFSET($H$3,0,0,'Données projet'!$E$9+1,1))</f>
        <v>352.5736659365665</v>
      </c>
      <c r="T191" s="62">
        <f t="shared" si="142"/>
        <v>343.77208530767069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0.58990320310177513</v>
      </c>
      <c r="AA191" s="23">
        <f>EXP(-LN(2)/25)*AA190+(1-EXP(-LN(2)/25))/(LN(2)/25)*Calculateur!V191*Calculateur!X191*VLOOKUP('Données projet'!$B$9,Paramètres!$A$1:$I$89,3,0)*0.475*44/12</f>
        <v>0.29689245636170686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0.88679565946348204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3.7243808037601412E-14</v>
      </c>
      <c r="AK191" s="14">
        <f t="shared" si="164"/>
        <v>6.2767589361185393E-13</v>
      </c>
      <c r="AL191" s="22">
        <f t="shared" si="165"/>
        <v>1.1580684803728015E-12</v>
      </c>
      <c r="AM191" s="62">
        <f t="shared" si="113"/>
        <v>293.33333333333445</v>
      </c>
      <c r="AN191" s="62">
        <f ca="1">AVERAGE(OFFSET($AM$3,0,0,'Données projet'!$E$10+1,1))-AVERAGE(OFFSET($H$3,0,0,'Données projet'!$E$10+1,1))</f>
        <v>210.08998695869161</v>
      </c>
      <c r="AO191" s="62">
        <f t="shared" si="144"/>
        <v>207.30911916430881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3.0558934886077527E-25</v>
      </c>
      <c r="AX191" s="23">
        <f t="shared" si="166"/>
        <v>3.0558934886077527E-25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335.83558218229564</v>
      </c>
      <c r="BJ191" s="62">
        <f t="shared" si="146"/>
        <v>217.08423061559648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3.4697175335881227E-23</v>
      </c>
      <c r="BS191" s="24">
        <f t="shared" si="169"/>
        <v>3.4697175335881227E-23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5.6843418860808015E-14</v>
      </c>
      <c r="BZ191" s="14">
        <f>BY191*VLOOKUP('Données projet'!$B$12,Paramètres!$A$1:$I$89,3,0)*VLOOKUP('Données projet'!$B$12,Paramètres!$A$1:$I$89,5,0)</f>
        <v>4.4337866711430253E-14</v>
      </c>
      <c r="CA191" s="14">
        <f t="shared" si="170"/>
        <v>7.3222115536967035E-13</v>
      </c>
      <c r="CB191" s="22">
        <f t="shared" si="171"/>
        <v>1.3525069634579169E-12</v>
      </c>
      <c r="CC191" s="62">
        <f t="shared" si="119"/>
        <v>293.33333333333468</v>
      </c>
      <c r="CD191" s="62">
        <f ca="1">AVERAGE(OFFSET($CC$3,0,0,'Données projet'!$E$12+1,1))-AVERAGE(OFFSET($H$3,0,0,'Données projet'!$E$12+1,1))</f>
        <v>288.82868507674738</v>
      </c>
      <c r="CE191" s="62">
        <f t="shared" si="148"/>
        <v>283.48738729114024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6.0977944056842918E-2</v>
      </c>
      <c r="CM191" s="23">
        <f>EXP(-LN(2)/2)*CM190+(1-EXP(-LN(2)/2))/(LN(2)/2)*CG191*CJ191*VLOOKUP('Données projet'!$B$12,Paramètres!$A$1:$I$89,3,0)*0.475*44/12</f>
        <v>4.2678709609946765E-24</v>
      </c>
      <c r="CN191" s="24">
        <f t="shared" si="172"/>
        <v>6.0977944056842918E-2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317.99999999999972</v>
      </c>
      <c r="CU191" s="18">
        <f>CT191*VLOOKUP('Données projet'!$B$13,Paramètres!$A$1:$I$89,3,0)*VLOOKUP('Données projet'!$B$13,Paramètres!$A$1:$I$89,5,0)</f>
        <v>277.80479999999983</v>
      </c>
      <c r="CV191" s="14">
        <f t="shared" si="173"/>
        <v>66.50288772038418</v>
      </c>
      <c r="CW191" s="22">
        <f t="shared" si="174"/>
        <v>599.66922277966887</v>
      </c>
      <c r="CX191" s="62">
        <f t="shared" si="122"/>
        <v>893.00255611300213</v>
      </c>
      <c r="CY191" s="62">
        <f ca="1">AVERAGE(OFFSET($CX$3,0,0,'Données projet'!$E$13+1,1))-AVERAGE(OFFSET($H$3,0,0,'Données projet'!$E$13+1,1))</f>
        <v>383.46266660377637</v>
      </c>
      <c r="CZ191" s="62">
        <f t="shared" si="150"/>
        <v>373.1287543230714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0.20096609305421378</v>
      </c>
      <c r="DH191" s="23">
        <f>EXP(-LN(2)/2)*DH190+(1-EXP(-LN(2)/2))/(LN(2)/2)*DB191*DE191*VLOOKUP('Données projet'!$B$13,Paramètres!$A$1:$I$89,3,0)*0.475*44/12</f>
        <v>3.5132740110154913E-23</v>
      </c>
      <c r="DI191" s="24">
        <f t="shared" si="175"/>
        <v>0.20096609305421378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>
        <f>DO191*VLOOKUP('Données projet'!$B$14,Paramètres!$A$1:$I$89,3,0)*VLOOKUP('Données projet'!$B$14,Paramètres!$A$1:$I$89,5,0)</f>
        <v>0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96.56611521638132</v>
      </c>
      <c r="DU191" s="62">
        <f t="shared" si="152"/>
        <v>465.03257878814094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3.6064637696099222</v>
      </c>
      <c r="EB191" s="23">
        <f>EXP(-LN(2)/25)*EB190+(1-EXP(-LN(2)/25))/(LN(2)/25)*Calculateur!DW191*Calculateur!DY191*VLOOKUP('Données projet'!$B$14,Paramètres!$A$1:$I$89,3,0)*0.475*44/12</f>
        <v>0.22991603500232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3.8363798046122422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317.99999999999972</v>
      </c>
      <c r="EK191" s="18">
        <f>EJ191*VLOOKUP('Données projet'!$B$15,Paramètres!$A$1:$I$89,3,0)*VLOOKUP('Données projet'!$B$15,Paramètres!$A$1:$I$89,5,0)</f>
        <v>257.96159999999981</v>
      </c>
      <c r="EL191" s="14">
        <f t="shared" si="179"/>
        <v>62.287674609742425</v>
      </c>
      <c r="EM191" s="22">
        <f t="shared" si="180"/>
        <v>557.76748661196768</v>
      </c>
      <c r="EN191" s="62">
        <f t="shared" si="128"/>
        <v>851.10081994530105</v>
      </c>
      <c r="EO191" s="62">
        <f ca="1">AVERAGE(OFFSET($EN$3,0,0,'Données projet'!$E$15+1,1))-AVERAGE(OFFSET($H$3,0,0,'Données projet'!$E$15+1,1))</f>
        <v>358.75637627589799</v>
      </c>
      <c r="EP191" s="62">
        <f t="shared" si="154"/>
        <v>349.64821164483607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0.42302678170585661</v>
      </c>
      <c r="EW191" s="23">
        <f>EXP(-LN(2)/25)*EW190+(1-EXP(-LN(2)/25))/(LN(2)/25)*Calculateur!ER191*Calculateur!ET191*VLOOKUP('Données projet'!$B$15,Paramètres!$A$1:$I$89,3,0)*0.475*44/12</f>
        <v>0.19198077753379134</v>
      </c>
      <c r="EX191" s="23">
        <f>EXP(-LN(2)/2)*EX190+(1-EXP(-LN(2)/2))/(LN(2)/2)*ER191*EU191*VLOOKUP('Données projet'!$B$15,Paramètres!$A$1:$I$89,3,0)*0.475*44/12</f>
        <v>6.0324299646231006E-24</v>
      </c>
      <c r="EY191" s="24">
        <f t="shared" si="181"/>
        <v>0.61500755923964801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>
        <f>FE191*VLOOKUP('Données projet'!$B$16,Paramètres!$A$1:$I$89,3,0)*VLOOKUP('Données projet'!$B$16,Paramètres!$A$1:$I$89,5,0)</f>
        <v>0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121.28977654040114</v>
      </c>
      <c r="FK191" s="62">
        <f t="shared" si="156"/>
        <v>615.69585264342595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4.8591290565332566</v>
      </c>
      <c r="FR191" s="23">
        <f>EXP(-LN(2)/25)*FR190+(1-EXP(-LN(2)/25))/(LN(2)/25)*Calculateur!FM191*Calculateur!FO191*VLOOKUP('Données projet'!$B$16,Paramètres!$A$1:$I$89,3,0)*0.475*44/12</f>
        <v>0.30977482587147326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5.16890388240473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317.99999999999972</v>
      </c>
      <c r="O192" s="14">
        <f>N192*VLOOKUP('Données projet'!$B$9,Paramètres!$A$1:$I$89,3,0)*VLOOKUP('Données projet'!$B$9,Paramètres!$A$1:$I$89,5,0)</f>
        <v>253.0007999999998</v>
      </c>
      <c r="P192" s="14">
        <f t="shared" si="141"/>
        <v>61.228070105968683</v>
      </c>
      <c r="Q192" s="22">
        <f t="shared" si="162"/>
        <v>547.28194876789507</v>
      </c>
      <c r="R192" s="62">
        <f t="shared" si="109"/>
        <v>840.61528210122833</v>
      </c>
      <c r="S192" s="62">
        <f ca="1">AVERAGE(OFFSET($R$3,0,0,'Données projet'!$E$9+1,1))-AVERAGE(OFFSET($H$3,0,0,'Données projet'!$E$9+1,1))</f>
        <v>352.5736659365665</v>
      </c>
      <c r="T192" s="62">
        <f t="shared" si="142"/>
        <v>343.77208530767069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0.57833556109437534</v>
      </c>
      <c r="AA192" s="23">
        <f>EXP(-LN(2)/25)*AA191+(1-EXP(-LN(2)/25))/(LN(2)/25)*Calculateur!V192*Calculateur!X192*VLOOKUP('Données projet'!$B$9,Paramètres!$A$1:$I$89,3,0)*0.475*44/12</f>
        <v>0.28877391652960027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0.86710947762397561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3.7243808037601412E-14</v>
      </c>
      <c r="AK192" s="14">
        <f t="shared" si="164"/>
        <v>6.2767589361185393E-13</v>
      </c>
      <c r="AL192" s="22">
        <f t="shared" si="165"/>
        <v>1.1580684803728015E-12</v>
      </c>
      <c r="AM192" s="62">
        <f t="shared" si="113"/>
        <v>293.33333333333445</v>
      </c>
      <c r="AN192" s="62">
        <f ca="1">AVERAGE(OFFSET($AM$3,0,0,'Données projet'!$E$10+1,1))-AVERAGE(OFFSET($H$3,0,0,'Données projet'!$E$10+1,1))</f>
        <v>210.08998695869161</v>
      </c>
      <c r="AO192" s="62">
        <f t="shared" si="144"/>
        <v>207.30911916430881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2.1608430083783575E-25</v>
      </c>
      <c r="AX192" s="23">
        <f t="shared" si="166"/>
        <v>2.1608430083783575E-25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335.83558218229564</v>
      </c>
      <c r="BJ192" s="62">
        <f t="shared" si="146"/>
        <v>217.08423061559648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2.4534607968020241E-23</v>
      </c>
      <c r="BS192" s="24">
        <f t="shared" si="169"/>
        <v>2.4534607968020241E-23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5.6843418860808015E-14</v>
      </c>
      <c r="BZ192" s="14">
        <f>BY192*VLOOKUP('Données projet'!$B$12,Paramètres!$A$1:$I$89,3,0)*VLOOKUP('Données projet'!$B$12,Paramètres!$A$1:$I$89,5,0)</f>
        <v>4.4337866711430253E-14</v>
      </c>
      <c r="CA192" s="14">
        <f t="shared" si="170"/>
        <v>7.3222115536967035E-13</v>
      </c>
      <c r="CB192" s="22">
        <f t="shared" si="171"/>
        <v>1.3525069634579169E-12</v>
      </c>
      <c r="CC192" s="62">
        <f t="shared" si="119"/>
        <v>293.33333333333468</v>
      </c>
      <c r="CD192" s="62">
        <f ca="1">AVERAGE(OFFSET($CC$3,0,0,'Données projet'!$E$12+1,1))-AVERAGE(OFFSET($H$3,0,0,'Données projet'!$E$12+1,1))</f>
        <v>288.82868507674738</v>
      </c>
      <c r="CE192" s="62">
        <f t="shared" si="148"/>
        <v>283.48738729114024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5.9310498969917837E-2</v>
      </c>
      <c r="CM192" s="23">
        <f>EXP(-LN(2)/2)*CM191+(1-EXP(-LN(2)/2))/(LN(2)/2)*CG192*CJ192*VLOOKUP('Données projet'!$B$12,Paramètres!$A$1:$I$89,3,0)*0.475*44/12</f>
        <v>3.017840497748483E-24</v>
      </c>
      <c r="CN192" s="24">
        <f t="shared" si="172"/>
        <v>5.9310498969917837E-2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317.99999999999972</v>
      </c>
      <c r="CU192" s="18">
        <f>CT192*VLOOKUP('Données projet'!$B$13,Paramètres!$A$1:$I$89,3,0)*VLOOKUP('Données projet'!$B$13,Paramètres!$A$1:$I$89,5,0)</f>
        <v>277.80479999999983</v>
      </c>
      <c r="CV192" s="14">
        <f t="shared" si="173"/>
        <v>66.50288772038418</v>
      </c>
      <c r="CW192" s="22">
        <f t="shared" si="174"/>
        <v>599.66922277966887</v>
      </c>
      <c r="CX192" s="62">
        <f t="shared" si="122"/>
        <v>893.00255611300213</v>
      </c>
      <c r="CY192" s="62">
        <f ca="1">AVERAGE(OFFSET($CX$3,0,0,'Données projet'!$E$13+1,1))-AVERAGE(OFFSET($H$3,0,0,'Données projet'!$E$13+1,1))</f>
        <v>383.46266660377637</v>
      </c>
      <c r="CZ192" s="62">
        <f t="shared" si="150"/>
        <v>373.1287543230714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0.19547066467129878</v>
      </c>
      <c r="DH192" s="23">
        <f>EXP(-LN(2)/2)*DH191+(1-EXP(-LN(2)/2))/(LN(2)/2)*DB192*DE192*VLOOKUP('Données projet'!$B$13,Paramètres!$A$1:$I$89,3,0)*0.475*44/12</f>
        <v>2.4842598773555152E-23</v>
      </c>
      <c r="DI192" s="24">
        <f t="shared" si="175"/>
        <v>0.19547066467129878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>
        <f>DO192*VLOOKUP('Données projet'!$B$14,Paramètres!$A$1:$I$89,3,0)*VLOOKUP('Données projet'!$B$14,Paramètres!$A$1:$I$89,5,0)</f>
        <v>0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96.56611521638132</v>
      </c>
      <c r="DU192" s="62">
        <f t="shared" si="152"/>
        <v>465.03257878814094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3.5357432148135661</v>
      </c>
      <c r="EB192" s="23">
        <f>EXP(-LN(2)/25)*EB191+(1-EXP(-LN(2)/25))/(LN(2)/25)*Calculateur!DW192*Calculateur!DY192*VLOOKUP('Données projet'!$B$14,Paramètres!$A$1:$I$89,3,0)*0.475*44/12</f>
        <v>0.22362896893442274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3.7593721837479888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317.99999999999972</v>
      </c>
      <c r="EK192" s="18">
        <f>EJ192*VLOOKUP('Données projet'!$B$15,Paramètres!$A$1:$I$89,3,0)*VLOOKUP('Données projet'!$B$15,Paramètres!$A$1:$I$89,5,0)</f>
        <v>257.96159999999981</v>
      </c>
      <c r="EL192" s="14">
        <f t="shared" si="179"/>
        <v>62.287674609742425</v>
      </c>
      <c r="EM192" s="22">
        <f t="shared" si="180"/>
        <v>557.76748661196768</v>
      </c>
      <c r="EN192" s="62">
        <f t="shared" si="128"/>
        <v>851.10081994530105</v>
      </c>
      <c r="EO192" s="62">
        <f ca="1">AVERAGE(OFFSET($EN$3,0,0,'Données projet'!$E$15+1,1))-AVERAGE(OFFSET($H$3,0,0,'Données projet'!$E$15+1,1))</f>
        <v>358.75637627589799</v>
      </c>
      <c r="EP192" s="62">
        <f t="shared" si="154"/>
        <v>349.64821164483607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0.41473148453746417</v>
      </c>
      <c r="EW192" s="23">
        <f>EXP(-LN(2)/25)*EW191+(1-EXP(-LN(2)/25))/(LN(2)/25)*Calculateur!ER192*Calculateur!ET192*VLOOKUP('Données projet'!$B$15,Paramètres!$A$1:$I$89,3,0)*0.475*44/12</f>
        <v>0.1867310530762995</v>
      </c>
      <c r="EX192" s="23">
        <f>EXP(-LN(2)/2)*EX191+(1-EXP(-LN(2)/2))/(LN(2)/2)*ER192*EU192*VLOOKUP('Données projet'!$B$15,Paramètres!$A$1:$I$89,3,0)*0.475*44/12</f>
        <v>4.2655721350179194E-24</v>
      </c>
      <c r="EY192" s="24">
        <f t="shared" si="181"/>
        <v>0.60146253761376367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>
        <f>FE192*VLOOKUP('Données projet'!$B$16,Paramètres!$A$1:$I$89,3,0)*VLOOKUP('Données projet'!$B$16,Paramètres!$A$1:$I$89,5,0)</f>
        <v>0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121.28977654040114</v>
      </c>
      <c r="FK192" s="62">
        <f t="shared" si="156"/>
        <v>615.69585264342595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4.7638444995107152</v>
      </c>
      <c r="FR192" s="23">
        <f>EXP(-LN(2)/25)*FR191+(1-EXP(-LN(2)/25))/(LN(2)/25)*Calculateur!FM192*Calculateur!FO192*VLOOKUP('Données projet'!$B$16,Paramètres!$A$1:$I$89,3,0)*0.475*44/12</f>
        <v>0.30130401696766773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5.0651485164783825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317.99999999999972</v>
      </c>
      <c r="O193" s="14">
        <f>N193*VLOOKUP('Données projet'!$B$9,Paramètres!$A$1:$I$89,3,0)*VLOOKUP('Données projet'!$B$9,Paramètres!$A$1:$I$89,5,0)</f>
        <v>253.0007999999998</v>
      </c>
      <c r="P193" s="14">
        <f t="shared" si="141"/>
        <v>61.228070105968683</v>
      </c>
      <c r="Q193" s="22">
        <f t="shared" si="162"/>
        <v>547.28194876789507</v>
      </c>
      <c r="R193" s="62">
        <f t="shared" si="109"/>
        <v>840.61528210122833</v>
      </c>
      <c r="S193" s="62">
        <f ca="1">AVERAGE(OFFSET($R$3,0,0,'Données projet'!$E$9+1,1))-AVERAGE(OFFSET($H$3,0,0,'Données projet'!$E$9+1,1))</f>
        <v>352.5736659365665</v>
      </c>
      <c r="T193" s="62">
        <f t="shared" si="142"/>
        <v>343.77208530767069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0.56699475349117578</v>
      </c>
      <c r="AA193" s="23">
        <f>EXP(-LN(2)/25)*AA192+(1-EXP(-LN(2)/25))/(LN(2)/25)*Calculateur!V193*Calculateur!X193*VLOOKUP('Données projet'!$B$9,Paramètres!$A$1:$I$89,3,0)*0.475*44/12</f>
        <v>0.28087737859613809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0.84787213208731393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3.7243808037601412E-14</v>
      </c>
      <c r="AK193" s="14">
        <f t="shared" si="164"/>
        <v>6.2767589361185393E-13</v>
      </c>
      <c r="AL193" s="22">
        <f t="shared" si="165"/>
        <v>1.1580684803728015E-12</v>
      </c>
      <c r="AM193" s="62">
        <f t="shared" si="113"/>
        <v>293.33333333333445</v>
      </c>
      <c r="AN193" s="62">
        <f ca="1">AVERAGE(OFFSET($AM$3,0,0,'Données projet'!$E$10+1,1))-AVERAGE(OFFSET($H$3,0,0,'Données projet'!$E$10+1,1))</f>
        <v>210.08998695869161</v>
      </c>
      <c r="AO193" s="62">
        <f t="shared" si="144"/>
        <v>207.30911916430881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1.5279467443038764E-25</v>
      </c>
      <c r="AX193" s="23">
        <f t="shared" si="166"/>
        <v>1.5279467443038764E-25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335.83558218229564</v>
      </c>
      <c r="BJ193" s="62">
        <f t="shared" si="146"/>
        <v>217.08423061559648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1.7348587667940614E-23</v>
      </c>
      <c r="BS193" s="24">
        <f t="shared" si="169"/>
        <v>1.7348587667940614E-23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5.6843418860808015E-14</v>
      </c>
      <c r="BZ193" s="14">
        <f>BY193*VLOOKUP('Données projet'!$B$12,Paramètres!$A$1:$I$89,3,0)*VLOOKUP('Données projet'!$B$12,Paramètres!$A$1:$I$89,5,0)</f>
        <v>4.4337866711430253E-14</v>
      </c>
      <c r="CA193" s="14">
        <f t="shared" si="170"/>
        <v>7.3222115536967035E-13</v>
      </c>
      <c r="CB193" s="22">
        <f t="shared" si="171"/>
        <v>1.3525069634579169E-12</v>
      </c>
      <c r="CC193" s="62">
        <f t="shared" si="119"/>
        <v>293.33333333333468</v>
      </c>
      <c r="CD193" s="62">
        <f ca="1">AVERAGE(OFFSET($CC$3,0,0,'Données projet'!$E$12+1,1))-AVERAGE(OFFSET($H$3,0,0,'Données projet'!$E$12+1,1))</f>
        <v>288.82868507674738</v>
      </c>
      <c r="CE193" s="62">
        <f t="shared" si="148"/>
        <v>283.48738729114024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5.7688650256581847E-2</v>
      </c>
      <c r="CM193" s="23">
        <f>EXP(-LN(2)/2)*CM192+(1-EXP(-LN(2)/2))/(LN(2)/2)*CG193*CJ193*VLOOKUP('Données projet'!$B$12,Paramètres!$A$1:$I$89,3,0)*0.475*44/12</f>
        <v>2.1339354804973382E-24</v>
      </c>
      <c r="CN193" s="24">
        <f t="shared" si="172"/>
        <v>5.7688650256581847E-2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317.99999999999972</v>
      </c>
      <c r="CU193" s="18">
        <f>CT193*VLOOKUP('Données projet'!$B$13,Paramètres!$A$1:$I$89,3,0)*VLOOKUP('Données projet'!$B$13,Paramètres!$A$1:$I$89,5,0)</f>
        <v>277.80479999999983</v>
      </c>
      <c r="CV193" s="14">
        <f t="shared" si="173"/>
        <v>66.50288772038418</v>
      </c>
      <c r="CW193" s="22">
        <f t="shared" si="174"/>
        <v>599.66922277966887</v>
      </c>
      <c r="CX193" s="62">
        <f t="shared" si="122"/>
        <v>893.00255611300213</v>
      </c>
      <c r="CY193" s="62">
        <f ca="1">AVERAGE(OFFSET($CX$3,0,0,'Données projet'!$E$13+1,1))-AVERAGE(OFFSET($H$3,0,0,'Données projet'!$E$13+1,1))</f>
        <v>383.46266660377637</v>
      </c>
      <c r="CZ193" s="62">
        <f t="shared" si="150"/>
        <v>373.1287543230714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0.1901255090665066</v>
      </c>
      <c r="DH193" s="23">
        <f>EXP(-LN(2)/2)*DH192+(1-EXP(-LN(2)/2))/(LN(2)/2)*DB193*DE193*VLOOKUP('Données projet'!$B$13,Paramètres!$A$1:$I$89,3,0)*0.475*44/12</f>
        <v>1.7566370055077456E-23</v>
      </c>
      <c r="DI193" s="24">
        <f t="shared" si="175"/>
        <v>0.1901255090665066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>
        <f>DO193*VLOOKUP('Données projet'!$B$14,Paramètres!$A$1:$I$89,3,0)*VLOOKUP('Données projet'!$B$14,Paramètres!$A$1:$I$89,5,0)</f>
        <v>0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96.56611521638132</v>
      </c>
      <c r="DU193" s="62">
        <f t="shared" si="152"/>
        <v>465.03257878814094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3.4664094469614875</v>
      </c>
      <c r="EB193" s="23">
        <f>EXP(-LN(2)/25)*EB192+(1-EXP(-LN(2)/25))/(LN(2)/25)*Calculateur!DW193*Calculateur!DY193*VLOOKUP('Données projet'!$B$14,Paramètres!$A$1:$I$89,3,0)*0.475*44/12</f>
        <v>0.21751382301877459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3.6839232699802622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317.99999999999972</v>
      </c>
      <c r="EK193" s="18">
        <f>EJ193*VLOOKUP('Données projet'!$B$15,Paramètres!$A$1:$I$89,3,0)*VLOOKUP('Données projet'!$B$15,Paramètres!$A$1:$I$89,5,0)</f>
        <v>257.96159999999981</v>
      </c>
      <c r="EL193" s="14">
        <f t="shared" si="179"/>
        <v>62.287674609742425</v>
      </c>
      <c r="EM193" s="22">
        <f t="shared" si="180"/>
        <v>557.76748661196768</v>
      </c>
      <c r="EN193" s="62">
        <f t="shared" si="128"/>
        <v>851.10081994530105</v>
      </c>
      <c r="EO193" s="62">
        <f ca="1">AVERAGE(OFFSET($EN$3,0,0,'Données projet'!$E$15+1,1))-AVERAGE(OFFSET($H$3,0,0,'Données projet'!$E$15+1,1))</f>
        <v>358.75637627589799</v>
      </c>
      <c r="EP193" s="62">
        <f t="shared" si="154"/>
        <v>349.64821164483607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0.40659885308691224</v>
      </c>
      <c r="EW193" s="23">
        <f>EXP(-LN(2)/25)*EW192+(1-EXP(-LN(2)/25))/(LN(2)/25)*Calculateur!ER193*Calculateur!ET193*VLOOKUP('Données projet'!$B$15,Paramètres!$A$1:$I$89,3,0)*0.475*44/12</f>
        <v>0.18162488261016879</v>
      </c>
      <c r="EX193" s="23">
        <f>EXP(-LN(2)/2)*EX192+(1-EXP(-LN(2)/2))/(LN(2)/2)*ER193*EU193*VLOOKUP('Données projet'!$B$15,Paramètres!$A$1:$I$89,3,0)*0.475*44/12</f>
        <v>3.0162149823115503E-24</v>
      </c>
      <c r="EY193" s="24">
        <f t="shared" si="181"/>
        <v>0.58822373569708097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>
        <f>FE193*VLOOKUP('Données projet'!$B$16,Paramètres!$A$1:$I$89,3,0)*VLOOKUP('Données projet'!$B$16,Paramètres!$A$1:$I$89,5,0)</f>
        <v>0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121.28977654040114</v>
      </c>
      <c r="FK193" s="62">
        <f t="shared" si="156"/>
        <v>615.69585264342595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4.6704284145335446</v>
      </c>
      <c r="FR193" s="23">
        <f>EXP(-LN(2)/25)*FR192+(1-EXP(-LN(2)/25))/(LN(2)/25)*Calculateur!FM193*Calculateur!FO193*VLOOKUP('Données projet'!$B$16,Paramètres!$A$1:$I$89,3,0)*0.475*44/12</f>
        <v>0.29306484277879724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4.9634932573123418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317.99999999999972</v>
      </c>
      <c r="O194" s="14">
        <f>N194*VLOOKUP('Données projet'!$B$9,Paramètres!$A$1:$I$89,3,0)*VLOOKUP('Données projet'!$B$9,Paramètres!$A$1:$I$89,5,0)</f>
        <v>253.0007999999998</v>
      </c>
      <c r="P194" s="14">
        <f t="shared" si="141"/>
        <v>61.228070105968683</v>
      </c>
      <c r="Q194" s="22">
        <f t="shared" si="162"/>
        <v>547.28194876789507</v>
      </c>
      <c r="R194" s="62">
        <f t="shared" si="109"/>
        <v>840.61528210122833</v>
      </c>
      <c r="S194" s="62">
        <f ca="1">AVERAGE(OFFSET($R$3,0,0,'Données projet'!$E$9+1,1))-AVERAGE(OFFSET($H$3,0,0,'Données projet'!$E$9+1,1))</f>
        <v>352.5736659365665</v>
      </c>
      <c r="T194" s="62">
        <f t="shared" si="142"/>
        <v>343.77208530767069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0.55587633220786536</v>
      </c>
      <c r="AA194" s="23">
        <f>EXP(-LN(2)/25)*AA193+(1-EXP(-LN(2)/25))/(LN(2)/25)*Calculateur!V194*Calculateur!X194*VLOOKUP('Données projet'!$B$9,Paramètres!$A$1:$I$89,3,0)*0.475*44/12</f>
        <v>0.27319677190772729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0.82907310411559265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3.7243808037601412E-14</v>
      </c>
      <c r="AK194" s="14">
        <f t="shared" si="164"/>
        <v>6.2767589361185393E-13</v>
      </c>
      <c r="AL194" s="22">
        <f t="shared" si="165"/>
        <v>1.1580684803728015E-12</v>
      </c>
      <c r="AM194" s="62">
        <f t="shared" si="113"/>
        <v>293.33333333333445</v>
      </c>
      <c r="AN194" s="62">
        <f ca="1">AVERAGE(OFFSET($AM$3,0,0,'Données projet'!$E$10+1,1))-AVERAGE(OFFSET($H$3,0,0,'Données projet'!$E$10+1,1))</f>
        <v>210.08998695869161</v>
      </c>
      <c r="AO194" s="62">
        <f t="shared" si="144"/>
        <v>207.30911916430881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1.0804215041891787E-25</v>
      </c>
      <c r="AX194" s="23">
        <f t="shared" si="166"/>
        <v>1.0804215041891787E-25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335.83558218229564</v>
      </c>
      <c r="BJ194" s="62">
        <f t="shared" si="146"/>
        <v>217.08423061559648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1.226730398401012E-23</v>
      </c>
      <c r="BS194" s="24">
        <f t="shared" si="169"/>
        <v>1.226730398401012E-23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5.6843418860808015E-14</v>
      </c>
      <c r="BZ194" s="14">
        <f>BY194*VLOOKUP('Données projet'!$B$12,Paramètres!$A$1:$I$89,3,0)*VLOOKUP('Données projet'!$B$12,Paramètres!$A$1:$I$89,5,0)</f>
        <v>4.4337866711430253E-14</v>
      </c>
      <c r="CA194" s="14">
        <f t="shared" si="170"/>
        <v>7.3222115536967035E-13</v>
      </c>
      <c r="CB194" s="22">
        <f t="shared" si="171"/>
        <v>1.3525069634579169E-12</v>
      </c>
      <c r="CC194" s="62">
        <f t="shared" si="119"/>
        <v>293.33333333333468</v>
      </c>
      <c r="CD194" s="62">
        <f ca="1">AVERAGE(OFFSET($CC$3,0,0,'Données projet'!$E$12+1,1))-AVERAGE(OFFSET($H$3,0,0,'Données projet'!$E$12+1,1))</f>
        <v>288.82868507674738</v>
      </c>
      <c r="CE194" s="62">
        <f t="shared" si="148"/>
        <v>283.48738729114024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5.6111151081601349E-2</v>
      </c>
      <c r="CM194" s="23">
        <f>EXP(-LN(2)/2)*CM193+(1-EXP(-LN(2)/2))/(LN(2)/2)*CG194*CJ194*VLOOKUP('Données projet'!$B$12,Paramètres!$A$1:$I$89,3,0)*0.475*44/12</f>
        <v>1.5089202488742415E-24</v>
      </c>
      <c r="CN194" s="24">
        <f t="shared" si="172"/>
        <v>5.6111151081601349E-2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317.99999999999972</v>
      </c>
      <c r="CU194" s="18">
        <f>CT194*VLOOKUP('Données projet'!$B$13,Paramètres!$A$1:$I$89,3,0)*VLOOKUP('Données projet'!$B$13,Paramètres!$A$1:$I$89,5,0)</f>
        <v>277.80479999999983</v>
      </c>
      <c r="CV194" s="14">
        <f t="shared" si="173"/>
        <v>66.50288772038418</v>
      </c>
      <c r="CW194" s="22">
        <f t="shared" si="174"/>
        <v>599.66922277966887</v>
      </c>
      <c r="CX194" s="62">
        <f t="shared" si="122"/>
        <v>893.00255611300213</v>
      </c>
      <c r="CY194" s="62">
        <f ca="1">AVERAGE(OFFSET($CX$3,0,0,'Données projet'!$E$13+1,1))-AVERAGE(OFFSET($H$3,0,0,'Données projet'!$E$13+1,1))</f>
        <v>383.46266660377637</v>
      </c>
      <c r="CZ194" s="62">
        <f t="shared" si="150"/>
        <v>373.1287543230714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0.18492651702281698</v>
      </c>
      <c r="DH194" s="23">
        <f>EXP(-LN(2)/2)*DH193+(1-EXP(-LN(2)/2))/(LN(2)/2)*DB194*DE194*VLOOKUP('Données projet'!$B$13,Paramètres!$A$1:$I$89,3,0)*0.475*44/12</f>
        <v>1.2421299386777576E-23</v>
      </c>
      <c r="DI194" s="24">
        <f t="shared" si="175"/>
        <v>0.18492651702281698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>
        <f>DO194*VLOOKUP('Données projet'!$B$14,Paramètres!$A$1:$I$89,3,0)*VLOOKUP('Données projet'!$B$14,Paramètres!$A$1:$I$89,5,0)</f>
        <v>0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96.56611521638132</v>
      </c>
      <c r="DU194" s="62">
        <f t="shared" si="152"/>
        <v>465.03257878814094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3.3984352720075655</v>
      </c>
      <c r="EB194" s="23">
        <f>EXP(-LN(2)/25)*EB193+(1-EXP(-LN(2)/25))/(LN(2)/25)*Calculateur!DW194*Calculateur!DY194*VLOOKUP('Données projet'!$B$14,Paramètres!$A$1:$I$89,3,0)*0.475*44/12</f>
        <v>0.21156589608977139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3.610001168097337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317.99999999999972</v>
      </c>
      <c r="EK194" s="18">
        <f>EJ194*VLOOKUP('Données projet'!$B$15,Paramètres!$A$1:$I$89,3,0)*VLOOKUP('Données projet'!$B$15,Paramètres!$A$1:$I$89,5,0)</f>
        <v>257.96159999999981</v>
      </c>
      <c r="EL194" s="14">
        <f t="shared" si="179"/>
        <v>62.287674609742425</v>
      </c>
      <c r="EM194" s="22">
        <f t="shared" si="180"/>
        <v>557.76748661196768</v>
      </c>
      <c r="EN194" s="62">
        <f t="shared" si="128"/>
        <v>851.10081994530105</v>
      </c>
      <c r="EO194" s="62">
        <f ca="1">AVERAGE(OFFSET($EN$3,0,0,'Données projet'!$E$15+1,1))-AVERAGE(OFFSET($H$3,0,0,'Données projet'!$E$15+1,1))</f>
        <v>358.75637627589799</v>
      </c>
      <c r="EP194" s="62">
        <f t="shared" si="154"/>
        <v>349.64821164483607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0.39862569757869021</v>
      </c>
      <c r="EW194" s="23">
        <f>EXP(-LN(2)/25)*EW193+(1-EXP(-LN(2)/25))/(LN(2)/25)*Calculateur!ER194*Calculateur!ET194*VLOOKUP('Données projet'!$B$15,Paramètres!$A$1:$I$89,3,0)*0.475*44/12</f>
        <v>0.17665834064395625</v>
      </c>
      <c r="EX194" s="23">
        <f>EXP(-LN(2)/2)*EX193+(1-EXP(-LN(2)/2))/(LN(2)/2)*ER194*EU194*VLOOKUP('Données projet'!$B$15,Paramètres!$A$1:$I$89,3,0)*0.475*44/12</f>
        <v>2.1327860675089597E-24</v>
      </c>
      <c r="EY194" s="24">
        <f t="shared" si="181"/>
        <v>0.57528403822264651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>
        <f>FE194*VLOOKUP('Données projet'!$B$16,Paramètres!$A$1:$I$89,3,0)*VLOOKUP('Données projet'!$B$16,Paramètres!$A$1:$I$89,5,0)</f>
        <v>0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121.28977654040114</v>
      </c>
      <c r="FK194" s="62">
        <f t="shared" si="156"/>
        <v>615.69585264342595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4.5788441620045912</v>
      </c>
      <c r="FR194" s="23">
        <f>EXP(-LN(2)/25)*FR193+(1-EXP(-LN(2)/25))/(LN(2)/25)*Calculateur!FM194*Calculateur!FO194*VLOOKUP('Données projet'!$B$16,Paramètres!$A$1:$I$89,3,0)*0.475*44/12</f>
        <v>0.28505096924140078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4.8638951312459922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317.99999999999972</v>
      </c>
      <c r="O195" s="14">
        <f>N195*VLOOKUP('Données projet'!$B$9,Paramètres!$A$1:$I$89,3,0)*VLOOKUP('Données projet'!$B$9,Paramètres!$A$1:$I$89,5,0)</f>
        <v>253.0007999999998</v>
      </c>
      <c r="P195" s="14">
        <f t="shared" si="141"/>
        <v>61.228070105968683</v>
      </c>
      <c r="Q195" s="22">
        <f t="shared" si="162"/>
        <v>547.28194876789507</v>
      </c>
      <c r="R195" s="62">
        <f t="shared" ref="R195:R203" si="191">Q195+(I195+J195)*44/12</f>
        <v>840.61528210122833</v>
      </c>
      <c r="S195" s="62">
        <f ca="1">AVERAGE(OFFSET($R$3,0,0,'Données projet'!$E$9+1,1))-AVERAGE(OFFSET($H$3,0,0,'Données projet'!$E$9+1,1))</f>
        <v>352.5736659365665</v>
      </c>
      <c r="T195" s="62">
        <f t="shared" si="142"/>
        <v>343.77208530767069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0.54497593638435327</v>
      </c>
      <c r="AA195" s="23">
        <f>EXP(-LN(2)/25)*AA194+(1-EXP(-LN(2)/25))/(LN(2)/25)*Calculateur!V195*Calculateur!X195*VLOOKUP('Données projet'!$B$9,Paramètres!$A$1:$I$89,3,0)*0.475*44/12</f>
        <v>0.26572619181311663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0.8107021281974699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3.7243808037601412E-14</v>
      </c>
      <c r="AK195" s="14">
        <f t="shared" si="164"/>
        <v>6.2767589361185393E-13</v>
      </c>
      <c r="AL195" s="22">
        <f t="shared" si="165"/>
        <v>1.1580684803728015E-12</v>
      </c>
      <c r="AM195" s="62">
        <f t="shared" si="113"/>
        <v>293.33333333333445</v>
      </c>
      <c r="AN195" s="62">
        <f ca="1">AVERAGE(OFFSET($AM$3,0,0,'Données projet'!$E$10+1,1))-AVERAGE(OFFSET($H$3,0,0,'Données projet'!$E$10+1,1))</f>
        <v>210.08998695869161</v>
      </c>
      <c r="AO195" s="62">
        <f t="shared" si="144"/>
        <v>207.30911916430881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7.6397337215193818E-26</v>
      </c>
      <c r="AX195" s="23">
        <f t="shared" si="166"/>
        <v>7.6397337215193818E-26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335.83558218229564</v>
      </c>
      <c r="BJ195" s="62">
        <f t="shared" si="146"/>
        <v>217.08423061559648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8.6742938339703068E-24</v>
      </c>
      <c r="BS195" s="24">
        <f t="shared" si="169"/>
        <v>8.6742938339703068E-24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5.6843418860808015E-14</v>
      </c>
      <c r="BZ195" s="14">
        <f>BY195*VLOOKUP('Données projet'!$B$12,Paramètres!$A$1:$I$89,3,0)*VLOOKUP('Données projet'!$B$12,Paramètres!$A$1:$I$89,5,0)</f>
        <v>4.4337866711430253E-14</v>
      </c>
      <c r="CA195" s="14">
        <f t="shared" si="170"/>
        <v>7.3222115536967035E-13</v>
      </c>
      <c r="CB195" s="22">
        <f t="shared" si="171"/>
        <v>1.3525069634579169E-12</v>
      </c>
      <c r="CC195" s="62">
        <f t="shared" si="119"/>
        <v>293.33333333333468</v>
      </c>
      <c r="CD195" s="62">
        <f ca="1">AVERAGE(OFFSET($CC$3,0,0,'Données projet'!$E$12+1,1))-AVERAGE(OFFSET($H$3,0,0,'Données projet'!$E$12+1,1))</f>
        <v>288.82868507674738</v>
      </c>
      <c r="CE195" s="62">
        <f t="shared" si="148"/>
        <v>283.48738729114024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5.4576788704517772E-2</v>
      </c>
      <c r="CM195" s="23">
        <f>EXP(-LN(2)/2)*CM194+(1-EXP(-LN(2)/2))/(LN(2)/2)*CG195*CJ195*VLOOKUP('Données projet'!$B$12,Paramètres!$A$1:$I$89,3,0)*0.475*44/12</f>
        <v>1.0669677402486691E-24</v>
      </c>
      <c r="CN195" s="24">
        <f t="shared" si="172"/>
        <v>5.4576788704517772E-2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317.99999999999972</v>
      </c>
      <c r="CU195" s="18">
        <f>CT195*VLOOKUP('Données projet'!$B$13,Paramètres!$A$1:$I$89,3,0)*VLOOKUP('Données projet'!$B$13,Paramètres!$A$1:$I$89,5,0)</f>
        <v>277.80479999999983</v>
      </c>
      <c r="CV195" s="14">
        <f t="shared" si="173"/>
        <v>66.50288772038418</v>
      </c>
      <c r="CW195" s="22">
        <f t="shared" si="174"/>
        <v>599.66922277966887</v>
      </c>
      <c r="CX195" s="62">
        <f t="shared" si="122"/>
        <v>893.00255611300213</v>
      </c>
      <c r="CY195" s="62">
        <f ca="1">AVERAGE(OFFSET($CX$3,0,0,'Données projet'!$E$13+1,1))-AVERAGE(OFFSET($H$3,0,0,'Données projet'!$E$13+1,1))</f>
        <v>383.46266660377637</v>
      </c>
      <c r="CZ195" s="62">
        <f t="shared" si="150"/>
        <v>373.1287543230714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0.17986969168996517</v>
      </c>
      <c r="DH195" s="23">
        <f>EXP(-LN(2)/2)*DH194+(1-EXP(-LN(2)/2))/(LN(2)/2)*DB195*DE195*VLOOKUP('Données projet'!$B$13,Paramètres!$A$1:$I$89,3,0)*0.475*44/12</f>
        <v>8.7831850275387282E-24</v>
      </c>
      <c r="DI195" s="24">
        <f t="shared" si="175"/>
        <v>0.17986969168996517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>
        <f>DO195*VLOOKUP('Données projet'!$B$14,Paramètres!$A$1:$I$89,3,0)*VLOOKUP('Données projet'!$B$14,Paramètres!$A$1:$I$89,5,0)</f>
        <v>0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96.56611521638132</v>
      </c>
      <c r="DU195" s="62">
        <f t="shared" si="152"/>
        <v>465.03257878814094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3.3317940291643371</v>
      </c>
      <c r="EB195" s="23">
        <f>EXP(-LN(2)/25)*EB194+(1-EXP(-LN(2)/25))/(LN(2)/25)*Calculateur!DW195*Calculateur!DY195*VLOOKUP('Données projet'!$B$14,Paramètres!$A$1:$I$89,3,0)*0.475*44/12</f>
        <v>0.20578061553542965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3.5375746446997667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317.99999999999972</v>
      </c>
      <c r="EK195" s="18">
        <f>EJ195*VLOOKUP('Données projet'!$B$15,Paramètres!$A$1:$I$89,3,0)*VLOOKUP('Données projet'!$B$15,Paramètres!$A$1:$I$89,5,0)</f>
        <v>257.96159999999981</v>
      </c>
      <c r="EL195" s="14">
        <f t="shared" si="179"/>
        <v>62.287674609742425</v>
      </c>
      <c r="EM195" s="22">
        <f t="shared" si="180"/>
        <v>557.76748661196768</v>
      </c>
      <c r="EN195" s="62">
        <f t="shared" si="128"/>
        <v>851.10081994530105</v>
      </c>
      <c r="EO195" s="62">
        <f ca="1">AVERAGE(OFFSET($EN$3,0,0,'Données projet'!$E$15+1,1))-AVERAGE(OFFSET($H$3,0,0,'Données projet'!$E$15+1,1))</f>
        <v>358.75637627589799</v>
      </c>
      <c r="EP195" s="62">
        <f t="shared" si="154"/>
        <v>349.64821164483607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0.39080889078683978</v>
      </c>
      <c r="EW195" s="23">
        <f>EXP(-LN(2)/25)*EW194+(1-EXP(-LN(2)/25))/(LN(2)/25)*Calculateur!ER195*Calculateur!ET195*VLOOKUP('Données projet'!$B$15,Paramètres!$A$1:$I$89,3,0)*0.475*44/12</f>
        <v>0.17182760902898889</v>
      </c>
      <c r="EX195" s="23">
        <f>EXP(-LN(2)/2)*EX194+(1-EXP(-LN(2)/2))/(LN(2)/2)*ER195*EU195*VLOOKUP('Données projet'!$B$15,Paramètres!$A$1:$I$89,3,0)*0.475*44/12</f>
        <v>1.5081074911557751E-24</v>
      </c>
      <c r="EY195" s="24">
        <f t="shared" si="181"/>
        <v>0.56263649981582864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>
        <f>FE195*VLOOKUP('Données projet'!$B$16,Paramètres!$A$1:$I$89,3,0)*VLOOKUP('Données projet'!$B$16,Paramètres!$A$1:$I$89,5,0)</f>
        <v>0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121.28977654040114</v>
      </c>
      <c r="FK195" s="62">
        <f t="shared" si="156"/>
        <v>615.69585264342595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4.4890558208068523</v>
      </c>
      <c r="FR195" s="23">
        <f>EXP(-LN(2)/25)*FR194+(1-EXP(-LN(2)/25))/(LN(2)/25)*Calculateur!FM195*Calculateur!FO195*VLOOKUP('Données projet'!$B$16,Paramètres!$A$1:$I$89,3,0)*0.475*44/12</f>
        <v>0.27725623549731571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4.7663120563041677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317.99999999999972</v>
      </c>
      <c r="O196" s="14">
        <f>N196*VLOOKUP('Données projet'!$B$9,Paramètres!$A$1:$I$89,3,0)*VLOOKUP('Données projet'!$B$9,Paramètres!$A$1:$I$89,5,0)</f>
        <v>253.0007999999998</v>
      </c>
      <c r="P196" s="14">
        <f t="shared" si="141"/>
        <v>61.228070105968683</v>
      </c>
      <c r="Q196" s="22">
        <f t="shared" si="162"/>
        <v>547.28194876789507</v>
      </c>
      <c r="R196" s="62">
        <f t="shared" si="191"/>
        <v>840.61528210122833</v>
      </c>
      <c r="S196" s="62">
        <f ca="1">AVERAGE(OFFSET($R$3,0,0,'Données projet'!$E$9+1,1))-AVERAGE(OFFSET($H$3,0,0,'Données projet'!$E$9+1,1))</f>
        <v>352.5736659365665</v>
      </c>
      <c r="T196" s="62">
        <f t="shared" si="142"/>
        <v>343.77208530767069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0.53428929067435527</v>
      </c>
      <c r="AA196" s="23">
        <f>EXP(-LN(2)/25)*AA195+(1-EXP(-LN(2)/25))/(LN(2)/25)*Calculateur!V196*Calculateur!X196*VLOOKUP('Données projet'!$B$9,Paramètres!$A$1:$I$89,3,0)*0.475*44/12</f>
        <v>0.25845989512405387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0.79274918579840914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3.7243808037601412E-14</v>
      </c>
      <c r="AK196" s="14">
        <f t="shared" si="164"/>
        <v>6.2767589361185393E-13</v>
      </c>
      <c r="AL196" s="22">
        <f t="shared" si="165"/>
        <v>1.1580684803728015E-12</v>
      </c>
      <c r="AM196" s="62">
        <f t="shared" ref="AM196:AM203" si="193">AL196+(AD196+AE196)*44/12</f>
        <v>293.33333333333445</v>
      </c>
      <c r="AN196" s="62">
        <f ca="1">AVERAGE(OFFSET($AM$3,0,0,'Données projet'!$E$10+1,1))-AVERAGE(OFFSET($H$3,0,0,'Données projet'!$E$10+1,1))</f>
        <v>210.08998695869161</v>
      </c>
      <c r="AO196" s="62">
        <f t="shared" si="144"/>
        <v>207.30911916430881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5.4021075209458937E-26</v>
      </c>
      <c r="AX196" s="23">
        <f t="shared" si="166"/>
        <v>5.4021075209458937E-26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335.83558218229564</v>
      </c>
      <c r="BJ196" s="62">
        <f t="shared" si="146"/>
        <v>217.08423061559648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6.1336519920050602E-24</v>
      </c>
      <c r="BS196" s="24">
        <f t="shared" si="169"/>
        <v>6.1336519920050602E-24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5.6843418860808015E-14</v>
      </c>
      <c r="BZ196" s="14">
        <f>BY196*VLOOKUP('Données projet'!$B$12,Paramètres!$A$1:$I$89,3,0)*VLOOKUP('Données projet'!$B$12,Paramètres!$A$1:$I$89,5,0)</f>
        <v>4.4337866711430253E-14</v>
      </c>
      <c r="CA196" s="14">
        <f t="shared" si="170"/>
        <v>7.3222115536967035E-13</v>
      </c>
      <c r="CB196" s="22">
        <f t="shared" si="171"/>
        <v>1.3525069634579169E-12</v>
      </c>
      <c r="CC196" s="62">
        <f t="shared" ref="CC196:CC203" si="195">CB196+(BT196+BU196)*44/12</f>
        <v>293.33333333333468</v>
      </c>
      <c r="CD196" s="62">
        <f ca="1">AVERAGE(OFFSET($CC$3,0,0,'Données projet'!$E$12+1,1))-AVERAGE(OFFSET($H$3,0,0,'Données projet'!$E$12+1,1))</f>
        <v>288.82868507674738</v>
      </c>
      <c r="CE196" s="62">
        <f t="shared" si="148"/>
        <v>283.48738729114024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5.308438354732415E-2</v>
      </c>
      <c r="CM196" s="23">
        <f>EXP(-LN(2)/2)*CM195+(1-EXP(-LN(2)/2))/(LN(2)/2)*CG196*CJ196*VLOOKUP('Données projet'!$B$12,Paramètres!$A$1:$I$89,3,0)*0.475*44/12</f>
        <v>7.5446012443712076E-25</v>
      </c>
      <c r="CN196" s="24">
        <f t="shared" si="172"/>
        <v>5.308438354732415E-2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317.99999999999972</v>
      </c>
      <c r="CU196" s="18">
        <f>CT196*VLOOKUP('Données projet'!$B$13,Paramètres!$A$1:$I$89,3,0)*VLOOKUP('Données projet'!$B$13,Paramètres!$A$1:$I$89,5,0)</f>
        <v>277.80479999999983</v>
      </c>
      <c r="CV196" s="14">
        <f t="shared" si="173"/>
        <v>66.50288772038418</v>
      </c>
      <c r="CW196" s="22">
        <f t="shared" si="174"/>
        <v>599.66922277966887</v>
      </c>
      <c r="CX196" s="62">
        <f t="shared" ref="CX196:CX203" si="196">CW196+(CO196+CP196)*44/12</f>
        <v>893.00255611300213</v>
      </c>
      <c r="CY196" s="62">
        <f ca="1">AVERAGE(OFFSET($CX$3,0,0,'Données projet'!$E$13+1,1))-AVERAGE(OFFSET($H$3,0,0,'Données projet'!$E$13+1,1))</f>
        <v>383.46266660377637</v>
      </c>
      <c r="CZ196" s="62">
        <f t="shared" si="150"/>
        <v>373.1287543230714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0.17495114551176708</v>
      </c>
      <c r="DH196" s="23">
        <f>EXP(-LN(2)/2)*DH195+(1-EXP(-LN(2)/2))/(LN(2)/2)*DB196*DE196*VLOOKUP('Données projet'!$B$13,Paramètres!$A$1:$I$89,3,0)*0.475*44/12</f>
        <v>6.2106496933887879E-24</v>
      </c>
      <c r="DI196" s="24">
        <f t="shared" si="175"/>
        <v>0.17495114551176708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>
        <f>DO196*VLOOKUP('Données projet'!$B$14,Paramètres!$A$1:$I$89,3,0)*VLOOKUP('Données projet'!$B$14,Paramètres!$A$1:$I$89,5,0)</f>
        <v>0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96.56611521638132</v>
      </c>
      <c r="DU196" s="62">
        <f t="shared" si="152"/>
        <v>465.03257878814094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3.2664595804461198</v>
      </c>
      <c r="EB196" s="23">
        <f>EXP(-LN(2)/25)*EB195+(1-EXP(-LN(2)/25))/(LN(2)/25)*Calculateur!DW196*Calculateur!DY196*VLOOKUP('Données projet'!$B$14,Paramètres!$A$1:$I$89,3,0)*0.475*44/12</f>
        <v>0.20015353378208106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3.4666131142282008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317.99999999999972</v>
      </c>
      <c r="EK196" s="18">
        <f>EJ196*VLOOKUP('Données projet'!$B$15,Paramètres!$A$1:$I$89,3,0)*VLOOKUP('Données projet'!$B$15,Paramètres!$A$1:$I$89,5,0)</f>
        <v>257.96159999999981</v>
      </c>
      <c r="EL196" s="14">
        <f t="shared" si="179"/>
        <v>62.287674609742425</v>
      </c>
      <c r="EM196" s="22">
        <f t="shared" si="180"/>
        <v>557.76748661196768</v>
      </c>
      <c r="EN196" s="62">
        <f t="shared" ref="EN196:EN203" si="198">EM196+(EE196+EF196)*44/12</f>
        <v>851.10081994530105</v>
      </c>
      <c r="EO196" s="62">
        <f ca="1">AVERAGE(OFFSET($EN$3,0,0,'Données projet'!$E$15+1,1))-AVERAGE(OFFSET($H$3,0,0,'Données projet'!$E$15+1,1))</f>
        <v>358.75637627589799</v>
      </c>
      <c r="EP196" s="62">
        <f t="shared" si="154"/>
        <v>349.64821164483607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0.38314536680839617</v>
      </c>
      <c r="EW196" s="23">
        <f>EXP(-LN(2)/25)*EW195+(1-EXP(-LN(2)/25))/(LN(2)/25)*Calculateur!ER196*Calculateur!ET196*VLOOKUP('Données projet'!$B$15,Paramètres!$A$1:$I$89,3,0)*0.475*44/12</f>
        <v>0.16712897402406995</v>
      </c>
      <c r="EX196" s="23">
        <f>EXP(-LN(2)/2)*EX195+(1-EXP(-LN(2)/2))/(LN(2)/2)*ER196*EU196*VLOOKUP('Données projet'!$B$15,Paramètres!$A$1:$I$89,3,0)*0.475*44/12</f>
        <v>1.0663930337544798E-24</v>
      </c>
      <c r="EY196" s="24">
        <f t="shared" si="181"/>
        <v>0.55027434083246618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>
        <f>FE196*VLOOKUP('Données projet'!$B$16,Paramètres!$A$1:$I$89,3,0)*VLOOKUP('Données projet'!$B$16,Paramètres!$A$1:$I$89,5,0)</f>
        <v>0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121.28977654040114</v>
      </c>
      <c r="FK196" s="62">
        <f t="shared" si="156"/>
        <v>615.69585264342595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4.4010281742145203</v>
      </c>
      <c r="FR196" s="23">
        <f>EXP(-LN(2)/25)*FR195+(1-EXP(-LN(2)/25))/(LN(2)/25)*Calculateur!FM196*Calculateur!FO196*VLOOKUP('Données projet'!$B$16,Paramètres!$A$1:$I$89,3,0)*0.475*44/12</f>
        <v>0.26967464915736988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4.6707028233718901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317.99999999999972</v>
      </c>
      <c r="O197" s="14">
        <f>N197*VLOOKUP('Données projet'!$B$9,Paramètres!$A$1:$I$89,3,0)*VLOOKUP('Données projet'!$B$9,Paramètres!$A$1:$I$89,5,0)</f>
        <v>253.0007999999998</v>
      </c>
      <c r="P197" s="14">
        <f t="shared" ref="P197:P203" si="203">EXP(-1.0587+0.8836*LN(O197)+0.284)</f>
        <v>61.228070105968683</v>
      </c>
      <c r="Q197" s="22">
        <f t="shared" si="162"/>
        <v>547.28194876789507</v>
      </c>
      <c r="R197" s="62">
        <f t="shared" si="191"/>
        <v>840.61528210122833</v>
      </c>
      <c r="S197" s="62">
        <f ca="1">AVERAGE(OFFSET($R$3,0,0,'Données projet'!$E$9+1,1))-AVERAGE(OFFSET($H$3,0,0,'Données projet'!$E$9+1,1))</f>
        <v>352.5736659365665</v>
      </c>
      <c r="T197" s="62">
        <f t="shared" ref="T197:T203" si="204">$T$3</f>
        <v>343.77208530767069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0.5238122035685201</v>
      </c>
      <c r="AA197" s="23">
        <f>EXP(-LN(2)/25)*AA196+(1-EXP(-LN(2)/25))/(LN(2)/25)*Calculateur!V197*Calculateur!X197*VLOOKUP('Données projet'!$B$9,Paramètres!$A$1:$I$89,3,0)*0.475*44/12</f>
        <v>0.25139229570007143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0.77520449926859158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3.7243808037601412E-14</v>
      </c>
      <c r="AK197" s="14">
        <f t="shared" si="164"/>
        <v>6.2767589361185393E-13</v>
      </c>
      <c r="AL197" s="22">
        <f t="shared" si="165"/>
        <v>1.1580684803728015E-12</v>
      </c>
      <c r="AM197" s="62">
        <f t="shared" si="193"/>
        <v>293.33333333333445</v>
      </c>
      <c r="AN197" s="62">
        <f ca="1">AVERAGE(OFFSET($AM$3,0,0,'Données projet'!$E$10+1,1))-AVERAGE(OFFSET($H$3,0,0,'Données projet'!$E$10+1,1))</f>
        <v>210.08998695869161</v>
      </c>
      <c r="AO197" s="62">
        <f t="shared" ref="AO197:AO203" si="205">$AO$3</f>
        <v>207.30911916430881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3.8198668607596909E-26</v>
      </c>
      <c r="AX197" s="23">
        <f t="shared" si="166"/>
        <v>3.8198668607596909E-26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335.83558218229564</v>
      </c>
      <c r="BJ197" s="62">
        <f t="shared" ref="BJ197:BJ203" si="206">$BJ$3</f>
        <v>217.08423061559648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4.3371469169851534E-24</v>
      </c>
      <c r="BS197" s="24">
        <f t="shared" si="169"/>
        <v>4.3371469169851534E-24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5.6843418860808015E-14</v>
      </c>
      <c r="BZ197" s="14">
        <f>BY197*VLOOKUP('Données projet'!$B$12,Paramètres!$A$1:$I$89,3,0)*VLOOKUP('Données projet'!$B$12,Paramètres!$A$1:$I$89,5,0)</f>
        <v>4.4337866711430253E-14</v>
      </c>
      <c r="CA197" s="14">
        <f t="shared" si="170"/>
        <v>7.3222115536967035E-13</v>
      </c>
      <c r="CB197" s="22">
        <f t="shared" si="171"/>
        <v>1.3525069634579169E-12</v>
      </c>
      <c r="CC197" s="62">
        <f t="shared" si="195"/>
        <v>293.33333333333468</v>
      </c>
      <c r="CD197" s="62">
        <f ca="1">AVERAGE(OFFSET($CC$3,0,0,'Données projet'!$E$12+1,1))-AVERAGE(OFFSET($H$3,0,0,'Données projet'!$E$12+1,1))</f>
        <v>288.82868507674738</v>
      </c>
      <c r="CE197" s="62">
        <f t="shared" ref="CE197:CE203" si="207">$CE$3</f>
        <v>283.48738729114024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5.1632788287636164E-2</v>
      </c>
      <c r="CM197" s="23">
        <f>EXP(-LN(2)/2)*CM196+(1-EXP(-LN(2)/2))/(LN(2)/2)*CG197*CJ197*VLOOKUP('Données projet'!$B$12,Paramètres!$A$1:$I$89,3,0)*0.475*44/12</f>
        <v>5.3348387012433456E-25</v>
      </c>
      <c r="CN197" s="24">
        <f t="shared" si="172"/>
        <v>5.1632788287636164E-2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317.99999999999972</v>
      </c>
      <c r="CU197" s="18">
        <f>CT197*VLOOKUP('Données projet'!$B$13,Paramètres!$A$1:$I$89,3,0)*VLOOKUP('Données projet'!$B$13,Paramètres!$A$1:$I$89,5,0)</f>
        <v>277.80479999999983</v>
      </c>
      <c r="CV197" s="14">
        <f t="shared" si="173"/>
        <v>66.50288772038418</v>
      </c>
      <c r="CW197" s="22">
        <f t="shared" si="174"/>
        <v>599.66922277966887</v>
      </c>
      <c r="CX197" s="62">
        <f t="shared" si="196"/>
        <v>893.00255611300213</v>
      </c>
      <c r="CY197" s="62">
        <f ca="1">AVERAGE(OFFSET($CX$3,0,0,'Données projet'!$E$13+1,1))-AVERAGE(OFFSET($H$3,0,0,'Données projet'!$E$13+1,1))</f>
        <v>383.46266660377637</v>
      </c>
      <c r="CZ197" s="62">
        <f t="shared" ref="CZ197:CZ203" si="208">$CZ$3</f>
        <v>373.1287543230714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0.17016709723746692</v>
      </c>
      <c r="DH197" s="23">
        <f>EXP(-LN(2)/2)*DH196+(1-EXP(-LN(2)/2))/(LN(2)/2)*DB197*DE197*VLOOKUP('Données projet'!$B$13,Paramètres!$A$1:$I$89,3,0)*0.475*44/12</f>
        <v>4.3915925137693641E-24</v>
      </c>
      <c r="DI197" s="24">
        <f t="shared" si="175"/>
        <v>0.17016709723746692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>
        <f>DO197*VLOOKUP('Données projet'!$B$14,Paramètres!$A$1:$I$89,3,0)*VLOOKUP('Données projet'!$B$14,Paramètres!$A$1:$I$89,5,0)</f>
        <v>0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96.56611521638132</v>
      </c>
      <c r="DU197" s="62">
        <f t="shared" ref="DU197:DU203" si="209">$DU$3</f>
        <v>465.03257878814094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3.2024063004171879</v>
      </c>
      <c r="EB197" s="23">
        <f>EXP(-LN(2)/25)*EB196+(1-EXP(-LN(2)/25))/(LN(2)/25)*Calculateur!DW197*Calculateur!DY197*VLOOKUP('Données projet'!$B$14,Paramètres!$A$1:$I$89,3,0)*0.475*44/12</f>
        <v>0.19468032487519318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3.3970866252923813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317.99999999999972</v>
      </c>
      <c r="EK197" s="18">
        <f>EJ197*VLOOKUP('Données projet'!$B$15,Paramètres!$A$1:$I$89,3,0)*VLOOKUP('Données projet'!$B$15,Paramètres!$A$1:$I$89,5,0)</f>
        <v>257.96159999999981</v>
      </c>
      <c r="EL197" s="14">
        <f t="shared" si="179"/>
        <v>62.287674609742425</v>
      </c>
      <c r="EM197" s="22">
        <f t="shared" si="180"/>
        <v>557.76748661196768</v>
      </c>
      <c r="EN197" s="62">
        <f t="shared" si="198"/>
        <v>851.10081994530105</v>
      </c>
      <c r="EO197" s="62">
        <f ca="1">AVERAGE(OFFSET($EN$3,0,0,'Données projet'!$E$15+1,1))-AVERAGE(OFFSET($H$3,0,0,'Données projet'!$E$15+1,1))</f>
        <v>358.75637627589799</v>
      </c>
      <c r="EP197" s="62">
        <f t="shared" ref="EP197:EP203" si="210">$EP$3</f>
        <v>349.64821164483607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0.37563211986088174</v>
      </c>
      <c r="EW197" s="23">
        <f>EXP(-LN(2)/25)*EW196+(1-EXP(-LN(2)/25))/(LN(2)/25)*Calculateur!ER197*Calculateur!ET197*VLOOKUP('Données projet'!$B$15,Paramètres!$A$1:$I$89,3,0)*0.475*44/12</f>
        <v>0.162558823440451</v>
      </c>
      <c r="EX197" s="23">
        <f>EXP(-LN(2)/2)*EX196+(1-EXP(-LN(2)/2))/(LN(2)/2)*ER197*EU197*VLOOKUP('Données projet'!$B$15,Paramètres!$A$1:$I$89,3,0)*0.475*44/12</f>
        <v>7.5405374557788757E-25</v>
      </c>
      <c r="EY197" s="24">
        <f t="shared" si="181"/>
        <v>0.53819094330133277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>
        <f>FE197*VLOOKUP('Données projet'!$B$16,Paramètres!$A$1:$I$89,3,0)*VLOOKUP('Données projet'!$B$16,Paramètres!$A$1:$I$89,5,0)</f>
        <v>0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121.28977654040114</v>
      </c>
      <c r="FK197" s="62">
        <f t="shared" ref="FK197:FK203" si="211">$FK$3</f>
        <v>615.69585264342595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4.3147266960803012</v>
      </c>
      <c r="FR197" s="23">
        <f>EXP(-LN(2)/25)*FR196+(1-EXP(-LN(2)/25))/(LN(2)/25)*Calculateur!FM197*Calculateur!FO197*VLOOKUP('Données projet'!$B$16,Paramètres!$A$1:$I$89,3,0)*0.475*44/12</f>
        <v>0.26230038169458814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4.5770270777748898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317.99999999999972</v>
      </c>
      <c r="O198" s="14">
        <f>N198*VLOOKUP('Données projet'!$B$9,Paramètres!$A$1:$I$89,3,0)*VLOOKUP('Données projet'!$B$9,Paramètres!$A$1:$I$89,5,0)</f>
        <v>253.0007999999998</v>
      </c>
      <c r="P198" s="14">
        <f t="shared" si="203"/>
        <v>61.228070105968683</v>
      </c>
      <c r="Q198" s="22">
        <f t="shared" si="162"/>
        <v>547.28194876789507</v>
      </c>
      <c r="R198" s="62">
        <f t="shared" si="191"/>
        <v>840.61528210122833</v>
      </c>
      <c r="S198" s="62">
        <f ca="1">AVERAGE(OFFSET($R$3,0,0,'Données projet'!$E$9+1,1))-AVERAGE(OFFSET($H$3,0,0,'Données projet'!$E$9+1,1))</f>
        <v>352.5736659365665</v>
      </c>
      <c r="T198" s="62">
        <f t="shared" si="204"/>
        <v>343.77208530767069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0.51354056575043816</v>
      </c>
      <c r="AA198" s="23">
        <f>EXP(-LN(2)/25)*AA197+(1-EXP(-LN(2)/25))/(LN(2)/25)*Calculateur!V198*Calculateur!X198*VLOOKUP('Données projet'!$B$9,Paramètres!$A$1:$I$89,3,0)*0.475*44/12</f>
        <v>0.2445179601540067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0.75805852590444489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3.7243808037601412E-14</v>
      </c>
      <c r="AK198" s="14">
        <f t="shared" si="164"/>
        <v>6.2767589361185393E-13</v>
      </c>
      <c r="AL198" s="22">
        <f t="shared" si="165"/>
        <v>1.1580684803728015E-12</v>
      </c>
      <c r="AM198" s="62">
        <f t="shared" si="193"/>
        <v>293.33333333333445</v>
      </c>
      <c r="AN198" s="62">
        <f ca="1">AVERAGE(OFFSET($AM$3,0,0,'Données projet'!$E$10+1,1))-AVERAGE(OFFSET($H$3,0,0,'Données projet'!$E$10+1,1))</f>
        <v>210.08998695869161</v>
      </c>
      <c r="AO198" s="62">
        <f t="shared" si="205"/>
        <v>207.30911916430881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2.7010537604729469E-26</v>
      </c>
      <c r="AX198" s="23">
        <f t="shared" si="166"/>
        <v>2.7010537604729469E-26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335.83558218229564</v>
      </c>
      <c r="BJ198" s="62">
        <f t="shared" si="206"/>
        <v>217.08423061559648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3.0668259960025301E-24</v>
      </c>
      <c r="BS198" s="24">
        <f t="shared" si="169"/>
        <v>3.0668259960025301E-24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5.6843418860808015E-14</v>
      </c>
      <c r="BZ198" s="14">
        <f>BY198*VLOOKUP('Données projet'!$B$12,Paramètres!$A$1:$I$89,3,0)*VLOOKUP('Données projet'!$B$12,Paramètres!$A$1:$I$89,5,0)</f>
        <v>4.4337866711430253E-14</v>
      </c>
      <c r="CA198" s="14">
        <f t="shared" si="170"/>
        <v>7.3222115536967035E-13</v>
      </c>
      <c r="CB198" s="22">
        <f t="shared" si="171"/>
        <v>1.3525069634579169E-12</v>
      </c>
      <c r="CC198" s="62">
        <f t="shared" si="195"/>
        <v>293.33333333333468</v>
      </c>
      <c r="CD198" s="62">
        <f ca="1">AVERAGE(OFFSET($CC$3,0,0,'Données projet'!$E$12+1,1))-AVERAGE(OFFSET($H$3,0,0,'Données projet'!$E$12+1,1))</f>
        <v>288.82868507674738</v>
      </c>
      <c r="CE198" s="62">
        <f t="shared" si="207"/>
        <v>283.48738729114024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5.0220886976660425E-2</v>
      </c>
      <c r="CM198" s="23">
        <f>EXP(-LN(2)/2)*CM197+(1-EXP(-LN(2)/2))/(LN(2)/2)*CG198*CJ198*VLOOKUP('Données projet'!$B$12,Paramètres!$A$1:$I$89,3,0)*0.475*44/12</f>
        <v>3.7723006221856038E-25</v>
      </c>
      <c r="CN198" s="24">
        <f t="shared" si="172"/>
        <v>5.0220886976660425E-2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317.99999999999972</v>
      </c>
      <c r="CU198" s="18">
        <f>CT198*VLOOKUP('Données projet'!$B$13,Paramètres!$A$1:$I$89,3,0)*VLOOKUP('Données projet'!$B$13,Paramètres!$A$1:$I$89,5,0)</f>
        <v>277.80479999999983</v>
      </c>
      <c r="CV198" s="14">
        <f t="shared" si="173"/>
        <v>66.50288772038418</v>
      </c>
      <c r="CW198" s="22">
        <f t="shared" si="174"/>
        <v>599.66922277966887</v>
      </c>
      <c r="CX198" s="62">
        <f t="shared" si="196"/>
        <v>893.00255611300213</v>
      </c>
      <c r="CY198" s="62">
        <f ca="1">AVERAGE(OFFSET($CX$3,0,0,'Données projet'!$E$13+1,1))-AVERAGE(OFFSET($H$3,0,0,'Données projet'!$E$13+1,1))</f>
        <v>383.46266660377637</v>
      </c>
      <c r="CZ198" s="62">
        <f t="shared" si="208"/>
        <v>373.1287543230714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0.16551386901480966</v>
      </c>
      <c r="DH198" s="23">
        <f>EXP(-LN(2)/2)*DH197+(1-EXP(-LN(2)/2))/(LN(2)/2)*DB198*DE198*VLOOKUP('Données projet'!$B$13,Paramètres!$A$1:$I$89,3,0)*0.475*44/12</f>
        <v>3.105324846694394E-24</v>
      </c>
      <c r="DI198" s="24">
        <f t="shared" si="175"/>
        <v>0.16551386901480966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>
        <f>DO198*VLOOKUP('Données projet'!$B$14,Paramètres!$A$1:$I$89,3,0)*VLOOKUP('Données projet'!$B$14,Paramètres!$A$1:$I$89,5,0)</f>
        <v>0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96.56611521638132</v>
      </c>
      <c r="DU198" s="62">
        <f t="shared" si="209"/>
        <v>465.03257878814094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3.1396090661409803</v>
      </c>
      <c r="EB198" s="23">
        <f>EXP(-LN(2)/25)*EB197+(1-EXP(-LN(2)/25))/(LN(2)/25)*Calculateur!DW198*Calculateur!DY198*VLOOKUP('Données projet'!$B$14,Paramètres!$A$1:$I$89,3,0)*0.475*44/12</f>
        <v>0.18935678115368768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3.3289658472946679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317.99999999999972</v>
      </c>
      <c r="EK198" s="18">
        <f>EJ198*VLOOKUP('Données projet'!$B$15,Paramètres!$A$1:$I$89,3,0)*VLOOKUP('Données projet'!$B$15,Paramètres!$A$1:$I$89,5,0)</f>
        <v>257.96159999999981</v>
      </c>
      <c r="EL198" s="14">
        <f t="shared" si="179"/>
        <v>62.287674609742425</v>
      </c>
      <c r="EM198" s="22">
        <f t="shared" si="180"/>
        <v>557.76748661196768</v>
      </c>
      <c r="EN198" s="62">
        <f t="shared" si="198"/>
        <v>851.10081994530105</v>
      </c>
      <c r="EO198" s="62">
        <f ca="1">AVERAGE(OFFSET($EN$3,0,0,'Données projet'!$E$15+1,1))-AVERAGE(OFFSET($H$3,0,0,'Données projet'!$E$15+1,1))</f>
        <v>358.75637627589799</v>
      </c>
      <c r="EP198" s="62">
        <f t="shared" si="210"/>
        <v>349.64821164483607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0.36826620310337993</v>
      </c>
      <c r="EW198" s="23">
        <f>EXP(-LN(2)/25)*EW197+(1-EXP(-LN(2)/25))/(LN(2)/25)*Calculateur!ER198*Calculateur!ET198*VLOOKUP('Données projet'!$B$15,Paramètres!$A$1:$I$89,3,0)*0.475*44/12</f>
        <v>0.15811364386487486</v>
      </c>
      <c r="EX198" s="23">
        <f>EXP(-LN(2)/2)*EX197+(1-EXP(-LN(2)/2))/(LN(2)/2)*ER198*EU198*VLOOKUP('Données projet'!$B$15,Paramètres!$A$1:$I$89,3,0)*0.475*44/12</f>
        <v>5.3319651687723992E-25</v>
      </c>
      <c r="EY198" s="24">
        <f t="shared" si="181"/>
        <v>0.52637984696825479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>
        <f>FE198*VLOOKUP('Données projet'!$B$16,Paramètres!$A$1:$I$89,3,0)*VLOOKUP('Données projet'!$B$16,Paramètres!$A$1:$I$89,5,0)</f>
        <v>0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121.28977654040114</v>
      </c>
      <c r="FK198" s="62">
        <f t="shared" si="211"/>
        <v>615.69585264342595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4.23011753729359</v>
      </c>
      <c r="FR198" s="23">
        <f>EXP(-LN(2)/25)*FR197+(1-EXP(-LN(2)/25))/(LN(2)/25)*Calculateur!FM198*Calculateur!FO198*VLOOKUP('Données projet'!$B$16,Paramètres!$A$1:$I$89,3,0)*0.475*44/12</f>
        <v>0.25512776396337206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4.4852453012569624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317.99999999999972</v>
      </c>
      <c r="O199" s="14">
        <f>N199*VLOOKUP('Données projet'!$B$9,Paramètres!$A$1:$I$89,3,0)*VLOOKUP('Données projet'!$B$9,Paramètres!$A$1:$I$89,5,0)</f>
        <v>253.0007999999998</v>
      </c>
      <c r="P199" s="14">
        <f t="shared" si="203"/>
        <v>61.228070105968683</v>
      </c>
      <c r="Q199" s="22">
        <f t="shared" si="162"/>
        <v>547.28194876789507</v>
      </c>
      <c r="R199" s="62">
        <f t="shared" si="191"/>
        <v>840.61528210122833</v>
      </c>
      <c r="S199" s="62">
        <f ca="1">AVERAGE(OFFSET($R$3,0,0,'Données projet'!$E$9+1,1))-AVERAGE(OFFSET($H$3,0,0,'Données projet'!$E$9+1,1))</f>
        <v>352.5736659365665</v>
      </c>
      <c r="T199" s="62">
        <f t="shared" si="204"/>
        <v>343.77208530767069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0.50347034848488836</v>
      </c>
      <c r="AA199" s="23">
        <f>EXP(-LN(2)/25)*AA198+(1-EXP(-LN(2)/25))/(LN(2)/25)*Calculateur!V199*Calculateur!X199*VLOOKUP('Données projet'!$B$9,Paramètres!$A$1:$I$89,3,0)*0.475*44/12</f>
        <v>0.23783160367495471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0.74130195215984307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3.7243808037601412E-14</v>
      </c>
      <c r="AK199" s="14">
        <f t="shared" si="164"/>
        <v>6.2767589361185393E-13</v>
      </c>
      <c r="AL199" s="22">
        <f t="shared" si="165"/>
        <v>1.1580684803728015E-12</v>
      </c>
      <c r="AM199" s="62">
        <f t="shared" si="193"/>
        <v>293.33333333333445</v>
      </c>
      <c r="AN199" s="62">
        <f ca="1">AVERAGE(OFFSET($AM$3,0,0,'Données projet'!$E$10+1,1))-AVERAGE(OFFSET($H$3,0,0,'Données projet'!$E$10+1,1))</f>
        <v>210.08998695869161</v>
      </c>
      <c r="AO199" s="62">
        <f t="shared" si="205"/>
        <v>207.30911916430881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1.9099334303798455E-26</v>
      </c>
      <c r="AX199" s="23">
        <f t="shared" si="166"/>
        <v>1.9099334303798455E-26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335.83558218229564</v>
      </c>
      <c r="BJ199" s="62">
        <f t="shared" si="206"/>
        <v>217.08423061559648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2.1685734584925767E-24</v>
      </c>
      <c r="BS199" s="24">
        <f t="shared" si="169"/>
        <v>2.1685734584925767E-24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5.6843418860808015E-14</v>
      </c>
      <c r="BZ199" s="14">
        <f>BY199*VLOOKUP('Données projet'!$B$12,Paramètres!$A$1:$I$89,3,0)*VLOOKUP('Données projet'!$B$12,Paramètres!$A$1:$I$89,5,0)</f>
        <v>4.4337866711430253E-14</v>
      </c>
      <c r="CA199" s="14">
        <f t="shared" si="170"/>
        <v>7.3222115536967035E-13</v>
      </c>
      <c r="CB199" s="22">
        <f t="shared" si="171"/>
        <v>1.3525069634579169E-12</v>
      </c>
      <c r="CC199" s="62">
        <f t="shared" si="195"/>
        <v>293.33333333333468</v>
      </c>
      <c r="CD199" s="62">
        <f ca="1">AVERAGE(OFFSET($CC$3,0,0,'Données projet'!$E$12+1,1))-AVERAGE(OFFSET($H$3,0,0,'Données projet'!$E$12+1,1))</f>
        <v>288.82868507674738</v>
      </c>
      <c r="CE199" s="62">
        <f t="shared" si="207"/>
        <v>283.48738729114024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4.8847594181281984E-2</v>
      </c>
      <c r="CM199" s="23">
        <f>EXP(-LN(2)/2)*CM198+(1-EXP(-LN(2)/2))/(LN(2)/2)*CG199*CJ199*VLOOKUP('Données projet'!$B$12,Paramètres!$A$1:$I$89,3,0)*0.475*44/12</f>
        <v>2.6674193506216728E-25</v>
      </c>
      <c r="CN199" s="24">
        <f t="shared" si="172"/>
        <v>4.8847594181281984E-2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317.99999999999972</v>
      </c>
      <c r="CU199" s="18">
        <f>CT199*VLOOKUP('Données projet'!$B$13,Paramètres!$A$1:$I$89,3,0)*VLOOKUP('Données projet'!$B$13,Paramètres!$A$1:$I$89,5,0)</f>
        <v>277.80479999999983</v>
      </c>
      <c r="CV199" s="14">
        <f t="shared" si="173"/>
        <v>66.50288772038418</v>
      </c>
      <c r="CW199" s="22">
        <f t="shared" si="174"/>
        <v>599.66922277966887</v>
      </c>
      <c r="CX199" s="62">
        <f t="shared" si="196"/>
        <v>893.00255611300213</v>
      </c>
      <c r="CY199" s="62">
        <f ca="1">AVERAGE(OFFSET($CX$3,0,0,'Données projet'!$E$13+1,1))-AVERAGE(OFFSET($H$3,0,0,'Données projet'!$E$13+1,1))</f>
        <v>383.46266660377637</v>
      </c>
      <c r="CZ199" s="62">
        <f t="shared" si="208"/>
        <v>373.1287543230714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0.1609878835626036</v>
      </c>
      <c r="DH199" s="23">
        <f>EXP(-LN(2)/2)*DH198+(1-EXP(-LN(2)/2))/(LN(2)/2)*DB199*DE199*VLOOKUP('Données projet'!$B$13,Paramètres!$A$1:$I$89,3,0)*0.475*44/12</f>
        <v>2.195796256884682E-24</v>
      </c>
      <c r="DI199" s="24">
        <f t="shared" si="175"/>
        <v>0.1609878835626036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>
        <f>DO199*VLOOKUP('Données projet'!$B$14,Paramètres!$A$1:$I$89,3,0)*VLOOKUP('Données projet'!$B$14,Paramètres!$A$1:$I$89,5,0)</f>
        <v>0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96.56611521638132</v>
      </c>
      <c r="DU199" s="62">
        <f t="shared" si="209"/>
        <v>465.03257878814094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3.0780432473263981</v>
      </c>
      <c r="EB199" s="23">
        <f>EXP(-LN(2)/25)*EB198+(1-EXP(-LN(2)/25))/(LN(2)/25)*Calculateur!DW199*Calculateur!DY199*VLOOKUP('Données projet'!$B$14,Paramètres!$A$1:$I$89,3,0)*0.475*44/12</f>
        <v>0.18417881001519976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3.2622220573415976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317.99999999999972</v>
      </c>
      <c r="EK199" s="18">
        <f>EJ199*VLOOKUP('Données projet'!$B$15,Paramètres!$A$1:$I$89,3,0)*VLOOKUP('Données projet'!$B$15,Paramètres!$A$1:$I$89,5,0)</f>
        <v>257.96159999999981</v>
      </c>
      <c r="EL199" s="14">
        <f t="shared" si="179"/>
        <v>62.287674609742425</v>
      </c>
      <c r="EM199" s="22">
        <f t="shared" si="180"/>
        <v>557.76748661196768</v>
      </c>
      <c r="EN199" s="62">
        <f t="shared" si="198"/>
        <v>851.10081994530105</v>
      </c>
      <c r="EO199" s="62">
        <f ca="1">AVERAGE(OFFSET($EN$3,0,0,'Données projet'!$E$15+1,1))-AVERAGE(OFFSET($H$3,0,0,'Données projet'!$E$15+1,1))</f>
        <v>358.75637627589799</v>
      </c>
      <c r="EP199" s="62">
        <f t="shared" si="210"/>
        <v>349.64821164483607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0.36104472748072713</v>
      </c>
      <c r="EW199" s="23">
        <f>EXP(-LN(2)/25)*EW198+(1-EXP(-LN(2)/25))/(LN(2)/25)*Calculateur!ER199*Calculateur!ET199*VLOOKUP('Données projet'!$B$15,Paramètres!$A$1:$I$89,3,0)*0.475*44/12</f>
        <v>0.15379001795855471</v>
      </c>
      <c r="EX199" s="23">
        <f>EXP(-LN(2)/2)*EX198+(1-EXP(-LN(2)/2))/(LN(2)/2)*ER199*EU199*VLOOKUP('Données projet'!$B$15,Paramètres!$A$1:$I$89,3,0)*0.475*44/12</f>
        <v>3.7702687278894379E-25</v>
      </c>
      <c r="EY199" s="24">
        <f t="shared" si="181"/>
        <v>0.51483474543928187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>
        <f>FE199*VLOOKUP('Données projet'!$B$16,Paramètres!$A$1:$I$89,3,0)*VLOOKUP('Données projet'!$B$16,Paramètres!$A$1:$I$89,5,0)</f>
        <v>0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121.28977654040114</v>
      </c>
      <c r="FK199" s="62">
        <f t="shared" si="211"/>
        <v>615.69585264342595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4.1471675125041951</v>
      </c>
      <c r="FR199" s="23">
        <f>EXP(-LN(2)/25)*FR198+(1-EXP(-LN(2)/25))/(LN(2)/25)*Calculateur!FM199*Calculateur!FO199*VLOOKUP('Données projet'!$B$16,Paramètres!$A$1:$I$89,3,0)*0.475*44/12</f>
        <v>0.24815128184120763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4.3953187943454024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317.99999999999972</v>
      </c>
      <c r="O200" s="14">
        <f>N200*VLOOKUP('Données projet'!$B$9,Paramètres!$A$1:$I$89,3,0)*VLOOKUP('Données projet'!$B$9,Paramètres!$A$1:$I$89,5,0)</f>
        <v>253.0007999999998</v>
      </c>
      <c r="P200" s="14">
        <f t="shared" si="203"/>
        <v>61.228070105968683</v>
      </c>
      <c r="Q200" s="22">
        <f t="shared" si="162"/>
        <v>547.28194876789507</v>
      </c>
      <c r="R200" s="62">
        <f t="shared" si="191"/>
        <v>840.61528210122833</v>
      </c>
      <c r="S200" s="62">
        <f ca="1">AVERAGE(OFFSET($R$3,0,0,'Données projet'!$E$9+1,1))-AVERAGE(OFFSET($H$3,0,0,'Données projet'!$E$9+1,1))</f>
        <v>352.5736659365665</v>
      </c>
      <c r="T200" s="62">
        <f t="shared" si="204"/>
        <v>343.77208530767069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0.49359760203768999</v>
      </c>
      <c r="AA200" s="23">
        <f>EXP(-LN(2)/25)*AA199+(1-EXP(-LN(2)/25))/(LN(2)/25)*Calculateur!V200*Calculateur!X200*VLOOKUP('Données projet'!$B$9,Paramètres!$A$1:$I$89,3,0)*0.475*44/12</f>
        <v>0.2313280859654426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0.72492568800313262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3.7243808037601412E-14</v>
      </c>
      <c r="AK200" s="14">
        <f t="shared" si="164"/>
        <v>6.2767589361185393E-13</v>
      </c>
      <c r="AL200" s="22">
        <f t="shared" si="165"/>
        <v>1.1580684803728015E-12</v>
      </c>
      <c r="AM200" s="62">
        <f t="shared" si="193"/>
        <v>293.33333333333445</v>
      </c>
      <c r="AN200" s="62">
        <f ca="1">AVERAGE(OFFSET($AM$3,0,0,'Données projet'!$E$10+1,1))-AVERAGE(OFFSET($H$3,0,0,'Données projet'!$E$10+1,1))</f>
        <v>210.08998695869161</v>
      </c>
      <c r="AO200" s="62">
        <f t="shared" si="205"/>
        <v>207.30911916430881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1.3505268802364734E-26</v>
      </c>
      <c r="AX200" s="23">
        <f t="shared" si="166"/>
        <v>1.3505268802364734E-26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335.83558218229564</v>
      </c>
      <c r="BJ200" s="62">
        <f t="shared" si="206"/>
        <v>217.08423061559648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1.533412998001265E-24</v>
      </c>
      <c r="BS200" s="24">
        <f t="shared" si="169"/>
        <v>1.533412998001265E-24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5.6843418860808015E-14</v>
      </c>
      <c r="BZ200" s="14">
        <f>BY200*VLOOKUP('Données projet'!$B$12,Paramètres!$A$1:$I$89,3,0)*VLOOKUP('Données projet'!$B$12,Paramètres!$A$1:$I$89,5,0)</f>
        <v>4.4337866711430253E-14</v>
      </c>
      <c r="CA200" s="14">
        <f t="shared" si="170"/>
        <v>7.3222115536967035E-13</v>
      </c>
      <c r="CB200" s="22">
        <f t="shared" si="171"/>
        <v>1.3525069634579169E-12</v>
      </c>
      <c r="CC200" s="62">
        <f t="shared" si="195"/>
        <v>293.33333333333468</v>
      </c>
      <c r="CD200" s="62">
        <f ca="1">AVERAGE(OFFSET($CC$3,0,0,'Données projet'!$E$12+1,1))-AVERAGE(OFFSET($H$3,0,0,'Données projet'!$E$12+1,1))</f>
        <v>288.82868507674738</v>
      </c>
      <c r="CE200" s="62">
        <f t="shared" si="207"/>
        <v>283.48738729114024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4.7511854149611489E-2</v>
      </c>
      <c r="CM200" s="23">
        <f>EXP(-LN(2)/2)*CM199+(1-EXP(-LN(2)/2))/(LN(2)/2)*CG200*CJ200*VLOOKUP('Données projet'!$B$12,Paramètres!$A$1:$I$89,3,0)*0.475*44/12</f>
        <v>1.8861503110928019E-25</v>
      </c>
      <c r="CN200" s="24">
        <f t="shared" si="172"/>
        <v>4.7511854149611489E-2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317.99999999999972</v>
      </c>
      <c r="CU200" s="18">
        <f>CT200*VLOOKUP('Données projet'!$B$13,Paramètres!$A$1:$I$89,3,0)*VLOOKUP('Données projet'!$B$13,Paramètres!$A$1:$I$89,5,0)</f>
        <v>277.80479999999983</v>
      </c>
      <c r="CV200" s="14">
        <f t="shared" si="173"/>
        <v>66.50288772038418</v>
      </c>
      <c r="CW200" s="22">
        <f t="shared" si="174"/>
        <v>599.66922277966887</v>
      </c>
      <c r="CX200" s="62">
        <f t="shared" si="196"/>
        <v>893.00255611300213</v>
      </c>
      <c r="CY200" s="62">
        <f ca="1">AVERAGE(OFFSET($CX$3,0,0,'Données projet'!$E$13+1,1))-AVERAGE(OFFSET($H$3,0,0,'Données projet'!$E$13+1,1))</f>
        <v>383.46266660377637</v>
      </c>
      <c r="CZ200" s="62">
        <f t="shared" si="208"/>
        <v>373.1287543230714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0.15658566142059935</v>
      </c>
      <c r="DH200" s="23">
        <f>EXP(-LN(2)/2)*DH199+(1-EXP(-LN(2)/2))/(LN(2)/2)*DB200*DE200*VLOOKUP('Données projet'!$B$13,Paramètres!$A$1:$I$89,3,0)*0.475*44/12</f>
        <v>1.552662423347197E-24</v>
      </c>
      <c r="DI200" s="24">
        <f t="shared" si="175"/>
        <v>0.15658566142059935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>
        <f>DO200*VLOOKUP('Données projet'!$B$14,Paramètres!$A$1:$I$89,3,0)*VLOOKUP('Données projet'!$B$14,Paramètres!$A$1:$I$89,5,0)</f>
        <v>0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96.56611521638132</v>
      </c>
      <c r="DU200" s="62">
        <f t="shared" si="209"/>
        <v>465.03257878814094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3.0176846966673283</v>
      </c>
      <c r="EB200" s="23">
        <f>EXP(-LN(2)/25)*EB199+(1-EXP(-LN(2)/25))/(LN(2)/25)*Calculateur!DW200*Calculateur!DY200*VLOOKUP('Données projet'!$B$14,Paramètres!$A$1:$I$89,3,0)*0.475*44/12</f>
        <v>0.17914243076979144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3.1968271274371198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317.99999999999972</v>
      </c>
      <c r="EK200" s="18">
        <f>EJ200*VLOOKUP('Données projet'!$B$15,Paramètres!$A$1:$I$89,3,0)*VLOOKUP('Données projet'!$B$15,Paramètres!$A$1:$I$89,5,0)</f>
        <v>257.96159999999981</v>
      </c>
      <c r="EL200" s="14">
        <f t="shared" si="179"/>
        <v>62.287674609742425</v>
      </c>
      <c r="EM200" s="22">
        <f t="shared" si="180"/>
        <v>557.76748661196768</v>
      </c>
      <c r="EN200" s="62">
        <f t="shared" si="198"/>
        <v>851.10081994530105</v>
      </c>
      <c r="EO200" s="62">
        <f ca="1">AVERAGE(OFFSET($EN$3,0,0,'Données projet'!$E$15+1,1))-AVERAGE(OFFSET($H$3,0,0,'Données projet'!$E$15+1,1))</f>
        <v>358.75637627589799</v>
      </c>
      <c r="EP200" s="62">
        <f t="shared" si="210"/>
        <v>349.64821164483607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0.35396486059036936</v>
      </c>
      <c r="EW200" s="23">
        <f>EXP(-LN(2)/25)*EW199+(1-EXP(-LN(2)/25))/(LN(2)/25)*Calculateur!ER200*Calculateur!ET200*VLOOKUP('Données projet'!$B$15,Paramètres!$A$1:$I$89,3,0)*0.475*44/12</f>
        <v>0.14958462183001248</v>
      </c>
      <c r="EX200" s="23">
        <f>EXP(-LN(2)/2)*EX199+(1-EXP(-LN(2)/2))/(LN(2)/2)*ER200*EU200*VLOOKUP('Données projet'!$B$15,Paramètres!$A$1:$I$89,3,0)*0.475*44/12</f>
        <v>2.6659825843861996E-25</v>
      </c>
      <c r="EY200" s="24">
        <f t="shared" si="181"/>
        <v>0.50354948242038189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>
        <f>FE200*VLOOKUP('Données projet'!$B$16,Paramètres!$A$1:$I$89,3,0)*VLOOKUP('Données projet'!$B$16,Paramètres!$A$1:$I$89,5,0)</f>
        <v>0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121.28977654040114</v>
      </c>
      <c r="FK200" s="62">
        <f t="shared" si="211"/>
        <v>615.69585264342595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4.0658440871064006</v>
      </c>
      <c r="FR200" s="23">
        <f>EXP(-LN(2)/25)*FR199+(1-EXP(-LN(2)/25))/(LN(2)/25)*Calculateur!FM200*Calculateur!FO200*VLOOKUP('Données projet'!$B$16,Paramètres!$A$1:$I$89,3,0)*0.475*44/12</f>
        <v>0.24136557198955105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4.3072096590959514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317.99999999999972</v>
      </c>
      <c r="O201" s="14">
        <f>N201*VLOOKUP('Données projet'!$B$9,Paramètres!$A$1:$I$89,3,0)*VLOOKUP('Données projet'!$B$9,Paramètres!$A$1:$I$89,5,0)</f>
        <v>253.0007999999998</v>
      </c>
      <c r="P201" s="14">
        <f t="shared" si="203"/>
        <v>61.228070105968683</v>
      </c>
      <c r="Q201" s="22">
        <f t="shared" si="162"/>
        <v>547.28194876789507</v>
      </c>
      <c r="R201" s="62">
        <f t="shared" si="191"/>
        <v>840.61528210122833</v>
      </c>
      <c r="S201" s="62">
        <f ca="1">AVERAGE(OFFSET($R$3,0,0,'Données projet'!$E$9+1,1))-AVERAGE(OFFSET($H$3,0,0,'Données projet'!$E$9+1,1))</f>
        <v>352.5736659365665</v>
      </c>
      <c r="T201" s="62">
        <f t="shared" si="204"/>
        <v>343.77208530767069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0.48391845412654044</v>
      </c>
      <c r="AA201" s="23">
        <f>EXP(-LN(2)/25)*AA200+(1-EXP(-LN(2)/25))/(LN(2)/25)*Calculateur!V201*Calculateur!X201*VLOOKUP('Données projet'!$B$9,Paramètres!$A$1:$I$89,3,0)*0.475*44/12</f>
        <v>0.22500240728970225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0.70892086141624266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3.7243808037601412E-14</v>
      </c>
      <c r="AK201" s="14">
        <f t="shared" si="164"/>
        <v>6.2767589361185393E-13</v>
      </c>
      <c r="AL201" s="22">
        <f t="shared" si="165"/>
        <v>1.1580684803728015E-12</v>
      </c>
      <c r="AM201" s="62">
        <f t="shared" si="193"/>
        <v>293.33333333333445</v>
      </c>
      <c r="AN201" s="62">
        <f ca="1">AVERAGE(OFFSET($AM$3,0,0,'Données projet'!$E$10+1,1))-AVERAGE(OFFSET($H$3,0,0,'Données projet'!$E$10+1,1))</f>
        <v>210.08998695869161</v>
      </c>
      <c r="AO201" s="62">
        <f t="shared" si="205"/>
        <v>207.30911916430881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9.5496671518992273E-27</v>
      </c>
      <c r="AX201" s="23">
        <f t="shared" si="166"/>
        <v>9.5496671518992273E-27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335.83558218229564</v>
      </c>
      <c r="BJ201" s="62">
        <f t="shared" si="206"/>
        <v>217.08423061559648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1.0842867292462883E-24</v>
      </c>
      <c r="BS201" s="24">
        <f t="shared" si="169"/>
        <v>1.0842867292462883E-24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5.6843418860808015E-14</v>
      </c>
      <c r="BZ201" s="14">
        <f>BY201*VLOOKUP('Données projet'!$B$12,Paramètres!$A$1:$I$89,3,0)*VLOOKUP('Données projet'!$B$12,Paramètres!$A$1:$I$89,5,0)</f>
        <v>4.4337866711430253E-14</v>
      </c>
      <c r="CA201" s="14">
        <f t="shared" si="170"/>
        <v>7.3222115536967035E-13</v>
      </c>
      <c r="CB201" s="22">
        <f t="shared" si="171"/>
        <v>1.3525069634579169E-12</v>
      </c>
      <c r="CC201" s="62">
        <f t="shared" si="195"/>
        <v>293.33333333333468</v>
      </c>
      <c r="CD201" s="62">
        <f ca="1">AVERAGE(OFFSET($CC$3,0,0,'Données projet'!$E$12+1,1))-AVERAGE(OFFSET($H$3,0,0,'Données projet'!$E$12+1,1))</f>
        <v>288.82868507674738</v>
      </c>
      <c r="CE201" s="62">
        <f t="shared" si="207"/>
        <v>283.48738729114024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4.621263999935054E-2</v>
      </c>
      <c r="CM201" s="23">
        <f>EXP(-LN(2)/2)*CM200+(1-EXP(-LN(2)/2))/(LN(2)/2)*CG201*CJ201*VLOOKUP('Données projet'!$B$12,Paramètres!$A$1:$I$89,3,0)*0.475*44/12</f>
        <v>1.3337096753108364E-25</v>
      </c>
      <c r="CN201" s="24">
        <f t="shared" si="172"/>
        <v>4.621263999935054E-2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317.99999999999972</v>
      </c>
      <c r="CU201" s="18">
        <f>CT201*VLOOKUP('Données projet'!$B$13,Paramètres!$A$1:$I$89,3,0)*VLOOKUP('Données projet'!$B$13,Paramètres!$A$1:$I$89,5,0)</f>
        <v>277.80479999999983</v>
      </c>
      <c r="CV201" s="14">
        <f t="shared" si="173"/>
        <v>66.50288772038418</v>
      </c>
      <c r="CW201" s="22">
        <f t="shared" si="174"/>
        <v>599.66922277966887</v>
      </c>
      <c r="CX201" s="62">
        <f t="shared" si="196"/>
        <v>893.00255611300213</v>
      </c>
      <c r="CY201" s="62">
        <f ca="1">AVERAGE(OFFSET($CX$3,0,0,'Données projet'!$E$13+1,1))-AVERAGE(OFFSET($H$3,0,0,'Données projet'!$E$13+1,1))</f>
        <v>383.46266660377637</v>
      </c>
      <c r="CZ201" s="62">
        <f t="shared" si="208"/>
        <v>373.1287543230714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0.15230381827457101</v>
      </c>
      <c r="DH201" s="23">
        <f>EXP(-LN(2)/2)*DH200+(1-EXP(-LN(2)/2))/(LN(2)/2)*DB201*DE201*VLOOKUP('Données projet'!$B$13,Paramètres!$A$1:$I$89,3,0)*0.475*44/12</f>
        <v>1.097898128442341E-24</v>
      </c>
      <c r="DI201" s="24">
        <f t="shared" si="175"/>
        <v>0.15230381827457101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>
        <f>DO201*VLOOKUP('Données projet'!$B$14,Paramètres!$A$1:$I$89,3,0)*VLOOKUP('Données projet'!$B$14,Paramètres!$A$1:$I$89,5,0)</f>
        <v>0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96.56611521638132</v>
      </c>
      <c r="DU201" s="62">
        <f t="shared" si="209"/>
        <v>465.03257878814094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2.9585097403716021</v>
      </c>
      <c r="EB201" s="23">
        <f>EXP(-LN(2)/25)*EB200+(1-EXP(-LN(2)/25))/(LN(2)/25)*Calculateur!DW201*Calculateur!DY201*VLOOKUP('Données projet'!$B$14,Paramètres!$A$1:$I$89,3,0)*0.475*44/12</f>
        <v>0.1742437715797005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3.1327535119513028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317.99999999999972</v>
      </c>
      <c r="EK201" s="18">
        <f>EJ201*VLOOKUP('Données projet'!$B$15,Paramètres!$A$1:$I$89,3,0)*VLOOKUP('Données projet'!$B$15,Paramètres!$A$1:$I$89,5,0)</f>
        <v>257.96159999999981</v>
      </c>
      <c r="EL201" s="14">
        <f t="shared" si="179"/>
        <v>62.287674609742425</v>
      </c>
      <c r="EM201" s="22">
        <f t="shared" si="180"/>
        <v>557.76748661196768</v>
      </c>
      <c r="EN201" s="62">
        <f t="shared" si="198"/>
        <v>851.10081994530105</v>
      </c>
      <c r="EO201" s="62">
        <f ca="1">AVERAGE(OFFSET($EN$3,0,0,'Données projet'!$E$15+1,1))-AVERAGE(OFFSET($H$3,0,0,'Données projet'!$E$15+1,1))</f>
        <v>358.75637627589799</v>
      </c>
      <c r="EP201" s="62">
        <f t="shared" si="210"/>
        <v>349.64821164483607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0.34702382557143907</v>
      </c>
      <c r="EW201" s="23">
        <f>EXP(-LN(2)/25)*EW200+(1-EXP(-LN(2)/25))/(LN(2)/25)*Calculateur!ER201*Calculateur!ET201*VLOOKUP('Données projet'!$B$15,Paramètres!$A$1:$I$89,3,0)*0.475*44/12</f>
        <v>0.14549422247975741</v>
      </c>
      <c r="EX201" s="23">
        <f>EXP(-LN(2)/2)*EX200+(1-EXP(-LN(2)/2))/(LN(2)/2)*ER201*EU201*VLOOKUP('Données projet'!$B$15,Paramètres!$A$1:$I$89,3,0)*0.475*44/12</f>
        <v>1.8851343639447189E-25</v>
      </c>
      <c r="EY201" s="24">
        <f t="shared" si="181"/>
        <v>0.49251804805119648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>
        <f>FE201*VLOOKUP('Données projet'!$B$16,Paramètres!$A$1:$I$89,3,0)*VLOOKUP('Données projet'!$B$16,Paramètres!$A$1:$I$89,5,0)</f>
        <v>0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121.28977654040114</v>
      </c>
      <c r="FK201" s="62">
        <f t="shared" si="211"/>
        <v>615.69585264342595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3.9861153644782652</v>
      </c>
      <c r="FR201" s="23">
        <f>EXP(-LN(2)/25)*FR200+(1-EXP(-LN(2)/25))/(LN(2)/25)*Calculateur!FM201*Calculateur!FO201*VLOOKUP('Données projet'!$B$16,Paramètres!$A$1:$I$89,3,0)*0.475*44/12</f>
        <v>0.234765417730633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4.2208807822088978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317.99999999999972</v>
      </c>
      <c r="O202" s="14">
        <f>N202*VLOOKUP('Données projet'!$B$9,Paramètres!$A$1:$I$89,3,0)*VLOOKUP('Données projet'!$B$9,Paramètres!$A$1:$I$89,5,0)</f>
        <v>253.0007999999998</v>
      </c>
      <c r="P202" s="14">
        <f t="shared" si="203"/>
        <v>61.228070105968683</v>
      </c>
      <c r="Q202" s="22">
        <f t="shared" si="162"/>
        <v>547.28194876789507</v>
      </c>
      <c r="R202" s="62">
        <f t="shared" si="191"/>
        <v>840.61528210122833</v>
      </c>
      <c r="S202" s="62">
        <f ca="1">AVERAGE(OFFSET($R$3,0,0,'Données projet'!$E$9+1,1))-AVERAGE(OFFSET($H$3,0,0,'Données projet'!$E$9+1,1))</f>
        <v>352.5736659365665</v>
      </c>
      <c r="T202" s="62">
        <f t="shared" si="204"/>
        <v>343.77208530767069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0.47442910840223124</v>
      </c>
      <c r="AA202" s="23">
        <f>EXP(-LN(2)/25)*AA201+(1-EXP(-LN(2)/25))/(LN(2)/25)*Calculateur!V202*Calculateur!X202*VLOOKUP('Données projet'!$B$9,Paramètres!$A$1:$I$89,3,0)*0.475*44/12</f>
        <v>0.218849704630003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0.69327881303223426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3.7243808037601412E-14</v>
      </c>
      <c r="AK202" s="14">
        <f t="shared" si="164"/>
        <v>6.2767589361185393E-13</v>
      </c>
      <c r="AL202" s="22">
        <f t="shared" si="165"/>
        <v>1.1580684803728015E-12</v>
      </c>
      <c r="AM202" s="62">
        <f t="shared" si="193"/>
        <v>293.33333333333445</v>
      </c>
      <c r="AN202" s="62">
        <f ca="1">AVERAGE(OFFSET($AM$3,0,0,'Données projet'!$E$10+1,1))-AVERAGE(OFFSET($H$3,0,0,'Données projet'!$E$10+1,1))</f>
        <v>210.08998695869161</v>
      </c>
      <c r="AO202" s="62">
        <f t="shared" si="205"/>
        <v>207.30911916430881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6.7526344011823672E-27</v>
      </c>
      <c r="AX202" s="23">
        <f t="shared" si="166"/>
        <v>6.7526344011823672E-27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335.83558218229564</v>
      </c>
      <c r="BJ202" s="62">
        <f t="shared" si="206"/>
        <v>217.08423061559648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7.6670649900063252E-25</v>
      </c>
      <c r="BS202" s="24">
        <f t="shared" si="169"/>
        <v>7.6670649900063252E-25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5.6843418860808015E-14</v>
      </c>
      <c r="BZ202" s="14">
        <f>BY202*VLOOKUP('Données projet'!$B$12,Paramètres!$A$1:$I$89,3,0)*VLOOKUP('Données projet'!$B$12,Paramètres!$A$1:$I$89,5,0)</f>
        <v>4.4337866711430253E-14</v>
      </c>
      <c r="CA202" s="14">
        <f t="shared" si="170"/>
        <v>7.3222115536967035E-13</v>
      </c>
      <c r="CB202" s="22">
        <f t="shared" si="171"/>
        <v>1.3525069634579169E-12</v>
      </c>
      <c r="CC202" s="62">
        <f t="shared" si="195"/>
        <v>293.33333333333468</v>
      </c>
      <c r="CD202" s="62">
        <f ca="1">AVERAGE(OFFSET($CC$3,0,0,'Données projet'!$E$12+1,1))-AVERAGE(OFFSET($H$3,0,0,'Données projet'!$E$12+1,1))</f>
        <v>288.82868507674738</v>
      </c>
      <c r="CE202" s="62">
        <f t="shared" si="207"/>
        <v>283.48738729114024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4.4948952928351181E-2</v>
      </c>
      <c r="CM202" s="23">
        <f>EXP(-LN(2)/2)*CM201+(1-EXP(-LN(2)/2))/(LN(2)/2)*CG202*CJ202*VLOOKUP('Données projet'!$B$12,Paramètres!$A$1:$I$89,3,0)*0.475*44/12</f>
        <v>9.4307515554640095E-26</v>
      </c>
      <c r="CN202" s="24">
        <f t="shared" si="172"/>
        <v>4.4948952928351181E-2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317.99999999999972</v>
      </c>
      <c r="CU202" s="18">
        <f>CT202*VLOOKUP('Données projet'!$B$13,Paramètres!$A$1:$I$89,3,0)*VLOOKUP('Données projet'!$B$13,Paramètres!$A$1:$I$89,5,0)</f>
        <v>277.80479999999983</v>
      </c>
      <c r="CV202" s="14">
        <f t="shared" si="173"/>
        <v>66.50288772038418</v>
      </c>
      <c r="CW202" s="22">
        <f t="shared" si="174"/>
        <v>599.66922277966887</v>
      </c>
      <c r="CX202" s="62">
        <f t="shared" si="196"/>
        <v>893.00255611300213</v>
      </c>
      <c r="CY202" s="62">
        <f ca="1">AVERAGE(OFFSET($CX$3,0,0,'Données projet'!$E$13+1,1))-AVERAGE(OFFSET($H$3,0,0,'Données projet'!$E$13+1,1))</f>
        <v>383.46266660377637</v>
      </c>
      <c r="CZ202" s="62">
        <f t="shared" si="208"/>
        <v>373.1287543230714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0.14813906235454316</v>
      </c>
      <c r="DH202" s="23">
        <f>EXP(-LN(2)/2)*DH201+(1-EXP(-LN(2)/2))/(LN(2)/2)*DB202*DE202*VLOOKUP('Données projet'!$B$13,Paramètres!$A$1:$I$89,3,0)*0.475*44/12</f>
        <v>7.7633121167359849E-25</v>
      </c>
      <c r="DI202" s="24">
        <f t="shared" si="175"/>
        <v>0.14813906235454316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>
        <f>DO202*VLOOKUP('Données projet'!$B$14,Paramètres!$A$1:$I$89,3,0)*VLOOKUP('Données projet'!$B$14,Paramètres!$A$1:$I$89,5,0)</f>
        <v>0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96.56611521638132</v>
      </c>
      <c r="DU202" s="62">
        <f t="shared" si="209"/>
        <v>465.03257878814094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2.9004951688756759</v>
      </c>
      <c r="EB202" s="23">
        <f>EXP(-LN(2)/25)*EB201+(1-EXP(-LN(2)/25))/(LN(2)/25)*Calculateur!DW202*Calculateur!DY202*VLOOKUP('Données projet'!$B$14,Paramètres!$A$1:$I$89,3,0)*0.475*44/12</f>
        <v>0.16947906648277189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3.0699742353584476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317.99999999999972</v>
      </c>
      <c r="EK202" s="18">
        <f>EJ202*VLOOKUP('Données projet'!$B$15,Paramètres!$A$1:$I$89,3,0)*VLOOKUP('Données projet'!$B$15,Paramètres!$A$1:$I$89,5,0)</f>
        <v>257.96159999999981</v>
      </c>
      <c r="EL202" s="14">
        <f t="shared" si="179"/>
        <v>62.287674609742425</v>
      </c>
      <c r="EM202" s="22">
        <f t="shared" si="180"/>
        <v>557.76748661196768</v>
      </c>
      <c r="EN202" s="62">
        <f t="shared" si="198"/>
        <v>851.10081994530105</v>
      </c>
      <c r="EO202" s="62">
        <f ca="1">AVERAGE(OFFSET($EN$3,0,0,'Données projet'!$E$15+1,1))-AVERAGE(OFFSET($H$3,0,0,'Données projet'!$E$15+1,1))</f>
        <v>358.75637627589799</v>
      </c>
      <c r="EP202" s="62">
        <f t="shared" si="210"/>
        <v>349.64821164483607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0.34021890001561672</v>
      </c>
      <c r="EW202" s="23">
        <f>EXP(-LN(2)/25)*EW201+(1-EXP(-LN(2)/25))/(LN(2)/25)*Calculateur!ER202*Calculateur!ET202*VLOOKUP('Données projet'!$B$15,Paramètres!$A$1:$I$89,3,0)*0.475*44/12</f>
        <v>0.1415156753148398</v>
      </c>
      <c r="EX202" s="23">
        <f>EXP(-LN(2)/2)*EX201+(1-EXP(-LN(2)/2))/(LN(2)/2)*ER202*EU202*VLOOKUP('Données projet'!$B$15,Paramètres!$A$1:$I$89,3,0)*0.475*44/12</f>
        <v>1.3329912921930998E-25</v>
      </c>
      <c r="EY202" s="24">
        <f t="shared" si="181"/>
        <v>0.48173457533045649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>
        <f>FE202*VLOOKUP('Données projet'!$B$16,Paramètres!$A$1:$I$89,3,0)*VLOOKUP('Données projet'!$B$16,Paramètres!$A$1:$I$89,5,0)</f>
        <v>0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121.28977654040114</v>
      </c>
      <c r="FK202" s="62">
        <f t="shared" si="211"/>
        <v>615.69585264342595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3.9079500734711488</v>
      </c>
      <c r="FR202" s="23">
        <f>EXP(-LN(2)/25)*FR201+(1-EXP(-LN(2)/25))/(LN(2)/25)*Calculateur!FM202*Calculateur!FO202*VLOOKUP('Données projet'!$B$16,Paramètres!$A$1:$I$89,3,0)*0.475*44/12</f>
        <v>0.22834574503701208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4.1362958185081604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317.99999999999972</v>
      </c>
      <c r="O203" s="14">
        <f>N203*VLOOKUP('Données projet'!$B$9,Paramètres!$A$1:$I$89,3,0)*VLOOKUP('Données projet'!$B$9,Paramètres!$A$1:$I$89,5,0)</f>
        <v>253.0007999999998</v>
      </c>
      <c r="P203" s="14">
        <f t="shared" si="203"/>
        <v>61.228070105968683</v>
      </c>
      <c r="Q203" s="22">
        <f t="shared" si="162"/>
        <v>547.28194876789507</v>
      </c>
      <c r="R203" s="62">
        <f t="shared" si="191"/>
        <v>840.61528210122833</v>
      </c>
      <c r="S203" s="62">
        <f ca="1">AVERAGE(OFFSET($R$3,0,0,'Données projet'!$E$9+1,1))-AVERAGE(OFFSET($H$3,0,0,'Données projet'!$E$9+1,1))</f>
        <v>352.5736659365665</v>
      </c>
      <c r="T203" s="62">
        <f t="shared" si="204"/>
        <v>343.77208530767069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0.46512584295964637</v>
      </c>
      <c r="AA203" s="23">
        <f>EXP(-LN(2)/25)*AA202+(1-EXP(-LN(2)/25))/(LN(2)/25)*Calculateur!V203*Calculateur!X203*VLOOKUP('Données projet'!$B$9,Paramètres!$A$1:$I$89,3,0)*0.475*44/12</f>
        <v>0.21286524794808978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0.67799109090773613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3.7243808037601412E-14</v>
      </c>
      <c r="AK203" s="14">
        <f t="shared" si="164"/>
        <v>6.2767589361185393E-13</v>
      </c>
      <c r="AL203" s="22">
        <f t="shared" si="165"/>
        <v>1.1580684803728015E-12</v>
      </c>
      <c r="AM203" s="62">
        <f t="shared" si="193"/>
        <v>293.33333333333445</v>
      </c>
      <c r="AN203" s="62">
        <f ca="1">AVERAGE(OFFSET($AM$3,0,0,'Données projet'!$E$10+1,1))-AVERAGE(OFFSET($H$3,0,0,'Données projet'!$E$10+1,1))</f>
        <v>210.08998695869161</v>
      </c>
      <c r="AO203" s="62">
        <f t="shared" si="205"/>
        <v>207.30911916430881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4.7748335759496136E-27</v>
      </c>
      <c r="AX203" s="23">
        <f t="shared" si="166"/>
        <v>4.7748335759496136E-27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335.83558218229564</v>
      </c>
      <c r="BJ203" s="62">
        <f t="shared" si="206"/>
        <v>217.08423061559648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5.4214336462314417E-25</v>
      </c>
      <c r="BS203" s="24">
        <f t="shared" si="169"/>
        <v>5.4214336462314417E-25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5.6843418860808015E-14</v>
      </c>
      <c r="BZ203" s="14">
        <f>BY203*VLOOKUP('Données projet'!$B$12,Paramètres!$A$1:$I$89,3,0)*VLOOKUP('Données projet'!$B$12,Paramètres!$A$1:$I$89,5,0)</f>
        <v>4.4337866711430253E-14</v>
      </c>
      <c r="CA203" s="14">
        <f t="shared" si="170"/>
        <v>7.3222115536967035E-13</v>
      </c>
      <c r="CB203" s="22">
        <f t="shared" si="171"/>
        <v>1.3525069634579169E-12</v>
      </c>
      <c r="CC203" s="62">
        <f t="shared" si="195"/>
        <v>293.33333333333468</v>
      </c>
      <c r="CD203" s="62">
        <f ca="1">AVERAGE(OFFSET($CC$3,0,0,'Données projet'!$E$12+1,1))-AVERAGE(OFFSET($H$3,0,0,'Données projet'!$E$12+1,1))</f>
        <v>288.82868507674738</v>
      </c>
      <c r="CE203" s="62">
        <f t="shared" si="207"/>
        <v>283.48738729114024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4.3719821446762716E-2</v>
      </c>
      <c r="CM203" s="23">
        <f>EXP(-LN(2)/2)*CM202+(1-EXP(-LN(2)/2))/(LN(2)/2)*CG203*CJ203*VLOOKUP('Données projet'!$B$12,Paramètres!$A$1:$I$89,3,0)*0.475*44/12</f>
        <v>6.668548376554182E-26</v>
      </c>
      <c r="CN203" s="24">
        <f t="shared" si="172"/>
        <v>4.3719821446762716E-2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317.99999999999972</v>
      </c>
      <c r="CU203" s="18">
        <f>CT203*VLOOKUP('Données projet'!$B$13,Paramètres!$A$1:$I$89,3,0)*VLOOKUP('Données projet'!$B$13,Paramètres!$A$1:$I$89,5,0)</f>
        <v>277.80479999999983</v>
      </c>
      <c r="CV203" s="14">
        <f t="shared" si="173"/>
        <v>66.50288772038418</v>
      </c>
      <c r="CW203" s="22">
        <f t="shared" si="174"/>
        <v>599.66922277966887</v>
      </c>
      <c r="CX203" s="62">
        <f t="shared" si="196"/>
        <v>893.00255611300213</v>
      </c>
      <c r="CY203" s="62">
        <f ca="1">AVERAGE(OFFSET($CX$3,0,0,'Données projet'!$E$13+1,1))-AVERAGE(OFFSET($H$3,0,0,'Données projet'!$E$13+1,1))</f>
        <v>383.46266660377637</v>
      </c>
      <c r="CZ203" s="62">
        <f t="shared" si="208"/>
        <v>373.1287543230714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0.14408819190416347</v>
      </c>
      <c r="DH203" s="23">
        <f>EXP(-LN(2)/2)*DH202+(1-EXP(-LN(2)/2))/(LN(2)/2)*DB203*DE203*VLOOKUP('Données projet'!$B$13,Paramètres!$A$1:$I$89,3,0)*0.475*44/12</f>
        <v>5.4894906422117051E-25</v>
      </c>
      <c r="DI203" s="24">
        <f t="shared" si="175"/>
        <v>0.14408819190416347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>
        <f>DO203*VLOOKUP('Données projet'!$B$14,Paramètres!$A$1:$I$89,3,0)*VLOOKUP('Données projet'!$B$14,Paramètres!$A$1:$I$89,5,0)</f>
        <v>0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96.56611521638132</v>
      </c>
      <c r="DU203" s="62">
        <f t="shared" si="209"/>
        <v>465.03257878814094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2.8436182277413899</v>
      </c>
      <c r="EB203" s="23">
        <f>EXP(-LN(2)/25)*EB202+(1-EXP(-LN(2)/25))/(LN(2)/25)*Calculateur!DW203*Calculateur!DY203*VLOOKUP('Données projet'!$B$14,Paramètres!$A$1:$I$89,3,0)*0.475*44/12</f>
        <v>0.16484465249728372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3.0084628802386737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317.99999999999972</v>
      </c>
      <c r="EK203" s="18">
        <f>EJ203*VLOOKUP('Données projet'!$B$15,Paramètres!$A$1:$I$89,3,0)*VLOOKUP('Données projet'!$B$15,Paramètres!$A$1:$I$89,5,0)</f>
        <v>257.96159999999981</v>
      </c>
      <c r="EL203" s="14">
        <f t="shared" si="179"/>
        <v>62.287674609742425</v>
      </c>
      <c r="EM203" s="22">
        <f t="shared" si="180"/>
        <v>557.76748661196768</v>
      </c>
      <c r="EN203" s="62">
        <f t="shared" si="198"/>
        <v>851.10081994530105</v>
      </c>
      <c r="EO203" s="62">
        <f ca="1">AVERAGE(OFFSET($EN$3,0,0,'Données projet'!$E$15+1,1))-AVERAGE(OFFSET($H$3,0,0,'Données projet'!$E$15+1,1))</f>
        <v>358.75637627589799</v>
      </c>
      <c r="EP203" s="62">
        <f t="shared" si="210"/>
        <v>349.64821164483607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0.33354741489934925</v>
      </c>
      <c r="EW203" s="23">
        <f>EXP(-LN(2)/25)*EW202+(1-EXP(-LN(2)/25))/(LN(2)/25)*Calculateur!ER203*Calculateur!ET203*VLOOKUP('Données projet'!$B$15,Paramètres!$A$1:$I$89,3,0)*0.475*44/12</f>
        <v>0.13764592173136958</v>
      </c>
      <c r="EX203" s="23">
        <f>EXP(-LN(2)/2)*EX202+(1-EXP(-LN(2)/2))/(LN(2)/2)*ER203*EU203*VLOOKUP('Données projet'!$B$15,Paramètres!$A$1:$I$89,3,0)*0.475*44/12</f>
        <v>9.4256718197235947E-26</v>
      </c>
      <c r="EY203" s="24">
        <f t="shared" si="181"/>
        <v>0.47119333663071883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>
        <f>FE203*VLOOKUP('Données projet'!$B$16,Paramètres!$A$1:$I$89,3,0)*VLOOKUP('Données projet'!$B$16,Paramètres!$A$1:$I$89,5,0)</f>
        <v>0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121.28977654040114</v>
      </c>
      <c r="FK203" s="62">
        <f t="shared" si="211"/>
        <v>615.69585264342595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3.8313175561445618</v>
      </c>
      <c r="FR203" s="23">
        <f>EXP(-LN(2)/25)*FR202+(1-EXP(-LN(2)/25))/(LN(2)/25)*Calculateur!FM203*Calculateur!FO203*VLOOKUP('Données projet'!$B$16,Paramètres!$A$1:$I$89,3,0)*0.475*44/12</f>
        <v>0.22210161863079414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4.0534191747753558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1.2709816152101407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1.2311444133449163</v>
      </c>
      <c r="BA205" s="88">
        <f>EXP(LN('Données projet'!B88)/'Données projet'!A88)</f>
        <v>1.2392705892426346</v>
      </c>
      <c r="BV205" s="88">
        <f>EXP(LN('Données projet'!B114)/'Données projet'!A114)</f>
        <v>1.2788040393997409</v>
      </c>
      <c r="CQ205" s="88">
        <f>EXP(LN('Données projet'!B140)/'Données projet'!A140)</f>
        <v>1.2709816152101407</v>
      </c>
      <c r="DL205" s="88">
        <f>EXP(LN('Données projet'!B166)/'Données projet'!A166)</f>
        <v>1.4439154503414053</v>
      </c>
      <c r="EG205" s="88">
        <f>EXP(LN('Données projet'!B192)/'Données projet'!A192)</f>
        <v>1.2709816152101407</v>
      </c>
      <c r="FB205" s="88">
        <f>EXP(LN('Données projet'!B218)/'Données projet'!A218)</f>
        <v>1.4710724673083126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37" workbookViewId="0">
      <selection activeCell="B53" sqref="B53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N10" sqref="N1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Erable sycomore</v>
      </c>
      <c r="B6" s="155">
        <f>'Données projet'!D9</f>
        <v>0.16</v>
      </c>
      <c r="C6" s="156">
        <f ca="1">IF(OR('Données projet'!B9="",'Données projet'!C9="",'Données projet'!C9=0%),0,Calculateur!S3)</f>
        <v>352.5736659365665</v>
      </c>
      <c r="D6" s="156">
        <f>IF(OR('Données projet'!B9="",'Données projet'!C9="",'Données projet'!C9=0%),0,Calculateur!T3)</f>
        <v>343.77208530767069</v>
      </c>
      <c r="E6" s="156">
        <f ca="1">MIN(C6,D6)</f>
        <v>343.77208530767069</v>
      </c>
      <c r="F6" s="156">
        <f ca="1">E6*B6</f>
        <v>55.003533649227315</v>
      </c>
      <c r="G6" s="156">
        <f ca="1">F6*(100%-'Données projet'!$C$24)*(100%-'Données projet'!$C$25)*(100%-'Données projet'!$C$26)*(100%-'Données projet'!$C$27)</f>
        <v>49.503180284304584</v>
      </c>
      <c r="H6" s="157">
        <f>IF(OR('Données projet'!B9="",'Données projet'!C9="",'Données projet'!C9=0%),0,AVERAGE(Calculateur!$AC$3:$AC$33)*B6)</f>
        <v>2.3115474035910064</v>
      </c>
      <c r="I6" s="158">
        <f>H6*(100%-'Données projet'!$C$24)*(100%-'Données projet'!$C$25)*(100%-'Données projet'!$C$26)*(100%-'Données projet'!$C$27)</f>
        <v>2.0803926632319056</v>
      </c>
      <c r="J6" s="159">
        <f>IF(OR('Données projet'!B9="",'Données projet'!C9="",'Données projet'!C9=0%),0,SUM(Calculateur!$V$3:$V$33)*VLOOKUP('Données projet'!$B$9,Paramètres!$A$1:$I$89,9,0)*B6)</f>
        <v>5.48</v>
      </c>
      <c r="K6" s="160">
        <f>J6*(100%-'Données projet'!$C$24)*(100%-'Données projet'!$C$25)*(100%-'Données projet'!$C$26)*(100%-'Données projet'!$C$27)</f>
        <v>4.9320000000000004</v>
      </c>
      <c r="L6" s="161">
        <f ca="1">G6+I6+K6</f>
        <v>56.515572947536491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Aulne glutineux</v>
      </c>
      <c r="B7" s="163">
        <f>'Données projet'!D10</f>
        <v>0.14399999999999999</v>
      </c>
      <c r="C7" s="156">
        <f ca="1">IF(OR('Données projet'!B10="",'Données projet'!C10="",'Données projet'!C10=0%),0,Calculateur!AN3)</f>
        <v>210.08998695869161</v>
      </c>
      <c r="D7" s="156">
        <f>IF(OR('Données projet'!B10="",'Données projet'!C10="",'Données projet'!C10=0%),0,Calculateur!AO3)</f>
        <v>207.30911916430881</v>
      </c>
      <c r="E7" s="156">
        <f t="shared" ref="E7:E15" ca="1" si="0">MIN(C7,D7)</f>
        <v>207.30911916430881</v>
      </c>
      <c r="F7" s="156">
        <f t="shared" ref="F7:F15" ca="1" si="1">E7*B7</f>
        <v>29.852513159660468</v>
      </c>
      <c r="G7" s="156">
        <f ca="1">F7*(100%-'Données projet'!$C$24)*(100%-'Données projet'!$C$25)*(100%-'Données projet'!$C$26)*(100%-'Données projet'!$C$27)</f>
        <v>26.867261843694422</v>
      </c>
      <c r="H7" s="164">
        <f>IF(OR('Données projet'!B10="",'Données projet'!C10="",'Données projet'!C10=0%),0,AVERAGE(Calculateur!$AX$3:$AX$33)*B7)</f>
        <v>0.1253853042510307</v>
      </c>
      <c r="I7" s="158">
        <f>H7*(100%-'Données projet'!$C$24)*(100%-'Données projet'!$C$25)*(100%-'Données projet'!$C$26)*(100%-'Données projet'!$C$27)</f>
        <v>0.11284677382592763</v>
      </c>
      <c r="J7" s="159">
        <f>IF(OR('Données projet'!B10="",'Données projet'!C10="",'Données projet'!C10=0%),0,SUM(Calculateur!$AQ$3:$AQ$33)*VLOOKUP('Données projet'!$B$10,Paramètres!$A$1:$I$89,9,0)*B7)</f>
        <v>1.8359999999999999</v>
      </c>
      <c r="K7" s="160">
        <f>J7*(100%-'Données projet'!$C$24)*(100%-'Données projet'!$C$25)*(100%-'Données projet'!$C$26)*(100%-'Données projet'!$C$27)</f>
        <v>1.6523999999999999</v>
      </c>
      <c r="L7" s="161">
        <f t="shared" ref="L7:L15" ca="1" si="2">G7+I7+K7</f>
        <v>28.632508617520351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Tilleul</v>
      </c>
      <c r="B8" s="163">
        <f>'Données projet'!D11</f>
        <v>0.08</v>
      </c>
      <c r="C8" s="156">
        <f ca="1">IF(OR('Données projet'!B11="",'Données projet'!C11="",'Données projet'!C11=0%),0,Calculateur!BI3)</f>
        <v>335.83558218229564</v>
      </c>
      <c r="D8" s="156">
        <f>IF(OR('Données projet'!B11="",'Données projet'!C11="",'Données projet'!C11=0%),0,Calculateur!BJ3)</f>
        <v>217.08423061559648</v>
      </c>
      <c r="E8" s="156">
        <f t="shared" ca="1" si="0"/>
        <v>217.08423061559648</v>
      </c>
      <c r="F8" s="156">
        <f t="shared" ca="1" si="1"/>
        <v>17.36673844924772</v>
      </c>
      <c r="G8" s="156">
        <f ca="1">F8*(100%-'Données projet'!$C$24)*(100%-'Données projet'!$C$25)*(100%-'Données projet'!$C$26)*(100%-'Données projet'!$C$27)</f>
        <v>15.630064604322948</v>
      </c>
      <c r="H8" s="164">
        <f>IF(OR('Données projet'!B11="",'Données projet'!C11="",'Données projet'!C11=0%),0,AVERAGE(Calculateur!$BS$3:$BS$33)*B8)</f>
        <v>0.2150791229846806</v>
      </c>
      <c r="I8" s="158">
        <f>H8*(100%-'Données projet'!$C$24)*(100%-'Données projet'!$C$25)*(100%-'Données projet'!$C$26)*(100%-'Données projet'!$C$27)</f>
        <v>0.19357121068621255</v>
      </c>
      <c r="J8" s="159">
        <f>IF(OR('Données projet'!B11="",'Données projet'!C11="",'Données projet'!C11=0%),0,SUM(Calculateur!$BL$3:$BL$33)*VLOOKUP('Données projet'!$B$11,Paramètres!$A$1:$I$89,9,0)*B8)</f>
        <v>1.24</v>
      </c>
      <c r="K8" s="160">
        <f>J8*(100%-'Données projet'!$C$24)*(100%-'Données projet'!$C$25)*(100%-'Données projet'!$C$26)*(100%-'Données projet'!$C$27)</f>
        <v>1.1160000000000001</v>
      </c>
      <c r="L8" s="161">
        <f t="shared" ca="1" si="2"/>
        <v>16.939635815009161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Merisier</v>
      </c>
      <c r="B9" s="163">
        <f>'Données projet'!D12</f>
        <v>0.04</v>
      </c>
      <c r="C9" s="156">
        <f ca="1">IF(OR('Données projet'!B12="",'Données projet'!C12="",'Données projet'!C12=0%),0,Calculateur!CD3)</f>
        <v>288.82868507674738</v>
      </c>
      <c r="D9" s="156">
        <f>IF(OR('Données projet'!B12="",'Données projet'!C12="",'Données projet'!C12=0%),0,Calculateur!CE3)</f>
        <v>283.48738729114024</v>
      </c>
      <c r="E9" s="156">
        <f t="shared" ca="1" si="0"/>
        <v>283.48738729114024</v>
      </c>
      <c r="F9" s="156">
        <f t="shared" ca="1" si="1"/>
        <v>11.339495491645609</v>
      </c>
      <c r="G9" s="156">
        <f ca="1">F9*(100%-'Données projet'!$C$24)*(100%-'Données projet'!$C$25)*(100%-'Données projet'!$C$26)*(100%-'Données projet'!$C$27)</f>
        <v>10.205545942481049</v>
      </c>
      <c r="H9" s="164">
        <f>IF(OR('Données projet'!B12="",'Données projet'!C12="",'Données projet'!C12=0%),0,AVERAGE(Calculateur!$CN$3:$CN$33)*B9)</f>
        <v>0.1708057360804375</v>
      </c>
      <c r="I9" s="158">
        <f>H9*(100%-'Données projet'!$C$24)*(100%-'Données projet'!$C$25)*(100%-'Données projet'!$C$26)*(100%-'Données projet'!$C$27)</f>
        <v>0.15372516247239376</v>
      </c>
      <c r="J9" s="159">
        <f>IF(OR('Données projet'!B12="",'Données projet'!C12="",'Données projet'!C12=0%),0,SUM(Calculateur!$CG$3:$CG$33)*VLOOKUP('Données projet'!$B$12,Paramètres!$A$1:$I$89,9,0)*B9)</f>
        <v>0.55000000000000004</v>
      </c>
      <c r="K9" s="160">
        <f>J9*(100%-'Données projet'!$C$24)*(100%-'Données projet'!$C$25)*(100%-'Données projet'!$C$26)*(100%-'Données projet'!$C$27)</f>
        <v>0.49500000000000005</v>
      </c>
      <c r="L9" s="161">
        <f t="shared" ca="1" si="2"/>
        <v>10.854271104953442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Erable champêtre</v>
      </c>
      <c r="B10" s="163">
        <f>'Données projet'!D13</f>
        <v>0.04</v>
      </c>
      <c r="C10" s="156">
        <f ca="1">IF(OR('Données projet'!B13="",'Données projet'!C13="",'Données projet'!C13=0%),0,Calculateur!CY3)</f>
        <v>383.46266660377637</v>
      </c>
      <c r="D10" s="156">
        <f>IF(OR('Données projet'!B13="",'Données projet'!C13="",'Données projet'!C13=0%),0,Calculateur!CZ3)</f>
        <v>373.1287543230714</v>
      </c>
      <c r="E10" s="156">
        <f t="shared" ca="1" si="0"/>
        <v>373.1287543230714</v>
      </c>
      <c r="F10" s="156">
        <f t="shared" ca="1" si="1"/>
        <v>14.925150172922857</v>
      </c>
      <c r="G10" s="156">
        <f ca="1">F10*(100%-'Données projet'!$C$24)*(100%-'Données projet'!$C$25)*(100%-'Données projet'!$C$26)*(100%-'Données projet'!$C$27)</f>
        <v>13.432635155630571</v>
      </c>
      <c r="H10" s="164">
        <f>IF(OR('Données projet'!B13="",'Données projet'!C13="",'Données projet'!C13=0%),0,AVERAGE(Calculateur!$DI$3:$DI$33)*B10)</f>
        <v>0.40932533041944646</v>
      </c>
      <c r="I10" s="158">
        <f>H10*(100%-'Données projet'!$C$24)*(100%-'Données projet'!$C$25)*(100%-'Données projet'!$C$26)*(100%-'Données projet'!$C$27)</f>
        <v>0.3683927973775018</v>
      </c>
      <c r="J10" s="159">
        <f>IF(OR('Données projet'!B13="",'Données projet'!C13="",'Données projet'!C13=0%),0,SUM(Calculateur!$DB$3:$DB$33)*VLOOKUP('Données projet'!$B$13,Paramètres!$A$1:$I$89,9,0)*B10)</f>
        <v>1.37</v>
      </c>
      <c r="K10" s="160">
        <f>J10*(100%-'Données projet'!$C$24)*(100%-'Données projet'!$C$25)*(100%-'Données projet'!$C$26)*(100%-'Données projet'!$C$27)</f>
        <v>1.2330000000000001</v>
      </c>
      <c r="L10" s="161">
        <f t="shared" ca="1" si="2"/>
        <v>15.034027953008072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Peuplier Taro</v>
      </c>
      <c r="B11" s="163">
        <f>'Données projet'!D14</f>
        <v>1.24</v>
      </c>
      <c r="C11" s="156">
        <f ca="1">IF(OR('Données projet'!B14="",'Données projet'!C14="",'Données projet'!C14=0%),0,Calculateur!DT3)</f>
        <v>96.56611521638132</v>
      </c>
      <c r="D11" s="156">
        <f>IF(OR('Données projet'!B14="",'Données projet'!C14="",'Données projet'!C14=0%),0,Calculateur!DU3)</f>
        <v>465.03257878814094</v>
      </c>
      <c r="E11" s="156">
        <f t="shared" ca="1" si="0"/>
        <v>96.56611521638132</v>
      </c>
      <c r="F11" s="156">
        <f t="shared" ca="1" si="1"/>
        <v>119.74198286831283</v>
      </c>
      <c r="G11" s="156">
        <f ca="1">F11*(100%-'Données projet'!$C$24)*(100%-'Données projet'!$C$25)*(100%-'Données projet'!$C$26)*(100%-'Données projet'!$C$27)</f>
        <v>107.76778458148155</v>
      </c>
      <c r="H11" s="164">
        <f>IF(OR('Données projet'!B14="",'Données projet'!C14="",'Données projet'!C14=0%),0,AVERAGE(Calculateur!$ED$3:$ED$33)*B11)</f>
        <v>70.489687719972466</v>
      </c>
      <c r="I11" s="158">
        <f>H11*(100%-'Données projet'!$C$24)*(100%-'Données projet'!$C$25)*(100%-'Données projet'!$C$26)*(100%-'Données projet'!$C$27)</f>
        <v>63.44071894797522</v>
      </c>
      <c r="J11" s="159">
        <f>IF(OR('Données projet'!B14="",'Données projet'!C14="",'Données projet'!C14=0%),0,SUM(Calculateur!$DW$3:$DW$33)*VLOOKUP('Données projet'!$B$14,Paramètres!$A$1:$I$89,9,0)*B11)</f>
        <v>455.96040000000005</v>
      </c>
      <c r="K11" s="160">
        <f>J11*(100%-'Données projet'!$C$24)*(100%-'Données projet'!$C$25)*(100%-'Données projet'!$C$26)*(100%-'Données projet'!$C$27)</f>
        <v>410.36436000000003</v>
      </c>
      <c r="L11" s="161">
        <f t="shared" ca="1" si="2"/>
        <v>581.57286352945675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Noyer</v>
      </c>
      <c r="B12" s="163">
        <f>'Données projet'!D15</f>
        <v>0.25600000000000001</v>
      </c>
      <c r="C12" s="156">
        <f ca="1">IF(OR('Données projet'!B15="",'Données projet'!C15="",'Données projet'!C15=0%),0,Calculateur!EO3)</f>
        <v>358.75637627589799</v>
      </c>
      <c r="D12" s="156">
        <f>IF(OR('Données projet'!B15="",'Données projet'!C15="",'Données projet'!C15=0%),0,Calculateur!EP3)</f>
        <v>349.64821164483607</v>
      </c>
      <c r="E12" s="156">
        <f t="shared" ca="1" si="0"/>
        <v>349.64821164483607</v>
      </c>
      <c r="F12" s="156">
        <f t="shared" ca="1" si="1"/>
        <v>89.509942181078031</v>
      </c>
      <c r="G12" s="156">
        <f ca="1">F12*(100%-'Données projet'!$C$24)*(100%-'Données projet'!$C$25)*(100%-'Données projet'!$C$26)*(100%-'Données projet'!$C$27)</f>
        <v>80.558947962970237</v>
      </c>
      <c r="H12" s="164">
        <f>IF(OR('Données projet'!B15="",'Données projet'!C15="",'Données projet'!C15=0%),0,AVERAGE(Calculateur!$EY$3:$EY$33)*B12)</f>
        <v>2.3857434509200623</v>
      </c>
      <c r="I12" s="158">
        <f>H12*(100%-'Données projet'!$C$24)*(100%-'Données projet'!$C$25)*(100%-'Données projet'!$C$26)*(100%-'Données projet'!$C$27)</f>
        <v>2.147169105828056</v>
      </c>
      <c r="J12" s="159">
        <f>IF(OR('Données projet'!B15="",'Données projet'!C15="",'Données projet'!C15=0%),0,SUM(Calculateur!$ER$3:$ER$33)*VLOOKUP('Données projet'!$B$15,Paramètres!$A$1:$I$89,9,0)*B12)</f>
        <v>8.7680000000000007</v>
      </c>
      <c r="K12" s="160">
        <f>J12*(100%-'Données projet'!$C$24)*(100%-'Données projet'!$C$25)*(100%-'Données projet'!$C$26)*(100%-'Données projet'!$C$27)</f>
        <v>7.8912000000000004</v>
      </c>
      <c r="L12" s="161">
        <f t="shared" ca="1" si="2"/>
        <v>90.59731706879829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Peuplier Taro</v>
      </c>
      <c r="B13" s="163">
        <f>'Données projet'!D16</f>
        <v>0.54</v>
      </c>
      <c r="C13" s="156">
        <f ca="1">IF(OR('Données projet'!B16="",'Données projet'!C16="",'Données projet'!C16=0%),0,Calculateur!FJ3)</f>
        <v>121.28977654040114</v>
      </c>
      <c r="D13" s="156">
        <f>IF(OR('Données projet'!B16="",'Données projet'!C16="",'Données projet'!C16=0%),0,Calculateur!FK3)</f>
        <v>615.69585264342595</v>
      </c>
      <c r="E13" s="156">
        <f t="shared" ca="1" si="0"/>
        <v>121.28977654040114</v>
      </c>
      <c r="F13" s="156">
        <f t="shared" ca="1" si="1"/>
        <v>65.496479331816616</v>
      </c>
      <c r="G13" s="156">
        <f ca="1">F13*(100%-'Données projet'!$C$24)*(100%-'Données projet'!$C$25)*(100%-'Données projet'!$C$26)*(100%-'Données projet'!$C$27)</f>
        <v>58.946831398634956</v>
      </c>
      <c r="H13" s="164">
        <f>IF(OR('Données projet'!B16="",'Données projet'!C16="",'Données projet'!C16=0%),0,AVERAGE(Calculateur!$FT$3:$FT$33)*B13)</f>
        <v>41.359427777142947</v>
      </c>
      <c r="I13" s="158">
        <f>H13*(100%-'Données projet'!$C$24)*(100%-'Données projet'!$C$25)*(100%-'Données projet'!$C$26)*(100%-'Données projet'!$C$27)</f>
        <v>37.223484999428656</v>
      </c>
      <c r="J13" s="159">
        <f>IF(OR('Données projet'!C16="",'Données projet'!C16=0%),0,SUM(Calculateur!$FM$3:$FM$33)*VLOOKUP('Données projet'!$B$16,Paramètres!$A$1:$I$89,9,0)*B13)</f>
        <v>267.53220000000005</v>
      </c>
      <c r="K13" s="160">
        <f>J13*(100%-'Données projet'!$C$24)*(100%-'Données projet'!$C$25)*(100%-'Données projet'!$C$26)*(100%-'Données projet'!$C$27)</f>
        <v>240.77898000000005</v>
      </c>
      <c r="L13" s="161">
        <f t="shared" ca="1" si="2"/>
        <v>336.94929639806367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403.23583530391141</v>
      </c>
      <c r="G16" s="175">
        <f t="shared" ca="1" si="3"/>
        <v>362.91225177352032</v>
      </c>
      <c r="H16" s="176">
        <f t="shared" si="3"/>
        <v>117.46700184536206</v>
      </c>
      <c r="I16" s="176">
        <f t="shared" si="3"/>
        <v>105.72030166082587</v>
      </c>
      <c r="J16" s="177">
        <f t="shared" si="3"/>
        <v>742.73660000000018</v>
      </c>
      <c r="K16" s="177">
        <f t="shared" si="3"/>
        <v>668.46294000000012</v>
      </c>
      <c r="L16" s="178">
        <f t="shared" ca="1" si="3"/>
        <v>1137.0954934343463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Erable sycomore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Aulne glutineux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Tilleul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Merisier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Erable champêtre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Peuplier Taro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Noyer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Peuplier Taro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214" zoomScale="90" zoomScaleNormal="90" workbookViewId="0">
      <selection activeCell="E91" sqref="E9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Erable sycomore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858.67131079711851</v>
      </c>
      <c r="U10" s="190">
        <f>'Données projet'!D9</f>
        <v>0.16</v>
      </c>
      <c r="V10" s="189">
        <f>U10*T10</f>
        <v>137.38740972753897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Aulne glutineux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993.54470678511257</v>
      </c>
      <c r="U11" s="190">
        <f>'Données projet'!D10</f>
        <v>0.14399999999999999</v>
      </c>
      <c r="V11" s="189">
        <f t="shared" ref="V11" si="0">U11*T11</f>
        <v>143.07043777705618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Tilleul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1154.9631502510508</v>
      </c>
      <c r="U12" s="190">
        <f>'Données projet'!D11</f>
        <v>0.08</v>
      </c>
      <c r="V12" s="189">
        <f t="shared" ref="V12:V19" si="1">U12*T12</f>
        <v>92.397052020084061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Merisier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3750.9247291537322</v>
      </c>
      <c r="U13" s="190">
        <f>'Données projet'!D12</f>
        <v>0.04</v>
      </c>
      <c r="V13" s="189">
        <f t="shared" si="1"/>
        <v>150.03698916614928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Erable sycomore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Erable champêtre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858.67131079711851</v>
      </c>
      <c r="U14" s="190">
        <f>'Données projet'!D13</f>
        <v>0.04</v>
      </c>
      <c r="V14" s="189">
        <f t="shared" si="1"/>
        <v>34.346852431884741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Peuplier Taro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8826.2774118052257</v>
      </c>
      <c r="U15" s="190">
        <f>'Données projet'!D14</f>
        <v>1.24</v>
      </c>
      <c r="V15" s="189">
        <f t="shared" si="1"/>
        <v>10944.583990638479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>Noyer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1772.7932016024863</v>
      </c>
      <c r="U16" s="190">
        <f>'Données projet'!D15</f>
        <v>0.25600000000000001</v>
      </c>
      <c r="V16" s="189">
        <f t="shared" si="1"/>
        <v>453.8350596102365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Peuplier Taro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11891.987213104521</v>
      </c>
      <c r="U17" s="190">
        <f>'Données projet'!D16</f>
        <v>0.54</v>
      </c>
      <c r="V17" s="189">
        <f t="shared" si="1"/>
        <v>6421.6730950764422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11799/2.5</f>
        <v>4719.6000000000004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(280+315+540)/2.5</f>
        <v>454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454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10</v>
      </c>
      <c r="B23" s="193">
        <f>'Données projet'!D36</f>
        <v>0</v>
      </c>
      <c r="C23" s="292">
        <v>4</v>
      </c>
      <c r="D23" s="194">
        <f>B23*C23</f>
        <v>0</v>
      </c>
      <c r="E23" s="206"/>
      <c r="F23" s="261"/>
      <c r="H23" s="203">
        <v>3</v>
      </c>
      <c r="I23" s="204">
        <f>(315+900+540)/2.5</f>
        <v>702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574.98513689104584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15</v>
      </c>
      <c r="B24" s="193">
        <f>'Données projet'!D37</f>
        <v>32</v>
      </c>
      <c r="C24" s="292">
        <v>8</v>
      </c>
      <c r="D24" s="194">
        <f t="shared" ref="D24:D42" si="2">B24*C24</f>
        <v>256</v>
      </c>
      <c r="E24" s="206"/>
      <c r="F24" s="264"/>
      <c r="H24" s="203">
        <v>4</v>
      </c>
      <c r="I24" s="204">
        <f>245/2.5</f>
        <v>98</v>
      </c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4587.7556434149374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20</v>
      </c>
      <c r="B25" s="193">
        <f>'Données projet'!D38</f>
        <v>35</v>
      </c>
      <c r="C25" s="292">
        <v>10</v>
      </c>
      <c r="D25" s="194">
        <f t="shared" si="2"/>
        <v>350</v>
      </c>
      <c r="E25" s="206"/>
      <c r="F25" s="264"/>
      <c r="G25" s="1"/>
      <c r="H25" s="203">
        <v>5</v>
      </c>
      <c r="I25" s="204">
        <f>(315+875+1080+390)/2.5</f>
        <v>1064</v>
      </c>
      <c r="K25" s="225"/>
      <c r="L25" s="271" t="s">
        <v>285</v>
      </c>
      <c r="M25" s="271"/>
      <c r="N25" s="271"/>
      <c r="O25" s="271"/>
      <c r="P25" s="205">
        <v>150</v>
      </c>
      <c r="Q25" s="265"/>
      <c r="R25" s="25"/>
      <c r="S25" s="198" t="s">
        <v>266</v>
      </c>
      <c r="T25" s="342">
        <f ca="1">T23-T24</f>
        <v>-4012.7705065238915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25</v>
      </c>
      <c r="B26" s="193">
        <f>'Données projet'!D39</f>
        <v>35</v>
      </c>
      <c r="C26" s="292">
        <v>10</v>
      </c>
      <c r="D26" s="194">
        <f t="shared" si="2"/>
        <v>350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30</v>
      </c>
      <c r="B27" s="193">
        <f>'Données projet'!D40</f>
        <v>35</v>
      </c>
      <c r="C27" s="292">
        <v>10</v>
      </c>
      <c r="D27" s="194">
        <f t="shared" si="2"/>
        <v>350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35</v>
      </c>
      <c r="B28" s="193">
        <f>'Données projet'!D41</f>
        <v>35</v>
      </c>
      <c r="C28" s="292">
        <v>10</v>
      </c>
      <c r="D28" s="194">
        <f t="shared" si="2"/>
        <v>350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40</v>
      </c>
      <c r="B29" s="193">
        <f>'Données projet'!D42</f>
        <v>35</v>
      </c>
      <c r="C29" s="292">
        <v>15</v>
      </c>
      <c r="D29" s="194">
        <f t="shared" si="2"/>
        <v>525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45</v>
      </c>
      <c r="B30" s="193">
        <f>'Données projet'!D43</f>
        <v>24</v>
      </c>
      <c r="C30" s="292">
        <v>15</v>
      </c>
      <c r="D30" s="194">
        <f t="shared" si="2"/>
        <v>360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1835.102257365975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50</v>
      </c>
      <c r="B31" s="193">
        <f>'Données projet'!D44</f>
        <v>19</v>
      </c>
      <c r="C31" s="292">
        <v>15</v>
      </c>
      <c r="D31" s="194">
        <f t="shared" si="2"/>
        <v>285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55</v>
      </c>
      <c r="B32" s="193">
        <f>'Données projet'!D45</f>
        <v>16</v>
      </c>
      <c r="C32" s="292">
        <v>15</v>
      </c>
      <c r="D32" s="194">
        <f t="shared" si="2"/>
        <v>240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60</v>
      </c>
      <c r="B33" s="193">
        <f>'Données projet'!D46</f>
        <v>14</v>
      </c>
      <c r="C33" s="292">
        <v>20</v>
      </c>
      <c r="D33" s="194">
        <f t="shared" si="2"/>
        <v>280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150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65</v>
      </c>
      <c r="B34" s="193">
        <f>'Données projet'!D47</f>
        <v>13</v>
      </c>
      <c r="C34" s="292">
        <v>20</v>
      </c>
      <c r="D34" s="194">
        <f t="shared" si="2"/>
        <v>260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143.54066985645935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70</v>
      </c>
      <c r="B35" s="193">
        <f>'Données projet'!D48</f>
        <v>13</v>
      </c>
      <c r="C35" s="292">
        <v>40</v>
      </c>
      <c r="D35" s="194">
        <f t="shared" si="2"/>
        <v>520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137.35949268560705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75</v>
      </c>
      <c r="B36" s="193">
        <f>'Données projet'!D49</f>
        <v>12</v>
      </c>
      <c r="C36" s="292">
        <v>50</v>
      </c>
      <c r="D36" s="194">
        <f t="shared" si="2"/>
        <v>600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131.44449060823641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80</v>
      </c>
      <c r="B37" s="193">
        <f>'Données projet'!D50</f>
        <v>11</v>
      </c>
      <c r="C37" s="292">
        <v>70</v>
      </c>
      <c r="D37" s="194">
        <f t="shared" si="2"/>
        <v>770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125.78420153898223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92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120.36765697510262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92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115.18436074172502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92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110.22426865236844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92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105.47776904532867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92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100.93566415820926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96.589152304506499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92.429810817709566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Aulne glutineux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88.449579729865633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84.640746152981464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80.995929332996624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77.508066347365187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74.170398418531306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str">
        <f>IF(O49+1&lt;=MIN('Données projet'!$E$9:$E$18),O49+1,"STOP")</f>
        <v>STOP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10</v>
      </c>
      <c r="B54" s="193">
        <f>'Données projet'!D62</f>
        <v>1</v>
      </c>
      <c r="C54" s="204">
        <v>10</v>
      </c>
      <c r="D54" s="191">
        <f>B54*C54</f>
        <v>10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15</v>
      </c>
      <c r="B55" s="193">
        <f>'Données projet'!D63</f>
        <v>3</v>
      </c>
      <c r="C55" s="204">
        <v>15</v>
      </c>
      <c r="D55" s="191">
        <f t="shared" ref="D55:D73" si="4">B55*C55</f>
        <v>45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20</v>
      </c>
      <c r="B56" s="193">
        <f>'Données projet'!D64</f>
        <v>9</v>
      </c>
      <c r="C56" s="204">
        <v>20</v>
      </c>
      <c r="D56" s="191">
        <f t="shared" si="4"/>
        <v>180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25</v>
      </c>
      <c r="B57" s="193">
        <f>'Données projet'!D65</f>
        <v>18</v>
      </c>
      <c r="C57" s="204">
        <v>20</v>
      </c>
      <c r="D57" s="191">
        <f t="shared" si="4"/>
        <v>360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30</v>
      </c>
      <c r="B58" s="193">
        <f>'Données projet'!D66</f>
        <v>20</v>
      </c>
      <c r="C58" s="204">
        <v>20</v>
      </c>
      <c r="D58" s="191">
        <f t="shared" si="4"/>
        <v>400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35</v>
      </c>
      <c r="B59" s="193">
        <f>'Données projet'!D67</f>
        <v>21</v>
      </c>
      <c r="C59" s="204">
        <v>20</v>
      </c>
      <c r="D59" s="191">
        <f t="shared" si="4"/>
        <v>420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40</v>
      </c>
      <c r="B60" s="193">
        <f>'Données projet'!D68</f>
        <v>22</v>
      </c>
      <c r="C60" s="204">
        <v>20</v>
      </c>
      <c r="D60" s="191">
        <f t="shared" si="4"/>
        <v>440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45</v>
      </c>
      <c r="B61" s="193">
        <f>'Données projet'!D69</f>
        <v>22</v>
      </c>
      <c r="C61" s="204">
        <v>20</v>
      </c>
      <c r="D61" s="191">
        <f t="shared" si="4"/>
        <v>440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50</v>
      </c>
      <c r="B62" s="193">
        <f>'Données projet'!D70</f>
        <v>21</v>
      </c>
      <c r="C62" s="204">
        <v>30</v>
      </c>
      <c r="D62" s="191">
        <f t="shared" si="4"/>
        <v>630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55</v>
      </c>
      <c r="B63" s="193">
        <f>'Données projet'!D71</f>
        <v>20</v>
      </c>
      <c r="C63" s="204">
        <v>30</v>
      </c>
      <c r="D63" s="191">
        <f t="shared" si="4"/>
        <v>600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60</v>
      </c>
      <c r="B64" s="193">
        <f>'Données projet'!D72</f>
        <v>19</v>
      </c>
      <c r="C64" s="204">
        <v>40</v>
      </c>
      <c r="D64" s="191">
        <f t="shared" si="4"/>
        <v>760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65</v>
      </c>
      <c r="B65" s="193">
        <f>'Données projet'!D73</f>
        <v>18</v>
      </c>
      <c r="C65" s="204">
        <v>40</v>
      </c>
      <c r="D65" s="191">
        <f t="shared" si="4"/>
        <v>720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70</v>
      </c>
      <c r="B66" s="193">
        <f>'Données projet'!D74</f>
        <v>17</v>
      </c>
      <c r="C66" s="204">
        <v>40</v>
      </c>
      <c r="D66" s="191">
        <f t="shared" si="4"/>
        <v>680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75</v>
      </c>
      <c r="B67" s="193">
        <f>'Données projet'!D75</f>
        <v>16</v>
      </c>
      <c r="C67" s="204">
        <v>40</v>
      </c>
      <c r="D67" s="191">
        <f t="shared" si="4"/>
        <v>640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80</v>
      </c>
      <c r="B68" s="193">
        <f>'Données projet'!D76</f>
        <v>15</v>
      </c>
      <c r="C68" s="204">
        <v>40</v>
      </c>
      <c r="D68" s="191">
        <f t="shared" si="4"/>
        <v>600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85</v>
      </c>
      <c r="B69" s="193">
        <f>'Données projet'!D77</f>
        <v>14</v>
      </c>
      <c r="C69" s="204">
        <v>40</v>
      </c>
      <c r="D69" s="191">
        <f t="shared" si="4"/>
        <v>560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90</v>
      </c>
      <c r="B70" s="193">
        <f>'Données projet'!D78</f>
        <v>204</v>
      </c>
      <c r="C70" s="204">
        <v>40</v>
      </c>
      <c r="D70" s="191">
        <f t="shared" si="4"/>
        <v>8160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Tilleul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6</v>
      </c>
      <c r="C85" s="204">
        <v>10</v>
      </c>
      <c r="D85" s="191">
        <f>B85*C85</f>
        <v>60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28</v>
      </c>
      <c r="C86" s="204">
        <v>15</v>
      </c>
      <c r="D86" s="191">
        <f t="shared" ref="D86:D104" si="6">B86*C86</f>
        <v>420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28</v>
      </c>
      <c r="C87" s="204">
        <v>20</v>
      </c>
      <c r="D87" s="191">
        <f t="shared" si="6"/>
        <v>560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28</v>
      </c>
      <c r="C88" s="204">
        <v>20</v>
      </c>
      <c r="D88" s="191">
        <f t="shared" si="6"/>
        <v>560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28</v>
      </c>
      <c r="C89" s="204">
        <v>20</v>
      </c>
      <c r="D89" s="191">
        <f t="shared" si="6"/>
        <v>560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28</v>
      </c>
      <c r="C90" s="204">
        <v>20</v>
      </c>
      <c r="D90" s="191">
        <f t="shared" si="6"/>
        <v>560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28</v>
      </c>
      <c r="C91" s="204">
        <v>20</v>
      </c>
      <c r="D91" s="191">
        <f t="shared" si="6"/>
        <v>560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28</v>
      </c>
      <c r="C92" s="204">
        <v>20</v>
      </c>
      <c r="D92" s="191">
        <f t="shared" si="6"/>
        <v>560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28</v>
      </c>
      <c r="C93" s="204">
        <v>30</v>
      </c>
      <c r="D93" s="191">
        <f t="shared" si="6"/>
        <v>840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28</v>
      </c>
      <c r="C94" s="204">
        <v>30</v>
      </c>
      <c r="D94" s="191">
        <f t="shared" si="6"/>
        <v>840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28</v>
      </c>
      <c r="C95" s="204">
        <v>40</v>
      </c>
      <c r="D95" s="191">
        <f t="shared" si="6"/>
        <v>1120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28</v>
      </c>
      <c r="C96" s="204">
        <v>40</v>
      </c>
      <c r="D96" s="191">
        <f t="shared" si="6"/>
        <v>1120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28</v>
      </c>
      <c r="C97" s="204">
        <v>40</v>
      </c>
      <c r="D97" s="191">
        <f t="shared" si="6"/>
        <v>1120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28</v>
      </c>
      <c r="C98" s="204">
        <v>40</v>
      </c>
      <c r="D98" s="191">
        <f t="shared" si="6"/>
        <v>1120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28</v>
      </c>
      <c r="C99" s="204">
        <v>40</v>
      </c>
      <c r="D99" s="191">
        <f t="shared" si="6"/>
        <v>1120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95</v>
      </c>
      <c r="B100" s="193">
        <f>'Données projet'!D103</f>
        <v>28</v>
      </c>
      <c r="C100" s="204">
        <v>40</v>
      </c>
      <c r="D100" s="191">
        <f t="shared" si="6"/>
        <v>1120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100</v>
      </c>
      <c r="B101" s="193">
        <f>'Données projet'!D104</f>
        <v>27</v>
      </c>
      <c r="C101" s="204">
        <v>40</v>
      </c>
      <c r="D101" s="191">
        <f t="shared" si="6"/>
        <v>1080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105</v>
      </c>
      <c r="B102" s="193">
        <f>'Données projet'!D105</f>
        <v>26</v>
      </c>
      <c r="C102" s="204">
        <v>40</v>
      </c>
      <c r="D102" s="191">
        <f t="shared" si="6"/>
        <v>1040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110</v>
      </c>
      <c r="B103" s="193">
        <f>'Données projet'!D106</f>
        <v>25</v>
      </c>
      <c r="C103" s="204">
        <v>45</v>
      </c>
      <c r="D103" s="191">
        <f t="shared" si="6"/>
        <v>1125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115</v>
      </c>
      <c r="B104" s="193">
        <f>'Données projet'!D107</f>
        <v>330</v>
      </c>
      <c r="C104" s="204">
        <v>50</v>
      </c>
      <c r="D104" s="191">
        <f t="shared" si="6"/>
        <v>16500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Merisier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15</v>
      </c>
      <c r="B116" s="193">
        <f>'Données projet'!D114</f>
        <v>3</v>
      </c>
      <c r="C116" s="204">
        <v>15</v>
      </c>
      <c r="D116" s="191">
        <f>B116*C116</f>
        <v>45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20</v>
      </c>
      <c r="B117" s="193">
        <f>'Données projet'!D115</f>
        <v>25</v>
      </c>
      <c r="C117" s="204">
        <v>20</v>
      </c>
      <c r="D117" s="191">
        <f t="shared" ref="D117:D135" si="8">B117*C117</f>
        <v>500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27</v>
      </c>
      <c r="C118" s="204">
        <v>30</v>
      </c>
      <c r="D118" s="191">
        <f t="shared" si="8"/>
        <v>810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31</v>
      </c>
      <c r="B119" s="193">
        <f>'Données projet'!D117</f>
        <v>36</v>
      </c>
      <c r="C119" s="204">
        <v>40</v>
      </c>
      <c r="D119" s="191">
        <f t="shared" si="8"/>
        <v>1440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37</v>
      </c>
      <c r="B120" s="193">
        <f>'Données projet'!D118</f>
        <v>36</v>
      </c>
      <c r="C120" s="204">
        <v>50</v>
      </c>
      <c r="D120" s="191">
        <f t="shared" si="8"/>
        <v>1800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44</v>
      </c>
      <c r="B121" s="193">
        <f>'Données projet'!D119</f>
        <v>43</v>
      </c>
      <c r="C121" s="204">
        <v>60</v>
      </c>
      <c r="D121" s="191">
        <f t="shared" si="8"/>
        <v>2580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52</v>
      </c>
      <c r="B122" s="193">
        <f>'Données projet'!D120</f>
        <v>48</v>
      </c>
      <c r="C122" s="204">
        <v>65</v>
      </c>
      <c r="D122" s="191">
        <f t="shared" si="8"/>
        <v>3120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60</v>
      </c>
      <c r="B123" s="193">
        <f>'Données projet'!D121</f>
        <v>47</v>
      </c>
      <c r="C123" s="204">
        <v>80</v>
      </c>
      <c r="D123" s="191">
        <f t="shared" si="8"/>
        <v>3760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69</v>
      </c>
      <c r="B124" s="193">
        <f>'Données projet'!D122</f>
        <v>328</v>
      </c>
      <c r="C124" s="204">
        <v>100</v>
      </c>
      <c r="D124" s="191">
        <f t="shared" si="8"/>
        <v>32800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Erable champêtre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10</v>
      </c>
      <c r="B147" s="187">
        <f>'Données projet'!D140</f>
        <v>0</v>
      </c>
      <c r="C147" s="292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15</v>
      </c>
      <c r="B148" s="187">
        <f>'Données projet'!D141</f>
        <v>32</v>
      </c>
      <c r="C148" s="292">
        <v>8</v>
      </c>
      <c r="D148" s="194">
        <f t="shared" ref="D148:D166" si="10">B148*C148</f>
        <v>256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20</v>
      </c>
      <c r="B149" s="187">
        <f>'Données projet'!D142</f>
        <v>35</v>
      </c>
      <c r="C149" s="292">
        <v>10</v>
      </c>
      <c r="D149" s="194">
        <f t="shared" si="10"/>
        <v>350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25</v>
      </c>
      <c r="B150" s="187">
        <f>'Données projet'!D143</f>
        <v>35</v>
      </c>
      <c r="C150" s="292">
        <v>10</v>
      </c>
      <c r="D150" s="194">
        <f t="shared" si="10"/>
        <v>350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30</v>
      </c>
      <c r="B151" s="187">
        <f>'Données projet'!D144</f>
        <v>35</v>
      </c>
      <c r="C151" s="292">
        <v>10</v>
      </c>
      <c r="D151" s="194">
        <f t="shared" si="10"/>
        <v>350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35</v>
      </c>
      <c r="B152" s="187">
        <f>'Données projet'!D145</f>
        <v>35</v>
      </c>
      <c r="C152" s="292">
        <v>10</v>
      </c>
      <c r="D152" s="194">
        <f t="shared" si="10"/>
        <v>350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40</v>
      </c>
      <c r="B153" s="187">
        <f>'Données projet'!D146</f>
        <v>35</v>
      </c>
      <c r="C153" s="292">
        <v>15</v>
      </c>
      <c r="D153" s="194">
        <f t="shared" si="10"/>
        <v>525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45</v>
      </c>
      <c r="B154" s="187">
        <f>'Données projet'!D147</f>
        <v>24</v>
      </c>
      <c r="C154" s="292">
        <v>15</v>
      </c>
      <c r="D154" s="194">
        <f t="shared" si="10"/>
        <v>360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50</v>
      </c>
      <c r="B155" s="187">
        <f>'Données projet'!D148</f>
        <v>19</v>
      </c>
      <c r="C155" s="292">
        <v>15</v>
      </c>
      <c r="D155" s="194">
        <f t="shared" si="10"/>
        <v>285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55</v>
      </c>
      <c r="B156" s="187">
        <f>'Données projet'!D149</f>
        <v>16</v>
      </c>
      <c r="C156" s="292">
        <v>15</v>
      </c>
      <c r="D156" s="194">
        <f t="shared" si="10"/>
        <v>240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60</v>
      </c>
      <c r="B157" s="187">
        <f>'Données projet'!D150</f>
        <v>14</v>
      </c>
      <c r="C157" s="292">
        <v>20</v>
      </c>
      <c r="D157" s="194">
        <f t="shared" si="10"/>
        <v>280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65</v>
      </c>
      <c r="B158" s="187">
        <f>'Données projet'!D151</f>
        <v>13</v>
      </c>
      <c r="C158" s="292">
        <v>20</v>
      </c>
      <c r="D158" s="194">
        <f t="shared" si="10"/>
        <v>260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70</v>
      </c>
      <c r="B159" s="187">
        <f>'Données projet'!D152</f>
        <v>13</v>
      </c>
      <c r="C159" s="292">
        <v>40</v>
      </c>
      <c r="D159" s="194">
        <f t="shared" si="10"/>
        <v>520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75</v>
      </c>
      <c r="B160" s="187">
        <f>'Données projet'!D153</f>
        <v>12</v>
      </c>
      <c r="C160" s="292">
        <v>50</v>
      </c>
      <c r="D160" s="194">
        <f t="shared" si="10"/>
        <v>600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80</v>
      </c>
      <c r="B161" s="187">
        <f>'Données projet'!D154</f>
        <v>11</v>
      </c>
      <c r="C161" s="292">
        <v>70</v>
      </c>
      <c r="D161" s="194">
        <f t="shared" si="10"/>
        <v>770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92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Peuplier Taro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16</v>
      </c>
      <c r="B178" s="193">
        <f>'Données projet'!D166</f>
        <v>357</v>
      </c>
      <c r="C178" s="206">
        <v>50</v>
      </c>
      <c r="D178" s="191">
        <f>B178*C178</f>
        <v>17850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Noyer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10</v>
      </c>
      <c r="B209" s="193">
        <f>'Données projet'!D192</f>
        <v>0</v>
      </c>
      <c r="C209" s="206">
        <v>0</v>
      </c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15</v>
      </c>
      <c r="B210" s="193">
        <f>'Données projet'!D193</f>
        <v>32</v>
      </c>
      <c r="C210" s="206">
        <v>10</v>
      </c>
      <c r="D210" s="191">
        <f t="shared" ref="D210:D228" si="12">B210*C210</f>
        <v>320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20</v>
      </c>
      <c r="B211" s="193">
        <f>'Données projet'!D194</f>
        <v>35</v>
      </c>
      <c r="C211" s="206">
        <v>15</v>
      </c>
      <c r="D211" s="191">
        <f t="shared" si="12"/>
        <v>525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25</v>
      </c>
      <c r="B212" s="193">
        <f>'Données projet'!D195</f>
        <v>35</v>
      </c>
      <c r="C212" s="206">
        <v>20</v>
      </c>
      <c r="D212" s="191">
        <f t="shared" si="12"/>
        <v>700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30</v>
      </c>
      <c r="B213" s="193">
        <f>'Données projet'!D196</f>
        <v>35</v>
      </c>
      <c r="C213" s="206">
        <v>20</v>
      </c>
      <c r="D213" s="191">
        <f t="shared" si="12"/>
        <v>700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35</v>
      </c>
      <c r="B214" s="193">
        <f>'Données projet'!D197</f>
        <v>35</v>
      </c>
      <c r="C214" s="206">
        <v>20</v>
      </c>
      <c r="D214" s="191">
        <f t="shared" si="12"/>
        <v>700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40</v>
      </c>
      <c r="B215" s="193">
        <f>'Données projet'!D198</f>
        <v>35</v>
      </c>
      <c r="C215" s="206">
        <v>20</v>
      </c>
      <c r="D215" s="191">
        <f t="shared" si="12"/>
        <v>700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45</v>
      </c>
      <c r="B216" s="193">
        <f>'Données projet'!D199</f>
        <v>24</v>
      </c>
      <c r="C216" s="206">
        <v>50</v>
      </c>
      <c r="D216" s="191">
        <f t="shared" si="12"/>
        <v>1200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50</v>
      </c>
      <c r="B217" s="193">
        <f>'Données projet'!D200</f>
        <v>19</v>
      </c>
      <c r="C217" s="206">
        <v>50</v>
      </c>
      <c r="D217" s="191">
        <f t="shared" si="12"/>
        <v>950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55</v>
      </c>
      <c r="B218" s="193">
        <f>'Données projet'!D201</f>
        <v>16</v>
      </c>
      <c r="C218" s="206">
        <v>80</v>
      </c>
      <c r="D218" s="191">
        <f t="shared" si="12"/>
        <v>1280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60</v>
      </c>
      <c r="B219" s="193">
        <f>'Données projet'!D202</f>
        <v>14</v>
      </c>
      <c r="C219" s="206">
        <v>80</v>
      </c>
      <c r="D219" s="191">
        <f t="shared" si="12"/>
        <v>1120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65</v>
      </c>
      <c r="B220" s="193">
        <f>'Données projet'!D203</f>
        <v>13</v>
      </c>
      <c r="C220" s="206">
        <v>100</v>
      </c>
      <c r="D220" s="191">
        <f t="shared" si="12"/>
        <v>1300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70</v>
      </c>
      <c r="B221" s="193">
        <f>'Données projet'!D204</f>
        <v>13</v>
      </c>
      <c r="C221" s="206">
        <v>110</v>
      </c>
      <c r="D221" s="191">
        <f t="shared" si="12"/>
        <v>1430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75</v>
      </c>
      <c r="B222" s="193">
        <f>'Données projet'!D205</f>
        <v>12</v>
      </c>
      <c r="C222" s="206">
        <v>120</v>
      </c>
      <c r="D222" s="191">
        <f t="shared" si="12"/>
        <v>1440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80</v>
      </c>
      <c r="B223" s="193">
        <f>'Données projet'!D206</f>
        <v>11</v>
      </c>
      <c r="C223" s="206">
        <v>130</v>
      </c>
      <c r="D223" s="191">
        <f t="shared" si="12"/>
        <v>1430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Peuplier Taro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16</v>
      </c>
      <c r="B240" s="193">
        <f>'Données projet'!D218</f>
        <v>481</v>
      </c>
      <c r="C240" s="206">
        <v>50</v>
      </c>
      <c r="D240" s="191">
        <f>B240*C240</f>
        <v>24050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2025-01-14T07:46:49Z</dcterms:modified>
</cp:coreProperties>
</file>