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# HERMOUET/De HILLERIN - CD/"/>
    </mc:Choice>
  </mc:AlternateContent>
  <xr:revisionPtr revIDLastSave="0" documentId="14_{B3FDAD60-2CBD-4289-96DC-9B7CC7C06ECE}" xr6:coauthVersionLast="47" xr6:coauthVersionMax="47" xr10:uidLastSave="{00000000-0000-0000-0000-000000000000}"/>
  <bookViews>
    <workbookView xWindow="-28905" yWindow="3555" windowWidth="14610" windowHeight="1558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DI154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EB156" i="2" l="1"/>
  <c r="AB156" i="2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B161" i="2"/>
  <c r="FS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HH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DI163" i="2"/>
  <c r="HG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DG168" i="2"/>
  <c r="DI167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DI192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EA201" i="2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58" i="2" a="1"/>
  <c r="BC5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AH62" i="2" a="1"/>
  <c r="AH62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AH199" i="2" l="1" a="1"/>
  <c r="AH199" i="2" s="1"/>
  <c r="CS105" i="2" a="1"/>
  <c r="CS105" i="2" s="1"/>
  <c r="CS114" i="2" a="1"/>
  <c r="CS114" i="2" s="1"/>
  <c r="CS120" i="2" a="1"/>
  <c r="CS120" i="2" s="1"/>
  <c r="CS77" i="2" a="1"/>
  <c r="CS77" i="2" s="1"/>
  <c r="CS56" i="2" a="1"/>
  <c r="CS56" i="2" s="1"/>
  <c r="CS72" i="2" a="1"/>
  <c r="CS72" i="2" s="1"/>
  <c r="CS137" i="2" a="1"/>
  <c r="CS137" i="2" s="1"/>
  <c r="CS134" i="2" a="1"/>
  <c r="CS134" i="2" s="1"/>
  <c r="CS185" i="2" a="1"/>
  <c r="CS185" i="2" s="1"/>
  <c r="CS24" i="2" a="1"/>
  <c r="CS24" i="2" s="1"/>
  <c r="CS116" i="2" a="1"/>
  <c r="CS116" i="2" s="1"/>
  <c r="BX107" i="2" a="1"/>
  <c r="BX107" i="2" s="1"/>
  <c r="CS129" i="2" a="1"/>
  <c r="CS129" i="2" s="1"/>
  <c r="CS52" i="2" a="1"/>
  <c r="CS52" i="2" s="1"/>
  <c r="CS66" i="2" a="1"/>
  <c r="CS66" i="2" s="1"/>
  <c r="CS38" i="2" a="1"/>
  <c r="CS38" i="2" s="1"/>
  <c r="CS161" i="2" a="1"/>
  <c r="CS161" i="2" s="1"/>
  <c r="AH163" i="2" a="1"/>
  <c r="AH163" i="2" s="1"/>
  <c r="BC181" i="2" a="1"/>
  <c r="BC181" i="2" s="1"/>
  <c r="BC130" i="2" a="1"/>
  <c r="BC130" i="2" s="1"/>
  <c r="BC68" i="2" a="1"/>
  <c r="BC68" i="2" s="1"/>
  <c r="BC151" i="2" a="1"/>
  <c r="BC151" i="2" s="1"/>
  <c r="BC34" i="2" a="1"/>
  <c r="BC34" i="2" s="1"/>
  <c r="BC7" i="2" a="1"/>
  <c r="BC7" i="2" s="1"/>
  <c r="BD7" i="2" s="1"/>
  <c r="BC185" i="2" a="1"/>
  <c r="BC185" i="2" s="1"/>
  <c r="BC143" i="2" a="1"/>
  <c r="BC143" i="2" s="1"/>
  <c r="BC117" i="2" a="1"/>
  <c r="BC117" i="2" s="1"/>
  <c r="AH92" i="2" a="1"/>
  <c r="AH92" i="2" s="1"/>
  <c r="AH19" i="2" a="1"/>
  <c r="AH19" i="2" s="1"/>
  <c r="AH90" i="2" a="1"/>
  <c r="AH90" i="2" s="1"/>
  <c r="AH166" i="2" a="1"/>
  <c r="AH166" i="2" s="1"/>
  <c r="AH151" i="2" a="1"/>
  <c r="AH151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81" i="2" l="1"/>
  <c r="CD130" i="2"/>
  <c r="CD21" i="2"/>
  <c r="CD80" i="2"/>
  <c r="CD115" i="2"/>
  <c r="CD144" i="2"/>
  <c r="CD7" i="2"/>
  <c r="CD137" i="2"/>
  <c r="CD95" i="2"/>
  <c r="CD62" i="2"/>
  <c r="CD78" i="2"/>
  <c r="CD47" i="2"/>
  <c r="CD120" i="2"/>
  <c r="CD110" i="2"/>
  <c r="CD89" i="2"/>
  <c r="CD177" i="2"/>
  <c r="CD175" i="2"/>
  <c r="CD59" i="2"/>
  <c r="CD183" i="2"/>
  <c r="CD76" i="2"/>
  <c r="CD37" i="2"/>
  <c r="CD125" i="2"/>
  <c r="CD99" i="2"/>
  <c r="CD52" i="2"/>
  <c r="CD28" i="2"/>
  <c r="CD108" i="2"/>
  <c r="CD63" i="2"/>
  <c r="CD67" i="2"/>
  <c r="CD22" i="2"/>
  <c r="CD91" i="2"/>
  <c r="CD16" i="2"/>
  <c r="CD20" i="2"/>
  <c r="CD112" i="2"/>
  <c r="CD11" i="2"/>
  <c r="CD61" i="2"/>
  <c r="CD165" i="2"/>
  <c r="CD30" i="2"/>
  <c r="CD19" i="2"/>
  <c r="CD189" i="2"/>
  <c r="CD68" i="2"/>
  <c r="CD72" i="2"/>
  <c r="CD155" i="2"/>
  <c r="CD153" i="2"/>
  <c r="CD57" i="2"/>
  <c r="CD174" i="2"/>
  <c r="CD129" i="2"/>
  <c r="CD195" i="2"/>
  <c r="CD149" i="2"/>
  <c r="CD178" i="2"/>
  <c r="CD113" i="2"/>
  <c r="CD88" i="2"/>
  <c r="CD111" i="2"/>
  <c r="CD168" i="2"/>
  <c r="CD50" i="2"/>
  <c r="CD31" i="2"/>
  <c r="CD85" i="2"/>
  <c r="CD138" i="2"/>
  <c r="CD122" i="2"/>
  <c r="CD84" i="2"/>
  <c r="CD132" i="2"/>
  <c r="CD14" i="2"/>
  <c r="CD4" i="2"/>
  <c r="CD198" i="2"/>
  <c r="CD83" i="2"/>
  <c r="CD34" i="2"/>
  <c r="CD124" i="2"/>
  <c r="CD194" i="2"/>
  <c r="CD157" i="2"/>
  <c r="CD17" i="2"/>
  <c r="CD39" i="2"/>
  <c r="CD18" i="2"/>
  <c r="CD200" i="2"/>
  <c r="CD158" i="2"/>
  <c r="CD42" i="2"/>
  <c r="CD185" i="2"/>
  <c r="CD32" i="2"/>
  <c r="CD87" i="2"/>
  <c r="CD9" i="2"/>
  <c r="CD26" i="2"/>
  <c r="CD105" i="2"/>
  <c r="CD10" i="2"/>
  <c r="CD25" i="2"/>
  <c r="CD166" i="2"/>
  <c r="CD66" i="2"/>
  <c r="CD77" i="2"/>
  <c r="CD8" i="2"/>
  <c r="CD151" i="2"/>
  <c r="CD51" i="2"/>
  <c r="CD82" i="2"/>
  <c r="CD97" i="2"/>
  <c r="CD136" i="2"/>
  <c r="CD201" i="2"/>
  <c r="CD98" i="2"/>
  <c r="CD148" i="2"/>
  <c r="CD106" i="2"/>
  <c r="CD184" i="2"/>
  <c r="CD128" i="2"/>
  <c r="CD161" i="2"/>
  <c r="CD94" i="2"/>
  <c r="CD150" i="2"/>
  <c r="CD70" i="2"/>
  <c r="CD163" i="2"/>
  <c r="CD167" i="2"/>
  <c r="CD73" i="2"/>
  <c r="CD159" i="2"/>
  <c r="CD191" i="2"/>
  <c r="CD126" i="2"/>
  <c r="CD140" i="2"/>
  <c r="CD188" i="2"/>
  <c r="CD147" i="2"/>
  <c r="CD74" i="2"/>
  <c r="CD102" i="2"/>
  <c r="CD103" i="2"/>
  <c r="CD203" i="2"/>
  <c r="CD192" i="2"/>
  <c r="CD171" i="2"/>
  <c r="CD101" i="2"/>
  <c r="CD133" i="2"/>
  <c r="CD118" i="2"/>
  <c r="CD60" i="2"/>
  <c r="CD5" i="2"/>
  <c r="CD199" i="2"/>
  <c r="CD71" i="2"/>
  <c r="CD202" i="2"/>
  <c r="CD135" i="2"/>
  <c r="CD55" i="2"/>
  <c r="CD56" i="2"/>
  <c r="CD139" i="2"/>
  <c r="CD146" i="2"/>
  <c r="CD64" i="2"/>
  <c r="CD90" i="2"/>
  <c r="CD54" i="2"/>
  <c r="CD134" i="2"/>
  <c r="CD152" i="2"/>
  <c r="CD176" i="2"/>
  <c r="CD117" i="2"/>
  <c r="CD172" i="2"/>
  <c r="CD75" i="2"/>
  <c r="CD58" i="2"/>
  <c r="CD12" i="2"/>
  <c r="CD86" i="2"/>
  <c r="CD127" i="2"/>
  <c r="CD190" i="2"/>
  <c r="CD186" i="2"/>
  <c r="CD170" i="2"/>
  <c r="CD24" i="2"/>
  <c r="CD6" i="2"/>
  <c r="CD48" i="2"/>
  <c r="CD196" i="2"/>
  <c r="CD29" i="2"/>
  <c r="CD79" i="2"/>
  <c r="CD123" i="2"/>
  <c r="CD182" i="2"/>
  <c r="CD96" i="2"/>
  <c r="CD164" i="2"/>
  <c r="CD65" i="2"/>
  <c r="CD43" i="2"/>
  <c r="CD181" i="2"/>
  <c r="CD15" i="2"/>
  <c r="CD69" i="2"/>
  <c r="CD36" i="2"/>
  <c r="CD187" i="2"/>
  <c r="CD116" i="2"/>
  <c r="CD33" i="2"/>
  <c r="CD23" i="2"/>
  <c r="CD109" i="2"/>
  <c r="CD119" i="2"/>
  <c r="CD179" i="2"/>
  <c r="CD114" i="2"/>
  <c r="CD40" i="2"/>
  <c r="CD104" i="2"/>
  <c r="CD162" i="2"/>
  <c r="CD27" i="2"/>
  <c r="CD154" i="2"/>
  <c r="CD92" i="2"/>
  <c r="CD35" i="2"/>
  <c r="CD45" i="2"/>
  <c r="CD13" i="2"/>
  <c r="CD180" i="2"/>
  <c r="CD197" i="2"/>
  <c r="CD141" i="2"/>
  <c r="CD121" i="2"/>
  <c r="CD38" i="2"/>
  <c r="CD156" i="2"/>
  <c r="CD143" i="2"/>
  <c r="CD142" i="2"/>
  <c r="CD41" i="2"/>
  <c r="CD131" i="2"/>
  <c r="CD93" i="2"/>
  <c r="CD44" i="2"/>
  <c r="CD145" i="2"/>
  <c r="CD160" i="2"/>
  <c r="CD193" i="2"/>
  <c r="CD49" i="2"/>
  <c r="CD107" i="2"/>
  <c r="CD46" i="2"/>
  <c r="CD173" i="2"/>
  <c r="CD53" i="2"/>
  <c r="CD3" i="2"/>
  <c r="C9" i="4" s="1"/>
  <c r="E9" i="4" s="1"/>
  <c r="F9" i="4" s="1"/>
  <c r="G9" i="4" s="1"/>
  <c r="L9" i="4" s="1"/>
  <c r="CD169" i="2"/>
  <c r="CD100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AN203" i="2" l="1"/>
  <c r="AN114" i="2"/>
  <c r="AN129" i="2"/>
  <c r="AN22" i="2"/>
  <c r="AN63" i="2"/>
  <c r="AN38" i="2"/>
  <c r="AN78" i="2"/>
  <c r="AN15" i="2"/>
  <c r="AN31" i="2"/>
  <c r="AN45" i="2"/>
  <c r="AN62" i="2"/>
  <c r="AN100" i="2"/>
  <c r="AN118" i="2"/>
  <c r="AN199" i="2"/>
  <c r="AN101" i="2"/>
  <c r="AN32" i="2"/>
  <c r="AN177" i="2"/>
  <c r="AN128" i="2"/>
  <c r="AN201" i="2"/>
  <c r="AN138" i="2"/>
  <c r="AN29" i="2"/>
  <c r="AN41" i="2"/>
  <c r="AN174" i="2"/>
  <c r="AN132" i="2"/>
  <c r="AN30" i="2"/>
  <c r="AN115" i="2"/>
  <c r="AN143" i="2"/>
  <c r="AN58" i="2"/>
  <c r="AN182" i="2"/>
  <c r="AN83" i="2"/>
  <c r="AN122" i="2"/>
  <c r="AN6" i="2"/>
  <c r="AN52" i="2"/>
  <c r="AN21" i="2"/>
  <c r="AN193" i="2"/>
  <c r="AN26" i="2"/>
  <c r="AN156" i="2"/>
  <c r="AN158" i="2"/>
  <c r="AN165" i="2"/>
  <c r="AN188" i="2"/>
  <c r="AN39" i="2"/>
  <c r="AN109" i="2"/>
  <c r="AN186" i="2"/>
  <c r="AN74" i="2"/>
  <c r="AN144" i="2"/>
  <c r="AN16" i="2"/>
  <c r="AN112" i="2"/>
  <c r="AN146" i="2"/>
  <c r="AN87" i="2"/>
  <c r="AN73" i="2"/>
  <c r="AN164" i="2"/>
  <c r="AN43" i="2"/>
  <c r="AN189" i="2"/>
  <c r="AN125" i="2"/>
  <c r="AN34" i="2"/>
  <c r="AN155" i="2"/>
  <c r="AN184" i="2"/>
  <c r="AN160" i="2"/>
  <c r="AN95" i="2"/>
  <c r="AN8" i="2"/>
  <c r="AN96" i="2"/>
  <c r="AN36" i="2"/>
  <c r="AN17" i="2"/>
  <c r="AN196" i="2"/>
  <c r="AN150" i="2"/>
  <c r="AN108" i="2"/>
  <c r="AN190" i="2"/>
  <c r="AN23" i="2"/>
  <c r="AN154" i="2"/>
  <c r="AN147" i="2"/>
  <c r="AN142" i="2"/>
  <c r="AN130" i="2"/>
  <c r="AN167" i="2"/>
  <c r="AN103" i="2"/>
  <c r="AN133" i="2"/>
  <c r="AN120" i="2"/>
  <c r="AN116" i="2"/>
  <c r="AN27" i="2"/>
  <c r="AN79" i="2"/>
  <c r="AN20" i="2"/>
  <c r="AN35" i="2"/>
  <c r="AN162" i="2"/>
  <c r="AN151" i="2"/>
  <c r="AN57" i="2"/>
  <c r="AN172" i="2"/>
  <c r="AN91" i="2"/>
  <c r="AN119" i="2"/>
  <c r="AN131" i="2"/>
  <c r="AN86" i="2"/>
  <c r="AN124" i="2"/>
  <c r="AN59" i="2"/>
  <c r="AN50" i="2"/>
  <c r="AN14" i="2"/>
  <c r="AN141" i="2"/>
  <c r="AN157" i="2"/>
  <c r="AN194" i="2"/>
  <c r="AN200" i="2"/>
  <c r="AN117" i="2"/>
  <c r="AN90" i="2"/>
  <c r="AN71" i="2"/>
  <c r="AN53" i="2"/>
  <c r="AN13" i="2"/>
  <c r="AN67" i="2"/>
  <c r="AN68" i="2"/>
  <c r="AN18" i="2"/>
  <c r="AN92" i="2"/>
  <c r="AN4" i="2"/>
  <c r="AN61" i="2"/>
  <c r="AN176" i="2"/>
  <c r="AN110" i="2"/>
  <c r="AN82" i="2"/>
  <c r="AN3" i="2"/>
  <c r="C7" i="4" s="1"/>
  <c r="E7" i="4" s="1"/>
  <c r="F7" i="4" s="1"/>
  <c r="G7" i="4" s="1"/>
  <c r="L7" i="4" s="1"/>
  <c r="AN106" i="2"/>
  <c r="AN168" i="2"/>
  <c r="AN81" i="2"/>
  <c r="AN161" i="2"/>
  <c r="AN12" i="2"/>
  <c r="AN25" i="2"/>
  <c r="AN126" i="2"/>
  <c r="AN99" i="2"/>
  <c r="AN47" i="2"/>
  <c r="AN123" i="2"/>
  <c r="AN88" i="2"/>
  <c r="AN148" i="2"/>
  <c r="AN163" i="2"/>
  <c r="AN180" i="2"/>
  <c r="AN135" i="2"/>
  <c r="AN140" i="2"/>
  <c r="AN40" i="2"/>
  <c r="AN69" i="2"/>
  <c r="AN173" i="2"/>
  <c r="AN5" i="2"/>
  <c r="AN72" i="2"/>
  <c r="AN11" i="2"/>
  <c r="AN70" i="2"/>
  <c r="AN60" i="2"/>
  <c r="AN139" i="2"/>
  <c r="AN77" i="2"/>
  <c r="AN121" i="2"/>
  <c r="AN159" i="2"/>
  <c r="AN80" i="2"/>
  <c r="AN97" i="2"/>
  <c r="AN49" i="2"/>
  <c r="AN198" i="2"/>
  <c r="AN93" i="2"/>
  <c r="AN170" i="2"/>
  <c r="AN56" i="2"/>
  <c r="AN24" i="2"/>
  <c r="AN76" i="2"/>
  <c r="AN84" i="2"/>
  <c r="AN113" i="2"/>
  <c r="AN185" i="2"/>
  <c r="AN183" i="2"/>
  <c r="AN134" i="2"/>
  <c r="AN127" i="2"/>
  <c r="AN66" i="2"/>
  <c r="AN191" i="2"/>
  <c r="AN202" i="2"/>
  <c r="AN166" i="2"/>
  <c r="AN111" i="2"/>
  <c r="AN169" i="2"/>
  <c r="AN179" i="2"/>
  <c r="AN75" i="2"/>
  <c r="AN145" i="2"/>
  <c r="AN37" i="2"/>
  <c r="AN152" i="2"/>
  <c r="AN98" i="2"/>
  <c r="AN7" i="2"/>
  <c r="AN153" i="2"/>
  <c r="AN136" i="2"/>
  <c r="AN105" i="2"/>
  <c r="AN85" i="2"/>
  <c r="AN28" i="2"/>
  <c r="AN19" i="2"/>
  <c r="AN149" i="2"/>
  <c r="AN187" i="2"/>
  <c r="AN178" i="2"/>
  <c r="AN51" i="2"/>
  <c r="AN33" i="2"/>
  <c r="AN44" i="2"/>
  <c r="AN89" i="2"/>
  <c r="AN137" i="2"/>
  <c r="AN107" i="2"/>
  <c r="AN9" i="2"/>
  <c r="AN55" i="2"/>
  <c r="AN197" i="2"/>
  <c r="AN171" i="2"/>
  <c r="AN10" i="2"/>
  <c r="AN64" i="2"/>
  <c r="AN48" i="2"/>
  <c r="AN65" i="2"/>
  <c r="AN102" i="2"/>
  <c r="AN192" i="2"/>
  <c r="AN181" i="2"/>
  <c r="AN175" i="2"/>
  <c r="AN94" i="2"/>
  <c r="AN104" i="2"/>
  <c r="AN46" i="2"/>
  <c r="AN42" i="2"/>
  <c r="AN54" i="2"/>
  <c r="AN195" i="2"/>
  <c r="FE193" i="2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31" i="2"/>
  <c r="BI77" i="2"/>
  <c r="BI94" i="2"/>
  <c r="BI96" i="2"/>
  <c r="BI111" i="2"/>
  <c r="BI163" i="2"/>
  <c r="BI141" i="2"/>
  <c r="BI115" i="2"/>
  <c r="BI5" i="2"/>
  <c r="BI98" i="2"/>
  <c r="BI196" i="2"/>
  <c r="BI23" i="2"/>
  <c r="BI156" i="2"/>
  <c r="BI6" i="2"/>
  <c r="BI26" i="2"/>
  <c r="BI136" i="2"/>
  <c r="BI19" i="2"/>
  <c r="BI199" i="2"/>
  <c r="BI39" i="2"/>
  <c r="BI191" i="2"/>
  <c r="BI34" i="2"/>
  <c r="BI72" i="2"/>
  <c r="BI152" i="2"/>
  <c r="BI51" i="2"/>
  <c r="BI11" i="2"/>
  <c r="BI93" i="2"/>
  <c r="BI119" i="2"/>
  <c r="BI67" i="2"/>
  <c r="BI118" i="2"/>
  <c r="BI192" i="2"/>
  <c r="BI87" i="2"/>
  <c r="BI129" i="2"/>
  <c r="BI157" i="2"/>
  <c r="BI58" i="2"/>
  <c r="BI62" i="2"/>
  <c r="BI139" i="2"/>
  <c r="BI175" i="2"/>
  <c r="BI88" i="2"/>
  <c r="BI182" i="2"/>
  <c r="BI22" i="2"/>
  <c r="BI54" i="2"/>
  <c r="BI185" i="2"/>
  <c r="BI37" i="2"/>
  <c r="BI71" i="2"/>
  <c r="BI128" i="2"/>
  <c r="BI134" i="2"/>
  <c r="BI113" i="2"/>
  <c r="BI68" i="2"/>
  <c r="BI52" i="2"/>
  <c r="BI20" i="2"/>
  <c r="BI160" i="2"/>
  <c r="BI167" i="2"/>
  <c r="BI197" i="2"/>
  <c r="BI144" i="2"/>
  <c r="BI15" i="2"/>
  <c r="BI190" i="2"/>
  <c r="BI124" i="2"/>
  <c r="BI60" i="2"/>
  <c r="BI177" i="2"/>
  <c r="BI3" i="2"/>
  <c r="C8" i="4" s="1"/>
  <c r="E8" i="4" s="1"/>
  <c r="F8" i="4" s="1"/>
  <c r="G8" i="4" s="1"/>
  <c r="L8" i="4" s="1"/>
  <c r="BI164" i="2"/>
  <c r="BI198" i="2"/>
  <c r="BI56" i="2"/>
  <c r="BI57" i="2"/>
  <c r="BI32" i="2"/>
  <c r="BI63" i="2"/>
  <c r="BI45" i="2"/>
  <c r="BI14" i="2"/>
  <c r="BI162" i="2"/>
  <c r="BI76" i="2"/>
  <c r="BI61" i="2"/>
  <c r="BI179" i="2"/>
  <c r="BI146" i="2"/>
  <c r="BI135" i="2"/>
  <c r="BI116" i="2"/>
  <c r="BI143" i="2"/>
  <c r="BI155" i="2"/>
  <c r="BI43" i="2"/>
  <c r="BI74" i="2"/>
  <c r="BI120" i="2"/>
  <c r="BI17" i="2"/>
  <c r="BI13" i="2"/>
  <c r="BI154" i="2"/>
  <c r="BI4" i="2"/>
  <c r="BI86" i="2"/>
  <c r="BI174" i="2"/>
  <c r="BI42" i="2"/>
  <c r="BI186" i="2"/>
  <c r="BI16" i="2"/>
  <c r="BI84" i="2"/>
  <c r="BI122" i="2"/>
  <c r="BI73" i="2"/>
  <c r="BI99" i="2"/>
  <c r="BI172" i="2"/>
  <c r="BI183" i="2"/>
  <c r="BI200" i="2"/>
  <c r="BI121" i="2"/>
  <c r="BI178" i="2"/>
  <c r="BI18" i="2"/>
  <c r="BI137" i="2"/>
  <c r="BI9" i="2"/>
  <c r="BI41" i="2"/>
  <c r="BI106" i="2"/>
  <c r="BI138" i="2"/>
  <c r="BI85" i="2"/>
  <c r="BI112" i="2"/>
  <c r="BI91" i="2"/>
  <c r="BI166" i="2"/>
  <c r="BI170" i="2"/>
  <c r="BI25" i="2"/>
  <c r="BI66" i="2"/>
  <c r="BI12" i="2"/>
  <c r="BI114" i="2"/>
  <c r="BI89" i="2"/>
  <c r="BI153" i="2"/>
  <c r="BI173" i="2"/>
  <c r="BI100" i="2"/>
  <c r="BI189" i="2"/>
  <c r="BI29" i="2"/>
  <c r="BI38" i="2"/>
  <c r="BI33" i="2"/>
  <c r="BI50" i="2"/>
  <c r="BI82" i="2"/>
  <c r="BI159" i="2"/>
  <c r="BI140" i="2"/>
  <c r="BI176" i="2"/>
  <c r="BI142" i="2"/>
  <c r="BI105" i="2"/>
  <c r="BI125" i="2"/>
  <c r="BI194" i="2"/>
  <c r="BI161" i="2"/>
  <c r="BI30" i="2"/>
  <c r="BI123" i="2"/>
  <c r="BI158" i="2"/>
  <c r="BI180" i="2"/>
  <c r="BI69" i="2"/>
  <c r="BI24" i="2"/>
  <c r="BI110" i="2"/>
  <c r="BI165" i="2"/>
  <c r="BI101" i="2"/>
  <c r="BI10" i="2"/>
  <c r="BI79" i="2"/>
  <c r="BI131" i="2"/>
  <c r="BI132" i="2"/>
  <c r="BI168" i="2"/>
  <c r="BI145" i="2"/>
  <c r="BI65" i="2"/>
  <c r="BI28" i="2"/>
  <c r="BI40" i="2"/>
  <c r="BI90" i="2"/>
  <c r="BI83" i="2"/>
  <c r="BI117" i="2"/>
  <c r="BI46" i="2"/>
  <c r="BI70" i="2"/>
  <c r="BI203" i="2"/>
  <c r="BI81" i="2"/>
  <c r="BI92" i="2"/>
  <c r="BI104" i="2"/>
  <c r="BI103" i="2"/>
  <c r="BI102" i="2"/>
  <c r="BI149" i="2"/>
  <c r="BI21" i="2"/>
  <c r="BI126" i="2"/>
  <c r="BI27" i="2"/>
  <c r="BI150" i="2"/>
  <c r="BI148" i="2"/>
  <c r="BI151" i="2"/>
  <c r="BI59" i="2"/>
  <c r="BI108" i="2"/>
  <c r="BI36" i="2"/>
  <c r="BI184" i="2"/>
  <c r="BI130" i="2"/>
  <c r="BI8" i="2"/>
  <c r="BI64" i="2"/>
  <c r="BI133" i="2"/>
  <c r="BI97" i="2"/>
  <c r="BI181" i="2"/>
  <c r="BI147" i="2"/>
  <c r="BI169" i="2"/>
  <c r="BI171" i="2"/>
  <c r="BI53" i="2"/>
  <c r="BI44" i="2"/>
  <c r="BI7" i="2"/>
  <c r="BI107" i="2"/>
  <c r="BI187" i="2"/>
  <c r="BI80" i="2"/>
  <c r="BI48" i="2"/>
  <c r="BI195" i="2"/>
  <c r="BI202" i="2"/>
  <c r="BI55" i="2"/>
  <c r="BI109" i="2"/>
  <c r="BI35" i="2"/>
  <c r="BI193" i="2"/>
  <c r="BI75" i="2"/>
  <c r="BI95" i="2"/>
  <c r="BI188" i="2"/>
  <c r="BI201" i="2"/>
  <c r="BI49" i="2"/>
  <c r="BI127" i="2"/>
  <c r="BI78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<sst xmlns="http://schemas.openxmlformats.org/spreadsheetml/2006/main" count="1173" uniqueCount="324">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</sst>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3.4410738171973398</c:v>
                </c:pt>
                <c:pt idx="2">
                  <c:v>4.4608209455466667</c:v>
                </c:pt>
                <c:pt idx="3">
                  <c:v>5.7839593618286251</c:v>
                </c:pt>
                <c:pt idx="4">
                  <c:v>7.5010867058128019</c:v>
                </c:pt>
                <c:pt idx="5">
                  <c:v>9.7299475504541739</c:v>
                </c:pt>
                <c:pt idx="6">
                  <c:v>12.62359359108882</c:v>
                </c:pt>
                <c:pt idx="7">
                  <c:v>16.381003870746099</c:v>
                </c:pt>
                <c:pt idx="8">
                  <c:v>21.260908631465579</c:v>
                </c:pt>
                <c:pt idx="9">
                  <c:v>27.599785685746742</c:v>
                </c:pt>
                <c:pt idx="10">
                  <c:v>35.835291920925037</c:v>
                </c:pt>
                <c:pt idx="11">
                  <c:v>46.985024019618947</c:v>
                </c:pt>
                <c:pt idx="12">
                  <c:v>58.063766046335616</c:v>
                </c:pt>
                <c:pt idx="13">
                  <c:v>69.087081703584502</c:v>
                </c:pt>
                <c:pt idx="14">
                  <c:v>80.065105012179131</c:v>
                </c:pt>
                <c:pt idx="15">
                  <c:v>91.004942333925854</c:v>
                </c:pt>
                <c:pt idx="16">
                  <c:v>105.14870185419373</c:v>
                </c:pt>
                <c:pt idx="17">
                  <c:v>119.24545723284972</c:v>
                </c:pt>
                <c:pt idx="18">
                  <c:v>133.30155764202001</c:v>
                </c:pt>
                <c:pt idx="19">
                  <c:v>147.32189924742238</c:v>
                </c:pt>
                <c:pt idx="20">
                  <c:v>161.31036772442937</c:v>
                </c:pt>
                <c:pt idx="21">
                  <c:v>114.84485279709075</c:v>
                </c:pt>
                <c:pt idx="22">
                  <c:v>128.32767279839109</c:v>
                </c:pt>
                <c:pt idx="23">
                  <c:v>141.77618935167845</c:v>
                </c:pt>
                <c:pt idx="24">
                  <c:v>155.19411815315803</c:v>
                </c:pt>
                <c:pt idx="25">
                  <c:v>168.58447853302872</c:v>
                </c:pt>
                <c:pt idx="26">
                  <c:v>148.19707636008866</c:v>
                </c:pt>
                <c:pt idx="27">
                  <c:v>161.31036772442937</c:v>
                </c:pt>
                <c:pt idx="28">
                  <c:v>174.3984236178724</c:v>
                </c:pt>
                <c:pt idx="29">
                  <c:v>187.46340594209792</c:v>
                </c:pt>
                <c:pt idx="30">
                  <c:v>200.50715025518221</c:v>
                </c:pt>
                <c:pt idx="31">
                  <c:v>177.88459399640385</c:v>
                </c:pt>
                <c:pt idx="32">
                  <c:v>190.07380002073521</c:v>
                </c:pt>
                <c:pt idx="33">
                  <c:v>202.24479885360915</c:v>
                </c:pt>
                <c:pt idx="34">
                  <c:v>214.39884125727303</c:v>
                </c:pt>
                <c:pt idx="35">
                  <c:v>226.5370244687019</c:v>
                </c:pt>
                <c:pt idx="36">
                  <c:v>203.11349326743414</c:v>
                </c:pt>
                <c:pt idx="37">
                  <c:v>214.39884125727303</c:v>
                </c:pt>
                <c:pt idx="38">
                  <c:v>225.67051599369438</c:v>
                </c:pt>
                <c:pt idx="39">
                  <c:v>236.92929712202124</c:v>
                </c:pt>
                <c:pt idx="40">
                  <c:v>248.17588407773692</c:v>
                </c:pt>
                <c:pt idx="41">
                  <c:v>225.09280133418588</c:v>
                </c:pt>
                <c:pt idx="42">
                  <c:v>235.19798731677477</c:v>
                </c:pt>
                <c:pt idx="43">
                  <c:v>245.29327027921784</c:v>
                </c:pt>
                <c:pt idx="44">
                  <c:v>255.37911556611809</c:v>
                </c:pt>
                <c:pt idx="45">
                  <c:v>265.45594873287132</c:v>
                </c:pt>
                <c:pt idx="46">
                  <c:v>243.2749829854902</c:v>
                </c:pt>
                <c:pt idx="47">
                  <c:v>252.78648962904825</c:v>
                </c:pt>
                <c:pt idx="48">
                  <c:v>262.28989082672678</c:v>
                </c:pt>
                <c:pt idx="49">
                  <c:v>271.78552190976148</c:v>
                </c:pt>
                <c:pt idx="50">
                  <c:v>281.27369284448542</c:v>
                </c:pt>
                <c:pt idx="51">
                  <c:v>259.98676180657628</c:v>
                </c:pt>
                <c:pt idx="52">
                  <c:v>268.90885950185276</c:v>
                </c:pt>
                <c:pt idx="53">
                  <c:v>277.8242934335666</c:v>
                </c:pt>
                <c:pt idx="54">
                  <c:v>286.7333077859592</c:v>
                </c:pt>
                <c:pt idx="55">
                  <c:v>295.63613031709275</c:v>
                </c:pt>
                <c:pt idx="56">
                  <c:v>274.3739322618332</c:v>
                </c:pt>
                <c:pt idx="57">
                  <c:v>281.8485001937197</c:v>
                </c:pt>
                <c:pt idx="58">
                  <c:v>289.31862636311035</c:v>
                </c:pt>
                <c:pt idx="59">
                  <c:v>296.78444175729186</c:v>
                </c:pt>
                <c:pt idx="60">
                  <c:v>304.24607022840337</c:v>
                </c:pt>
                <c:pt idx="61">
                  <c:v>285.58411013783456</c:v>
                </c:pt>
                <c:pt idx="62">
                  <c:v>292.76491531563642</c:v>
                </c:pt>
                <c:pt idx="63">
                  <c:v>299.94178861650374</c:v>
                </c:pt>
                <c:pt idx="64">
                  <c:v>307.11483749581919</c:v>
                </c:pt>
                <c:pt idx="65">
                  <c:v>314.28416397433648</c:v>
                </c:pt>
                <c:pt idx="66">
                  <c:v>296.49737320370497</c:v>
                </c:pt>
                <c:pt idx="67">
                  <c:v>303.09839513833816</c:v>
                </c:pt>
                <c:pt idx="68">
                  <c:v>309.69621867977315</c:v>
                </c:pt>
                <c:pt idx="69">
                  <c:v>316.29092165981257</c:v>
                </c:pt>
                <c:pt idx="70">
                  <c:v>322.88257839605922</c:v>
                </c:pt>
                <c:pt idx="71">
                  <c:v>305.39364900712422</c:v>
                </c:pt>
                <c:pt idx="72">
                  <c:v>310.84334557443191</c:v>
                </c:pt>
                <c:pt idx="73">
                  <c:v>316.29092165981257</c:v>
                </c:pt>
                <c:pt idx="74">
                  <c:v>321.73641898783791</c:v>
                </c:pt>
                <c:pt idx="75">
                  <c:v>327.17987775354368</c:v>
                </c:pt>
                <c:pt idx="76">
                  <c:v>312.27712208414272</c:v>
                </c:pt>
                <c:pt idx="77">
                  <c:v>317.43751352960959</c:v>
                </c:pt>
                <c:pt idx="78">
                  <c:v>322.59604699390326</c:v>
                </c:pt>
                <c:pt idx="79">
                  <c:v>327.7527564208786</c:v>
                </c:pt>
                <c:pt idx="80">
                  <c:v>332.90767459767238</c:v>
                </c:pt>
                <c:pt idx="81">
                  <c:v>318.87062439138862</c:v>
                </c:pt>
                <c:pt idx="82">
                  <c:v>323.45562433486742</c:v>
                </c:pt>
                <c:pt idx="83">
                  <c:v>328.0391874593783</c:v>
                </c:pt>
                <c:pt idx="84">
                  <c:v>332.62133670359054</c:v>
                </c:pt>
                <c:pt idx="85">
                  <c:v>337.20209432169565</c:v>
                </c:pt>
                <c:pt idx="86">
                  <c:v>324.31515116468773</c:v>
                </c:pt>
                <c:pt idx="87">
                  <c:v>328.61203297364347</c:v>
                </c:pt>
                <c:pt idx="88">
                  <c:v>332.90767459767216</c:v>
                </c:pt>
                <c:pt idx="89">
                  <c:v>337.20209432169548</c:v>
                </c:pt>
                <c:pt idx="90">
                  <c:v>341.49530992621681</c:v>
                </c:pt>
                <c:pt idx="91">
                  <c:v>329.75765790514163</c:v>
                </c:pt>
                <c:pt idx="92">
                  <c:v>333.76665571836884</c:v>
                </c:pt>
                <c:pt idx="93">
                  <c:v>337.7745922579382</c:v>
                </c:pt>
                <c:pt idx="94">
                  <c:v>341.78148191306553</c:v>
                </c:pt>
                <c:pt idx="95">
                  <c:v>345.78733870754724</c:v>
                </c:pt>
                <c:pt idx="96">
                  <c:v>334.33928271745089</c:v>
                </c:pt>
                <c:pt idx="97">
                  <c:v>338.63329911701209</c:v>
                </c:pt>
                <c:pt idx="98">
                  <c:v>342.92611721533939</c:v>
                </c:pt>
                <c:pt idx="99">
                  <c:v>347.21775415165695</c:v>
                </c:pt>
                <c:pt idx="100">
                  <c:v>351.50822660633276</c:v>
                </c:pt>
                <c:pt idx="101">
                  <c:v>2.5184749408430782E-12</c:v>
                </c:pt>
                <c:pt idx="102">
                  <c:v>2.5184749408430782E-12</c:v>
                </c:pt>
                <c:pt idx="103">
                  <c:v>2.5184749408430782E-12</c:v>
                </c:pt>
                <c:pt idx="104">
                  <c:v>2.5184749408430782E-12</c:v>
                </c:pt>
                <c:pt idx="105">
                  <c:v>2.5184749408430782E-12</c:v>
                </c:pt>
                <c:pt idx="106">
                  <c:v>2.5184749408430782E-12</c:v>
                </c:pt>
                <c:pt idx="107">
                  <c:v>2.5184749408430782E-12</c:v>
                </c:pt>
                <c:pt idx="108">
                  <c:v>2.5184749408430782E-12</c:v>
                </c:pt>
                <c:pt idx="109">
                  <c:v>2.5184749408430782E-12</c:v>
                </c:pt>
                <c:pt idx="110">
                  <c:v>2.5184749408430782E-12</c:v>
                </c:pt>
                <c:pt idx="111">
                  <c:v>2.5184749408430782E-12</c:v>
                </c:pt>
                <c:pt idx="112">
                  <c:v>2.5184749408430782E-12</c:v>
                </c:pt>
                <c:pt idx="113">
                  <c:v>2.5184749408430782E-12</c:v>
                </c:pt>
                <c:pt idx="114">
                  <c:v>2.5184749408430782E-12</c:v>
                </c:pt>
                <c:pt idx="115">
                  <c:v>2.5184749408430782E-12</c:v>
                </c:pt>
                <c:pt idx="116">
                  <c:v>2.5184749408430782E-12</c:v>
                </c:pt>
                <c:pt idx="117">
                  <c:v>2.5184749408430782E-12</c:v>
                </c:pt>
                <c:pt idx="118">
                  <c:v>2.5184749408430782E-12</c:v>
                </c:pt>
                <c:pt idx="119">
                  <c:v>2.5184749408430782E-12</c:v>
                </c:pt>
                <c:pt idx="120">
                  <c:v>2.5184749408430782E-12</c:v>
                </c:pt>
                <c:pt idx="121">
                  <c:v>2.5184749408430782E-12</c:v>
                </c:pt>
                <c:pt idx="122">
                  <c:v>2.5184749408430782E-12</c:v>
                </c:pt>
                <c:pt idx="123">
                  <c:v>2.5184749408430782E-12</c:v>
                </c:pt>
                <c:pt idx="124">
                  <c:v>2.5184749408430782E-12</c:v>
                </c:pt>
                <c:pt idx="125">
                  <c:v>2.5184749408430782E-12</c:v>
                </c:pt>
                <c:pt idx="126">
                  <c:v>2.5184749408430782E-12</c:v>
                </c:pt>
                <c:pt idx="127">
                  <c:v>2.5184749408430782E-12</c:v>
                </c:pt>
                <c:pt idx="128">
                  <c:v>2.5184749408430782E-12</c:v>
                </c:pt>
                <c:pt idx="129">
                  <c:v>2.5184749408430782E-12</c:v>
                </c:pt>
                <c:pt idx="130">
                  <c:v>2.5184749408430782E-12</c:v>
                </c:pt>
                <c:pt idx="131">
                  <c:v>2.5184749408430782E-12</c:v>
                </c:pt>
                <c:pt idx="132">
                  <c:v>2.5184749408430782E-12</c:v>
                </c:pt>
                <c:pt idx="133">
                  <c:v>2.5184749408430782E-12</c:v>
                </c:pt>
                <c:pt idx="134">
                  <c:v>2.5184749408430782E-12</c:v>
                </c:pt>
                <c:pt idx="135">
                  <c:v>2.5184749408430782E-12</c:v>
                </c:pt>
                <c:pt idx="136">
                  <c:v>2.5184749408430782E-12</c:v>
                </c:pt>
                <c:pt idx="137">
                  <c:v>2.5184749408430782E-12</c:v>
                </c:pt>
                <c:pt idx="138">
                  <c:v>2.5184749408430782E-12</c:v>
                </c:pt>
                <c:pt idx="139">
                  <c:v>2.5184749408430782E-12</c:v>
                </c:pt>
                <c:pt idx="140">
                  <c:v>2.5184749408430782E-12</c:v>
                </c:pt>
                <c:pt idx="141">
                  <c:v>2.5184749408430782E-12</c:v>
                </c:pt>
                <c:pt idx="142">
                  <c:v>2.5184749408430782E-12</c:v>
                </c:pt>
                <c:pt idx="143">
                  <c:v>2.5184749408430782E-12</c:v>
                </c:pt>
                <c:pt idx="144">
                  <c:v>2.5184749408430782E-12</c:v>
                </c:pt>
                <c:pt idx="145">
                  <c:v>2.5184749408430782E-12</c:v>
                </c:pt>
                <c:pt idx="146">
                  <c:v>2.5184749408430782E-12</c:v>
                </c:pt>
                <c:pt idx="147">
                  <c:v>2.5184749408430782E-12</c:v>
                </c:pt>
                <c:pt idx="148">
                  <c:v>2.5184749408430782E-12</c:v>
                </c:pt>
                <c:pt idx="149">
                  <c:v>2.5184749408430782E-12</c:v>
                </c:pt>
                <c:pt idx="150">
                  <c:v>2.5184749408430782E-12</c:v>
                </c:pt>
                <c:pt idx="151">
                  <c:v>2.5184749408430782E-12</c:v>
                </c:pt>
                <c:pt idx="152">
                  <c:v>2.5184749408430782E-12</c:v>
                </c:pt>
                <c:pt idx="153">
                  <c:v>2.5184749408430782E-12</c:v>
                </c:pt>
                <c:pt idx="154">
                  <c:v>2.5184749408430782E-12</c:v>
                </c:pt>
                <c:pt idx="155">
                  <c:v>2.5184749408430782E-12</c:v>
                </c:pt>
                <c:pt idx="156">
                  <c:v>2.5184749408430782E-12</c:v>
                </c:pt>
                <c:pt idx="157">
                  <c:v>2.5184749408430782E-12</c:v>
                </c:pt>
                <c:pt idx="158">
                  <c:v>2.5184749408430782E-12</c:v>
                </c:pt>
                <c:pt idx="159">
                  <c:v>2.5184749408430782E-12</c:v>
                </c:pt>
                <c:pt idx="160">
                  <c:v>2.5184749408430782E-12</c:v>
                </c:pt>
                <c:pt idx="161">
                  <c:v>2.5184749408430782E-12</c:v>
                </c:pt>
                <c:pt idx="162">
                  <c:v>2.5184749408430782E-12</c:v>
                </c:pt>
                <c:pt idx="163">
                  <c:v>2.5184749408430782E-12</c:v>
                </c:pt>
                <c:pt idx="164">
                  <c:v>2.5184749408430782E-12</c:v>
                </c:pt>
                <c:pt idx="165">
                  <c:v>2.5184749408430782E-12</c:v>
                </c:pt>
                <c:pt idx="166">
                  <c:v>2.5184749408430782E-12</c:v>
                </c:pt>
                <c:pt idx="167">
                  <c:v>2.5184749408430782E-12</c:v>
                </c:pt>
                <c:pt idx="168">
                  <c:v>2.5184749408430782E-12</c:v>
                </c:pt>
                <c:pt idx="169">
                  <c:v>2.5184749408430782E-12</c:v>
                </c:pt>
                <c:pt idx="170">
                  <c:v>2.5184749408430782E-12</c:v>
                </c:pt>
                <c:pt idx="171">
                  <c:v>2.5184749408430782E-12</c:v>
                </c:pt>
                <c:pt idx="172">
                  <c:v>2.5184749408430782E-12</c:v>
                </c:pt>
                <c:pt idx="173">
                  <c:v>2.5184749408430782E-12</c:v>
                </c:pt>
                <c:pt idx="174">
                  <c:v>2.5184749408430782E-12</c:v>
                </c:pt>
                <c:pt idx="175">
                  <c:v>2.5184749408430782E-12</c:v>
                </c:pt>
                <c:pt idx="176">
                  <c:v>2.5184749408430782E-12</c:v>
                </c:pt>
                <c:pt idx="177">
                  <c:v>2.5184749408430782E-12</c:v>
                </c:pt>
                <c:pt idx="178">
                  <c:v>2.5184749408430782E-12</c:v>
                </c:pt>
                <c:pt idx="179">
                  <c:v>2.5184749408430782E-12</c:v>
                </c:pt>
                <c:pt idx="180">
                  <c:v>2.5184749408430782E-12</c:v>
                </c:pt>
                <c:pt idx="181">
                  <c:v>2.5184749408430782E-12</c:v>
                </c:pt>
                <c:pt idx="182">
                  <c:v>2.5184749408430782E-12</c:v>
                </c:pt>
                <c:pt idx="183">
                  <c:v>2.5184749408430782E-12</c:v>
                </c:pt>
                <c:pt idx="184">
                  <c:v>2.5184749408430782E-12</c:v>
                </c:pt>
                <c:pt idx="185">
                  <c:v>2.5184749408430782E-12</c:v>
                </c:pt>
                <c:pt idx="186">
                  <c:v>2.5184749408430782E-12</c:v>
                </c:pt>
                <c:pt idx="187">
                  <c:v>2.5184749408430782E-12</c:v>
                </c:pt>
                <c:pt idx="188">
                  <c:v>2.5184749408430782E-12</c:v>
                </c:pt>
                <c:pt idx="189">
                  <c:v>2.5184749408430782E-12</c:v>
                </c:pt>
                <c:pt idx="190">
                  <c:v>2.5184749408430782E-12</c:v>
                </c:pt>
                <c:pt idx="191">
                  <c:v>2.5184749408430782E-12</c:v>
                </c:pt>
                <c:pt idx="192">
                  <c:v>2.5184749408430782E-12</c:v>
                </c:pt>
                <c:pt idx="193">
                  <c:v>2.5184749408430782E-12</c:v>
                </c:pt>
                <c:pt idx="194">
                  <c:v>2.5184749408430782E-12</c:v>
                </c:pt>
                <c:pt idx="195">
                  <c:v>2.5184749408430782E-12</c:v>
                </c:pt>
                <c:pt idx="196">
                  <c:v>2.5184749408430782E-12</c:v>
                </c:pt>
                <c:pt idx="197">
                  <c:v>2.5184749408430782E-12</c:v>
                </c:pt>
                <c:pt idx="198">
                  <c:v>2.5184749408430782E-12</c:v>
                </c:pt>
                <c:pt idx="199">
                  <c:v>2.5184749408430782E-12</c:v>
                </c:pt>
                <c:pt idx="200">
                  <c:v>2.5184749408430782E-12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10.054116155559297</c:v>
                </c:pt>
                <c:pt idx="2">
                  <c:v>19.670529704904983</c:v>
                </c:pt>
                <c:pt idx="3">
                  <c:v>29.145587283740067</c:v>
                </c:pt>
                <c:pt idx="4">
                  <c:v>38.533509753361791</c:v>
                </c:pt>
                <c:pt idx="5">
                  <c:v>47.858871785587461</c:v>
                </c:pt>
                <c:pt idx="6">
                  <c:v>57.135691799242814</c:v>
                </c:pt>
                <c:pt idx="7">
                  <c:v>66.373006926914783</c:v>
                </c:pt>
                <c:pt idx="8">
                  <c:v>75.577111888235933</c:v>
                </c:pt>
                <c:pt idx="9">
                  <c:v>84.752633382211499</c:v>
                </c:pt>
                <c:pt idx="10">
                  <c:v>93.903109635645436</c:v>
                </c:pt>
                <c:pt idx="11">
                  <c:v>103.03133028043521</c:v>
                </c:pt>
                <c:pt idx="12">
                  <c:v>112.13954865102259</c:v>
                </c:pt>
                <c:pt idx="13">
                  <c:v>121.22962111033615</c:v>
                </c:pt>
                <c:pt idx="14">
                  <c:v>130.30310220341408</c:v>
                </c:pt>
                <c:pt idx="15">
                  <c:v>139.36131181345283</c:v>
                </c:pt>
                <c:pt idx="16">
                  <c:v>148.40538388297122</c:v>
                </c:pt>
                <c:pt idx="17">
                  <c:v>157.43630260034357</c:v>
                </c:pt>
                <c:pt idx="18">
                  <c:v>166.45492982619194</c:v>
                </c:pt>
                <c:pt idx="19">
                  <c:v>175.462026250294</c:v>
                </c:pt>
                <c:pt idx="20">
                  <c:v>184.45826796733903</c:v>
                </c:pt>
                <c:pt idx="21">
                  <c:v>193.44425964332299</c:v>
                </c:pt>
                <c:pt idx="22">
                  <c:v>202.42054510300082</c:v>
                </c:pt>
                <c:pt idx="23">
                  <c:v>211.38761593793268</c:v>
                </c:pt>
                <c:pt idx="24">
                  <c:v>220.34591857523677</c:v>
                </c:pt>
                <c:pt idx="25">
                  <c:v>229.29586013501878</c:v>
                </c:pt>
                <c:pt idx="26">
                  <c:v>238.23781332423221</c:v>
                </c:pt>
                <c:pt idx="27">
                  <c:v>247.17212055645965</c:v>
                </c:pt>
                <c:pt idx="28">
                  <c:v>256.09909744419912</c:v>
                </c:pt>
                <c:pt idx="29">
                  <c:v>265.01903577823191</c:v>
                </c:pt>
                <c:pt idx="30">
                  <c:v>273.93220608449866</c:v>
                </c:pt>
                <c:pt idx="31">
                  <c:v>282.83885983048071</c:v>
                </c:pt>
                <c:pt idx="32">
                  <c:v>291.73923133889144</c:v>
                </c:pt>
                <c:pt idx="33">
                  <c:v>300.63353945543383</c:v>
                </c:pt>
                <c:pt idx="34">
                  <c:v>309.52198900872827</c:v>
                </c:pt>
                <c:pt idx="35">
                  <c:v>318.40477209365588</c:v>
                </c:pt>
                <c:pt idx="36">
                  <c:v>327.2820692039133</c:v>
                </c:pt>
                <c:pt idx="37">
                  <c:v>336.15405023518832</c:v>
                </c:pt>
                <c:pt idx="38">
                  <c:v>345.02087537683605</c:v>
                </c:pt>
                <c:pt idx="39">
                  <c:v>353.88269590705289</c:v>
                </c:pt>
                <c:pt idx="40">
                  <c:v>362.73965490420022</c:v>
                </c:pt>
                <c:pt idx="41">
                  <c:v>371.59188788499273</c:v>
                </c:pt>
                <c:pt idx="42">
                  <c:v>380.43952337867154</c:v>
                </c:pt>
                <c:pt idx="43">
                  <c:v>305.94993325599131</c:v>
                </c:pt>
                <c:pt idx="44">
                  <c:v>327.87968452851231</c:v>
                </c:pt>
                <c:pt idx="45">
                  <c:v>349.77706400653625</c:v>
                </c:pt>
                <c:pt idx="46">
                  <c:v>371.64438205650396</c:v>
                </c:pt>
                <c:pt idx="47">
                  <c:v>393.48365507240305</c:v>
                </c:pt>
                <c:pt idx="48">
                  <c:v>415.29665745757416</c:v>
                </c:pt>
                <c:pt idx="49">
                  <c:v>437.08496211206631</c:v>
                </c:pt>
                <c:pt idx="50">
                  <c:v>458.84997242486565</c:v>
                </c:pt>
                <c:pt idx="51">
                  <c:v>400.29082381282961</c:v>
                </c:pt>
                <c:pt idx="52">
                  <c:v>422.64292900434634</c:v>
                </c:pt>
                <c:pt idx="53">
                  <c:v>444.96959590667331</c:v>
                </c:pt>
                <c:pt idx="54">
                  <c:v>467.27227938549885</c:v>
                </c:pt>
                <c:pt idx="55">
                  <c:v>489.55228419968324</c:v>
                </c:pt>
                <c:pt idx="56">
                  <c:v>511.8107867537222</c:v>
                </c:pt>
                <c:pt idx="57">
                  <c:v>534.04885287027707</c:v>
                </c:pt>
                <c:pt idx="58">
                  <c:v>556.26745244958261</c:v>
                </c:pt>
                <c:pt idx="59">
                  <c:v>475.38496601817178</c:v>
                </c:pt>
                <c:pt idx="60">
                  <c:v>497.1065828061349</c:v>
                </c:pt>
                <c:pt idx="61">
                  <c:v>518.80810289935755</c:v>
                </c:pt>
                <c:pt idx="62">
                  <c:v>540.49048445786013</c:v>
                </c:pt>
                <c:pt idx="63">
                  <c:v>562.1546025644958</c:v>
                </c:pt>
                <c:pt idx="64">
                  <c:v>583.80125941670201</c:v>
                </c:pt>
                <c:pt idx="65">
                  <c:v>605.43119292893903</c:v>
                </c:pt>
                <c:pt idx="66">
                  <c:v>627.04508404267926</c:v>
                </c:pt>
                <c:pt idx="67">
                  <c:v>532.94961868501457</c:v>
                </c:pt>
                <c:pt idx="68">
                  <c:v>553.81900027056327</c:v>
                </c:pt>
                <c:pt idx="69">
                  <c:v>574.67190958891786</c:v>
                </c:pt>
                <c:pt idx="70">
                  <c:v>595.50902793448722</c:v>
                </c:pt>
                <c:pt idx="71">
                  <c:v>616.3309850808954</c:v>
                </c:pt>
                <c:pt idx="72">
                  <c:v>637.13836482110844</c:v>
                </c:pt>
                <c:pt idx="73">
                  <c:v>657.93170974676843</c:v>
                </c:pt>
                <c:pt idx="74">
                  <c:v>678.71152539242337</c:v>
                </c:pt>
                <c:pt idx="75">
                  <c:v>589.39248343066197</c:v>
                </c:pt>
                <c:pt idx="76">
                  <c:v>609.81939965343656</c:v>
                </c:pt>
                <c:pt idx="77">
                  <c:v>630.23212138343479</c:v>
                </c:pt>
                <c:pt idx="78">
                  <c:v>650.63117263740162</c:v>
                </c:pt>
                <c:pt idx="79">
                  <c:v>671.0170419270911</c:v>
                </c:pt>
                <c:pt idx="80">
                  <c:v>691.39018569222901</c:v>
                </c:pt>
                <c:pt idx="81">
                  <c:v>711.75103130816262</c:v>
                </c:pt>
                <c:pt idx="82">
                  <c:v>732.09997973179236</c:v>
                </c:pt>
                <c:pt idx="83">
                  <c:v>752.43740783832027</c:v>
                </c:pt>
                <c:pt idx="84">
                  <c:v>772.76367049249313</c:v>
                </c:pt>
                <c:pt idx="85">
                  <c:v>650.12920889874385</c:v>
                </c:pt>
                <c:pt idx="86">
                  <c:v>669.71701867432307</c:v>
                </c:pt>
                <c:pt idx="87">
                  <c:v>689.29305455282781</c:v>
                </c:pt>
                <c:pt idx="88">
                  <c:v>708.85769765774864</c:v>
                </c:pt>
                <c:pt idx="89">
                  <c:v>728.41130638097991</c:v>
                </c:pt>
                <c:pt idx="90">
                  <c:v>747.95421832473903</c:v>
                </c:pt>
                <c:pt idx="91">
                  <c:v>767.48675203017956</c:v>
                </c:pt>
                <c:pt idx="92">
                  <c:v>787.00920852106856</c:v>
                </c:pt>
                <c:pt idx="93">
                  <c:v>806.52187268649811</c:v>
                </c:pt>
                <c:pt idx="94">
                  <c:v>826.02501452298031</c:v>
                </c:pt>
                <c:pt idx="95">
                  <c:v>701.67129024281076</c:v>
                </c:pt>
                <c:pt idx="96">
                  <c:v>720.73653490537436</c:v>
                </c:pt>
                <c:pt idx="97">
                  <c:v>739.79149113437143</c:v>
                </c:pt>
                <c:pt idx="98">
                  <c:v>758.83646096992186</c:v>
                </c:pt>
                <c:pt idx="99">
                  <c:v>777.87173007154217</c:v>
                </c:pt>
                <c:pt idx="100">
                  <c:v>796.89756899371525</c:v>
                </c:pt>
                <c:pt idx="101">
                  <c:v>815.91423433344517</c:v>
                </c:pt>
                <c:pt idx="102">
                  <c:v>834.9219697653848</c:v>
                </c:pt>
                <c:pt idx="103">
                  <c:v>853.92100697791045</c:v>
                </c:pt>
                <c:pt idx="104">
                  <c:v>872.91156652165955</c:v>
                </c:pt>
                <c:pt idx="105">
                  <c:v>751.18515125457725</c:v>
                </c:pt>
                <c:pt idx="106">
                  <c:v>770.01780601548671</c:v>
                </c:pt>
                <c:pt idx="107">
                  <c:v>788.84112658247284</c:v>
                </c:pt>
                <c:pt idx="108">
                  <c:v>807.65536680926198</c:v>
                </c:pt>
                <c:pt idx="109">
                  <c:v>826.4607677718451</c:v>
                </c:pt>
                <c:pt idx="110">
                  <c:v>845.25755869361831</c:v>
                </c:pt>
                <c:pt idx="111">
                  <c:v>864.04595778405246</c:v>
                </c:pt>
                <c:pt idx="112">
                  <c:v>882.82617300070933</c:v>
                </c:pt>
                <c:pt idx="113">
                  <c:v>901.59840274312739</c:v>
                </c:pt>
                <c:pt idx="114">
                  <c:v>920.3628364859884</c:v>
                </c:pt>
                <c:pt idx="115">
                  <c:v>807.92331757574232</c:v>
                </c:pt>
                <c:pt idx="116">
                  <c:v>826.87951165846027</c:v>
                </c:pt>
                <c:pt idx="117">
                  <c:v>845.82696195992901</c:v>
                </c:pt>
                <c:pt idx="118">
                  <c:v>864.76589170258092</c:v>
                </c:pt>
                <c:pt idx="119">
                  <c:v>883.69651354629275</c:v>
                </c:pt>
                <c:pt idx="120">
                  <c:v>902.61903030830717</c:v>
                </c:pt>
                <c:pt idx="121">
                  <c:v>921.53363561972344</c:v>
                </c:pt>
                <c:pt idx="122">
                  <c:v>940.44051452535894</c:v>
                </c:pt>
                <c:pt idx="123">
                  <c:v>959.33984403292789</c:v>
                </c:pt>
                <c:pt idx="124">
                  <c:v>978.23179361675386</c:v>
                </c:pt>
                <c:pt idx="125">
                  <c:v>874.76515272876622</c:v>
                </c:pt>
                <c:pt idx="126">
                  <c:v>893.91855298893552</c:v>
                </c:pt>
                <c:pt idx="127">
                  <c:v>913.06376068907173</c:v>
                </c:pt>
                <c:pt idx="128">
                  <c:v>932.20097158344367</c:v>
                </c:pt>
                <c:pt idx="129">
                  <c:v>951.33037274444223</c:v>
                </c:pt>
                <c:pt idx="130">
                  <c:v>970.45214311796599</c:v>
                </c:pt>
                <c:pt idx="131">
                  <c:v>989.56645403281527</c:v>
                </c:pt>
                <c:pt idx="132">
                  <c:v>1008.6734696687436</c:v>
                </c:pt>
                <c:pt idx="133">
                  <c:v>1027.7733474872464</c:v>
                </c:pt>
                <c:pt idx="134">
                  <c:v>1046.8662386287169</c:v>
                </c:pt>
                <c:pt idx="135">
                  <c:v>937.50616413149157</c:v>
                </c:pt>
                <c:pt idx="136">
                  <c:v>956.88987982155186</c:v>
                </c:pt>
                <c:pt idx="137">
                  <c:v>976.26581060894898</c:v>
                </c:pt>
                <c:pt idx="138">
                  <c:v>995.63413254764862</c:v>
                </c:pt>
                <c:pt idx="139">
                  <c:v>1014.9950142932879</c:v>
                </c:pt>
                <c:pt idx="140">
                  <c:v>1034.348617552087</c:v>
                </c:pt>
                <c:pt idx="141">
                  <c:v>1053.6950974944727</c:v>
                </c:pt>
                <c:pt idx="142">
                  <c:v>1073.0346031367867</c:v>
                </c:pt>
                <c:pt idx="143">
                  <c:v>1092.3672776940891</c:v>
                </c:pt>
                <c:pt idx="144">
                  <c:v>1111.6932589067299</c:v>
                </c:pt>
                <c:pt idx="145">
                  <c:v>1000.7143247071086</c:v>
                </c:pt>
                <c:pt idx="146">
                  <c:v>1020.4775739626069</c:v>
                </c:pt>
                <c:pt idx="147">
                  <c:v>1040.2332839460321</c:v>
                </c:pt>
                <c:pt idx="148">
                  <c:v>1059.9816177943073</c:v>
                </c:pt>
                <c:pt idx="149">
                  <c:v>1079.7227320792654</c:v>
                </c:pt>
                <c:pt idx="150">
                  <c:v>1099.4567771894424</c:v>
                </c:pt>
                <c:pt idx="151">
                  <c:v>1119.18389768308</c:v>
                </c:pt>
                <c:pt idx="152">
                  <c:v>1138.9042326149813</c:v>
                </c:pt>
                <c:pt idx="153">
                  <c:v>1158.6179158395955</c:v>
                </c:pt>
                <c:pt idx="154">
                  <c:v>1178.3250762924317</c:v>
                </c:pt>
                <c:pt idx="155">
                  <c:v>1069.3888801992859</c:v>
                </c:pt>
                <c:pt idx="156">
                  <c:v>1089.4500490111525</c:v>
                </c:pt>
                <c:pt idx="157">
                  <c:v>1109.5039893416961</c:v>
                </c:pt>
                <c:pt idx="158">
                  <c:v>1129.5508500388312</c:v>
                </c:pt>
                <c:pt idx="159">
                  <c:v>1149.5907742448753</c:v>
                </c:pt>
                <c:pt idx="160">
                  <c:v>1169.6238997128767</c:v>
                </c:pt>
                <c:pt idx="161">
                  <c:v>1189.6503591001856</c:v>
                </c:pt>
                <c:pt idx="162">
                  <c:v>1209.6702802412601</c:v>
                </c:pt>
                <c:pt idx="163">
                  <c:v>1229.6837864015072</c:v>
                </c:pt>
                <c:pt idx="164">
                  <c:v>1249.6909965137713</c:v>
                </c:pt>
                <c:pt idx="165">
                  <c:v>1130.6704624928343</c:v>
                </c:pt>
                <c:pt idx="166">
                  <c:v>1150.9929748829218</c:v>
                </c:pt>
                <c:pt idx="167">
                  <c:v>1171.3085048429873</c:v>
                </c:pt>
                <c:pt idx="168">
                  <c:v>1191.6171903343427</c:v>
                </c:pt>
                <c:pt idx="169">
                  <c:v>1211.9191642403603</c:v>
                </c:pt>
                <c:pt idx="170">
                  <c:v>1232.2145546369943</c:v>
                </c:pt>
                <c:pt idx="171">
                  <c:v>1252.5034850445916</c:v>
                </c:pt>
                <c:pt idx="172">
                  <c:v>1272.7860746625593</c:v>
                </c:pt>
                <c:pt idx="173">
                  <c:v>1293.0624385883307</c:v>
                </c:pt>
                <c:pt idx="174">
                  <c:v>1313.332688021904</c:v>
                </c:pt>
                <c:pt idx="175">
                  <c:v>818.64838934960699</c:v>
                </c:pt>
                <c:pt idx="176">
                  <c:v>831.70007355677342</c:v>
                </c:pt>
                <c:pt idx="177">
                  <c:v>844.74763878272279</c:v>
                </c:pt>
                <c:pt idx="178">
                  <c:v>578.41661778916796</c:v>
                </c:pt>
                <c:pt idx="179">
                  <c:v>586.46643387783058</c:v>
                </c:pt>
                <c:pt idx="180">
                  <c:v>594.51394828220111</c:v>
                </c:pt>
                <c:pt idx="181">
                  <c:v>412.651388094487</c:v>
                </c:pt>
                <c:pt idx="182">
                  <c:v>417.59659621587792</c:v>
                </c:pt>
                <c:pt idx="183">
                  <c:v>422.54054218163583</c:v>
                </c:pt>
                <c:pt idx="184">
                  <c:v>1.7963379770041364E-11</c:v>
                </c:pt>
                <c:pt idx="185">
                  <c:v>1.7963379770041364E-11</c:v>
                </c:pt>
                <c:pt idx="186">
                  <c:v>1.7963379770041364E-11</c:v>
                </c:pt>
                <c:pt idx="187">
                  <c:v>1.7963379770041364E-11</c:v>
                </c:pt>
                <c:pt idx="188">
                  <c:v>1.7963379770041364E-11</c:v>
                </c:pt>
                <c:pt idx="189">
                  <c:v>1.7963379770041364E-11</c:v>
                </c:pt>
                <c:pt idx="190">
                  <c:v>1.7963379770041364E-11</c:v>
                </c:pt>
                <c:pt idx="191">
                  <c:v>1.7963379770041364E-11</c:v>
                </c:pt>
                <c:pt idx="192">
                  <c:v>1.7963379770041364E-11</c:v>
                </c:pt>
                <c:pt idx="193">
                  <c:v>1.7963379770041364E-11</c:v>
                </c:pt>
                <c:pt idx="194">
                  <c:v>1.7963379770041364E-11</c:v>
                </c:pt>
                <c:pt idx="195">
                  <c:v>1.7963379770041364E-11</c:v>
                </c:pt>
                <c:pt idx="196">
                  <c:v>1.7963379770041364E-11</c:v>
                </c:pt>
                <c:pt idx="197">
                  <c:v>1.7963379770041364E-11</c:v>
                </c:pt>
                <c:pt idx="198">
                  <c:v>1.7963379770041364E-11</c:v>
                </c:pt>
                <c:pt idx="199">
                  <c:v>1.7963379770041364E-11</c:v>
                </c:pt>
                <c:pt idx="200">
                  <c:v>1.7963379770041364E-11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9.0050020993719304</c:v>
                </c:pt>
                <c:pt idx="2">
                  <c:v>17.614224179099281</c:v>
                </c:pt>
                <c:pt idx="3">
                  <c:v>26.095629179395626</c:v>
                </c:pt>
                <c:pt idx="4">
                  <c:v>34.49824475795532</c:v>
                </c:pt>
                <c:pt idx="5">
                  <c:v>42.84429185647835</c:v>
                </c:pt>
                <c:pt idx="6">
                  <c:v>51.146446227860601</c:v>
                </c:pt>
                <c:pt idx="7">
                  <c:v>59.412879439878935</c:v>
                </c:pt>
                <c:pt idx="8">
                  <c:v>67.649283312103222</c:v>
                </c:pt>
                <c:pt idx="9">
                  <c:v>75.85984140432312</c:v>
                </c:pt>
                <c:pt idx="10">
                  <c:v>84.04775305657931</c:v>
                </c:pt>
                <c:pt idx="11">
                  <c:v>92.215540713452924</c:v>
                </c:pt>
                <c:pt idx="12">
                  <c:v>100.36524188794243</c:v>
                </c:pt>
                <c:pt idx="13">
                  <c:v>108.4985351429486</c:v>
                </c:pt>
                <c:pt idx="14">
                  <c:v>116.61682613120678</c:v>
                </c:pt>
                <c:pt idx="15">
                  <c:v>124.72130831921697</c:v>
                </c:pt>
                <c:pt idx="16">
                  <c:v>132.81300704195772</c:v>
                </c:pt>
                <c:pt idx="17">
                  <c:v>140.89281222352039</c:v>
                </c:pt>
                <c:pt idx="18">
                  <c:v>148.96150317663719</c:v>
                </c:pt>
                <c:pt idx="19">
                  <c:v>157.01976773320771</c:v>
                </c:pt>
                <c:pt idx="20">
                  <c:v>165.06821723245113</c:v>
                </c:pt>
                <c:pt idx="21">
                  <c:v>173.10739842624028</c:v>
                </c:pt>
                <c:pt idx="22">
                  <c:v>181.13780305250211</c:v>
                </c:pt>
                <c:pt idx="23">
                  <c:v>189.15987561879626</c:v>
                </c:pt>
                <c:pt idx="24">
                  <c:v>197.17401979403192</c:v>
                </c:pt>
                <c:pt idx="25">
                  <c:v>205.18060370488044</c:v>
                </c:pt>
                <c:pt idx="26">
                  <c:v>213.1799643609078</c:v>
                </c:pt>
                <c:pt idx="27">
                  <c:v>221.17241137976885</c:v>
                </c:pt>
                <c:pt idx="28">
                  <c:v>229.15823014500677</c:v>
                </c:pt>
                <c:pt idx="29">
                  <c:v>237.13768450006134</c:v>
                </c:pt>
                <c:pt idx="30">
                  <c:v>245.11101906025024</c:v>
                </c:pt>
                <c:pt idx="31">
                  <c:v>253.07846120782642</c:v>
                </c:pt>
                <c:pt idx="32">
                  <c:v>261.04022282237821</c:v>
                </c:pt>
                <c:pt idx="33">
                  <c:v>268.99650178885196</c:v>
                </c:pt>
                <c:pt idx="34">
                  <c:v>276.94748331764885</c:v>
                </c:pt>
                <c:pt idx="35">
                  <c:v>284.89334110505234</c:v>
                </c:pt>
                <c:pt idx="36">
                  <c:v>292.83423835730713</c:v>
                </c:pt>
                <c:pt idx="37">
                  <c:v>300.77032869771307</c:v>
                </c:pt>
                <c:pt idx="38">
                  <c:v>308.70175697289704</c:v>
                </c:pt>
                <c:pt idx="39">
                  <c:v>316.62865997182678</c:v>
                </c:pt>
                <c:pt idx="40">
                  <c:v>324.55116706900372</c:v>
                </c:pt>
                <c:pt idx="41">
                  <c:v>332.46940080152797</c:v>
                </c:pt>
                <c:pt idx="42">
                  <c:v>340.3834773882773</c:v>
                </c:pt>
                <c:pt idx="43">
                  <c:v>273.75218029395825</c:v>
                </c:pt>
                <c:pt idx="44">
                  <c:v>293.36881382704775</c:v>
                </c:pt>
                <c:pt idx="45">
                  <c:v>312.95617609403075</c:v>
                </c:pt>
                <c:pt idx="46">
                  <c:v>332.51635617745427</c:v>
                </c:pt>
                <c:pt idx="47">
                  <c:v>352.05117734371078</c:v>
                </c:pt>
                <c:pt idx="48">
                  <c:v>371.56224404609662</c:v>
                </c:pt>
                <c:pt idx="49">
                  <c:v>391.0509785343383</c:v>
                </c:pt>
                <c:pt idx="50">
                  <c:v>410.51864978264985</c:v>
                </c:pt>
                <c:pt idx="51">
                  <c:v>358.14000932688845</c:v>
                </c:pt>
                <c:pt idx="52">
                  <c:v>378.133205362853</c:v>
                </c:pt>
                <c:pt idx="53">
                  <c:v>398.10339955589421</c:v>
                </c:pt>
                <c:pt idx="54">
                  <c:v>418.05190742655623</c:v>
                </c:pt>
                <c:pt idx="55">
                  <c:v>437.97990876559203</c:v>
                </c:pt>
                <c:pt idx="56">
                  <c:v>457.88846730300457</c:v>
                </c:pt>
                <c:pt idx="57">
                  <c:v>477.7785467783458</c:v>
                </c:pt>
                <c:pt idx="58">
                  <c:v>497.651024196067</c:v>
                </c:pt>
                <c:pt idx="59">
                  <c:v>425.3081979788314</c:v>
                </c:pt>
                <c:pt idx="60">
                  <c:v>444.73668447776726</c:v>
                </c:pt>
                <c:pt idx="61">
                  <c:v>464.14699911725734</c:v>
                </c:pt>
                <c:pt idx="62">
                  <c:v>483.54000828600118</c:v>
                </c:pt>
                <c:pt idx="63">
                  <c:v>502.91650325255364</c:v>
                </c:pt>
                <c:pt idx="64">
                  <c:v>522.27720938092455</c:v>
                </c:pt>
                <c:pt idx="65">
                  <c:v>541.62279390908645</c:v>
                </c:pt>
                <c:pt idx="66">
                  <c:v>560.95387255882349</c:v>
                </c:pt>
                <c:pt idx="67">
                  <c:v>476.79537882809342</c:v>
                </c:pt>
                <c:pt idx="68">
                  <c:v>495.46111981441936</c:v>
                </c:pt>
                <c:pt idx="69">
                  <c:v>514.11196622588784</c:v>
                </c:pt>
                <c:pt idx="70">
                  <c:v>532.74853410341427</c:v>
                </c:pt>
                <c:pt idx="71">
                  <c:v>551.37139290172445</c:v>
                </c:pt>
                <c:pt idx="72">
                  <c:v>569.98107049885277</c:v>
                </c:pt>
                <c:pt idx="73">
                  <c:v>588.57805751771946</c:v>
                </c:pt>
                <c:pt idx="74">
                  <c:v>607.16281107343082</c:v>
                </c:pt>
                <c:pt idx="75">
                  <c:v>527.27795667733812</c:v>
                </c:pt>
                <c:pt idx="76">
                  <c:v>545.54754028313835</c:v>
                </c:pt>
                <c:pt idx="77">
                  <c:v>563.80428892622592</c:v>
                </c:pt>
                <c:pt idx="78">
                  <c:v>582.04867643370324</c:v>
                </c:pt>
                <c:pt idx="79">
                  <c:v>600.28114452830425</c:v>
                </c:pt>
                <c:pt idx="80">
                  <c:v>618.50210593255088</c:v>
                </c:pt>
                <c:pt idx="81">
                  <c:v>636.71194708833502</c:v>
                </c:pt>
                <c:pt idx="82">
                  <c:v>654.91103054942675</c:v>
                </c:pt>
                <c:pt idx="83">
                  <c:v>673.09969709441123</c:v>
                </c:pt>
                <c:pt idx="84">
                  <c:v>691.27826759955133</c:v>
                </c:pt>
                <c:pt idx="85">
                  <c:v>581.59973453568659</c:v>
                </c:pt>
                <c:pt idx="86">
                  <c:v>599.11844918899601</c:v>
                </c:pt>
                <c:pt idx="87">
                  <c:v>616.62651763378562</c:v>
                </c:pt>
                <c:pt idx="88">
                  <c:v>634.12428449003357</c:v>
                </c:pt>
                <c:pt idx="89">
                  <c:v>651.61207382332452</c:v>
                </c:pt>
                <c:pt idx="90">
                  <c:v>669.09019090077402</c:v>
                </c:pt>
                <c:pt idx="91">
                  <c:v>686.55892375407859</c:v>
                </c:pt>
                <c:pt idx="92">
                  <c:v>704.01854457534034</c:v>
                </c:pt>
                <c:pt idx="93">
                  <c:v>721.46931096734397</c:v>
                </c:pt>
                <c:pt idx="94">
                  <c:v>738.91146706668712</c:v>
                </c:pt>
                <c:pt idx="95">
                  <c:v>627.697086725389</c:v>
                </c:pt>
                <c:pt idx="96">
                  <c:v>644.74814711906788</c:v>
                </c:pt>
                <c:pt idx="97">
                  <c:v>661.78990449197136</c:v>
                </c:pt>
                <c:pt idx="98">
                  <c:v>678.82263195520943</c:v>
                </c:pt>
                <c:pt idx="99">
                  <c:v>695.84658780820121</c:v>
                </c:pt>
                <c:pt idx="100">
                  <c:v>712.86201669207321</c:v>
                </c:pt>
                <c:pt idx="101">
                  <c:v>729.86915062730213</c:v>
                </c:pt>
                <c:pt idx="102">
                  <c:v>746.86820994969855</c:v>
                </c:pt>
                <c:pt idx="103">
                  <c:v>763.85940415682887</c:v>
                </c:pt>
                <c:pt idx="104">
                  <c:v>780.84293267527562</c:v>
                </c:pt>
                <c:pt idx="105">
                  <c:v>671.97975155410234</c:v>
                </c:pt>
                <c:pt idx="106">
                  <c:v>688.82254008714096</c:v>
                </c:pt>
                <c:pt idx="107">
                  <c:v>705.65688844321483</c:v>
                </c:pt>
                <c:pt idx="108">
                  <c:v>722.4830261622709</c:v>
                </c:pt>
                <c:pt idx="109">
                  <c:v>739.30117123035416</c:v>
                </c:pt>
                <c:pt idx="110">
                  <c:v>756.11153091614267</c:v>
                </c:pt>
                <c:pt idx="111">
                  <c:v>772.91430252928774</c:v>
                </c:pt>
                <c:pt idx="112">
                  <c:v>789.70967410944593</c:v>
                </c:pt>
                <c:pt idx="113">
                  <c:v>806.49782505370615</c:v>
                </c:pt>
                <c:pt idx="114">
                  <c:v>823.27892668911102</c:v>
                </c:pt>
                <c:pt idx="115">
                  <c:v>722.72266190929292</c:v>
                </c:pt>
                <c:pt idx="116">
                  <c:v>739.67566348659057</c:v>
                </c:pt>
                <c:pt idx="117">
                  <c:v>756.62075875063954</c:v>
                </c:pt>
                <c:pt idx="118">
                  <c:v>773.55814954391769</c:v>
                </c:pt>
                <c:pt idx="119">
                  <c:v>790.48802815801503</c:v>
                </c:pt>
                <c:pt idx="120">
                  <c:v>807.41057798460258</c:v>
                </c:pt>
                <c:pt idx="121">
                  <c:v>824.32597410904464</c:v>
                </c:pt>
                <c:pt idx="122">
                  <c:v>841.23438385280679</c:v>
                </c:pt>
                <c:pt idx="123">
                  <c:v>858.13596727003414</c:v>
                </c:pt>
                <c:pt idx="124">
                  <c:v>875.03087760302014</c:v>
                </c:pt>
                <c:pt idx="125">
                  <c:v>782.50061686170341</c:v>
                </c:pt>
                <c:pt idx="126">
                  <c:v>799.62968518227046</c:v>
                </c:pt>
                <c:pt idx="127">
                  <c:v>816.75134561555353</c:v>
                </c:pt>
                <c:pt idx="128">
                  <c:v>833.86577516673162</c:v>
                </c:pt>
                <c:pt idx="129">
                  <c:v>850.97314299064567</c:v>
                </c:pt>
                <c:pt idx="130">
                  <c:v>868.07361089398819</c:v>
                </c:pt>
                <c:pt idx="131">
                  <c:v>885.16733379591051</c:v>
                </c:pt>
                <c:pt idx="132">
                  <c:v>902.2544601512418</c:v>
                </c:pt>
                <c:pt idx="133">
                  <c:v>919.33513234002146</c:v>
                </c:pt>
                <c:pt idx="134">
                  <c:v>936.40948702661092</c:v>
                </c:pt>
                <c:pt idx="135">
                  <c:v>838.6102011221443</c:v>
                </c:pt>
                <c:pt idx="136">
                  <c:v>855.94497971688827</c:v>
                </c:pt>
                <c:pt idx="137">
                  <c:v>873.27271903682515</c:v>
                </c:pt>
                <c:pt idx="138">
                  <c:v>890.5935782737007</c:v>
                </c:pt>
                <c:pt idx="139">
                  <c:v>907.90770992953412</c:v>
                </c:pt>
                <c:pt idx="140">
                  <c:v>925.21526022253431</c:v>
                </c:pt>
                <c:pt idx="141">
                  <c:v>942.51636946110614</c:v>
                </c:pt>
                <c:pt idx="142">
                  <c:v>959.81117238899981</c:v>
                </c:pt>
                <c:pt idx="143">
                  <c:v>977.0997985043233</c:v>
                </c:pt>
                <c:pt idx="144">
                  <c:v>994.38237235483496</c:v>
                </c:pt>
                <c:pt idx="145">
                  <c:v>895.13672120800663</c:v>
                </c:pt>
                <c:pt idx="146">
                  <c:v>912.81066349155742</c:v>
                </c:pt>
                <c:pt idx="147">
                  <c:v>930.4777886047126</c:v>
                </c:pt>
                <c:pt idx="148">
                  <c:v>948.13824405935259</c:v>
                </c:pt>
                <c:pt idx="149">
                  <c:v>965.79217143106382</c:v>
                </c:pt>
                <c:pt idx="150">
                  <c:v>983.43970670436431</c:v>
                </c:pt>
                <c:pt idx="151">
                  <c:v>1001.0809805918944</c:v>
                </c:pt>
                <c:pt idx="152">
                  <c:v>1018.71611882997</c:v>
                </c:pt>
                <c:pt idx="153">
                  <c:v>1036.3452424526342</c:v>
                </c:pt>
                <c:pt idx="154">
                  <c:v>1053.9684680461214</c:v>
                </c:pt>
                <c:pt idx="155">
                  <c:v>956.55090506127237</c:v>
                </c:pt>
                <c:pt idx="156">
                  <c:v>974.49101342927031</c:v>
                </c:pt>
                <c:pt idx="157">
                  <c:v>992.4245856504881</c:v>
                </c:pt>
                <c:pt idx="158">
                  <c:v>1010.3517563163817</c:v>
                </c:pt>
                <c:pt idx="159">
                  <c:v>1028.272654859283</c:v>
                </c:pt>
                <c:pt idx="160">
                  <c:v>1046.1874058384321</c:v>
                </c:pt>
                <c:pt idx="161">
                  <c:v>1064.0961292054305</c:v>
                </c:pt>
                <c:pt idx="162">
                  <c:v>1081.9989405509189</c:v>
                </c:pt>
                <c:pt idx="163">
                  <c:v>1099.8959513341035</c:v>
                </c:pt>
                <c:pt idx="164">
                  <c:v>1117.7872690965953</c:v>
                </c:pt>
                <c:pt idx="165">
                  <c:v>1011.3529825308154</c:v>
                </c:pt>
                <c:pt idx="166">
                  <c:v>1029.5265839652609</c:v>
                </c:pt>
                <c:pt idx="167">
                  <c:v>1047.6938717377543</c:v>
                </c:pt>
                <c:pt idx="168">
                  <c:v>1065.8549705958526</c:v>
                </c:pt>
                <c:pt idx="169">
                  <c:v>1084.0100006955302</c:v>
                </c:pt>
                <c:pt idx="170">
                  <c:v>1102.1590778457946</c:v>
                </c:pt>
                <c:pt idx="171">
                  <c:v>1120.3023137363737</c:v>
                </c:pt>
                <c:pt idx="172">
                  <c:v>1138.4398161499098</c:v>
                </c:pt>
                <c:pt idx="173">
                  <c:v>1156.5716891599543</c:v>
                </c:pt>
                <c:pt idx="174">
                  <c:v>1174.698033315914</c:v>
                </c:pt>
                <c:pt idx="175">
                  <c:v>732.31437435591215</c:v>
                </c:pt>
                <c:pt idx="176">
                  <c:v>743.98679945215974</c:v>
                </c:pt>
                <c:pt idx="177">
                  <c:v>755.65550007785635</c:v>
                </c:pt>
                <c:pt idx="178">
                  <c:v>517.46121739591933</c:v>
                </c:pt>
                <c:pt idx="179">
                  <c:v>524.66092206348958</c:v>
                </c:pt>
                <c:pt idx="180">
                  <c:v>531.85854549909652</c:v>
                </c:pt>
                <c:pt idx="181">
                  <c:v>369.1961442433323</c:v>
                </c:pt>
                <c:pt idx="182">
                  <c:v>373.61945496476648</c:v>
                </c:pt>
                <c:pt idx="183">
                  <c:v>378.04162441819318</c:v>
                </c:pt>
                <c:pt idx="184">
                  <c:v>1.6226126790761848E-11</c:v>
                </c:pt>
                <c:pt idx="185">
                  <c:v>1.6226126790761848E-11</c:v>
                </c:pt>
                <c:pt idx="186">
                  <c:v>1.6226126790761848E-11</c:v>
                </c:pt>
                <c:pt idx="187">
                  <c:v>1.6226126790761848E-11</c:v>
                </c:pt>
                <c:pt idx="188">
                  <c:v>1.6226126790761848E-11</c:v>
                </c:pt>
                <c:pt idx="189">
                  <c:v>1.6226126790761848E-11</c:v>
                </c:pt>
                <c:pt idx="190">
                  <c:v>1.6226126790761848E-11</c:v>
                </c:pt>
                <c:pt idx="191">
                  <c:v>1.6226126790761848E-11</c:v>
                </c:pt>
                <c:pt idx="192">
                  <c:v>1.6226126790761848E-11</c:v>
                </c:pt>
                <c:pt idx="193">
                  <c:v>1.6226126790761848E-11</c:v>
                </c:pt>
                <c:pt idx="194">
                  <c:v>1.6226126790761848E-11</c:v>
                </c:pt>
                <c:pt idx="195">
                  <c:v>1.6226126790761848E-11</c:v>
                </c:pt>
                <c:pt idx="196">
                  <c:v>1.6226126790761848E-11</c:v>
                </c:pt>
                <c:pt idx="197">
                  <c:v>1.6226126790761848E-11</c:v>
                </c:pt>
                <c:pt idx="198">
                  <c:v>1.6226126790761848E-11</c:v>
                </c:pt>
                <c:pt idx="199">
                  <c:v>1.6226126790761848E-11</c:v>
                </c:pt>
                <c:pt idx="200">
                  <c:v>1.6226126790761848E-11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9.455062698144042</c:v>
                </c:pt>
                <c:pt idx="2">
                  <c:v>18.496310297315823</c:v>
                </c:pt>
                <c:pt idx="3">
                  <c:v>27.403916391738104</c:v>
                </c:pt>
                <c:pt idx="4">
                  <c:v>36.229142753137985</c:v>
                </c:pt>
                <c:pt idx="5">
                  <c:v>44.995222896934202</c:v>
                </c:pt>
                <c:pt idx="6">
                  <c:v>53.715410190347939</c:v>
                </c:pt>
                <c:pt idx="7">
                  <c:v>62.398248566777788</c:v>
                </c:pt>
                <c:pt idx="8">
                  <c:v>71.049689213150188</c:v>
                </c:pt>
                <c:pt idx="9">
                  <c:v>79.674106327561205</c:v>
                </c:pt>
                <c:pt idx="10">
                  <c:v>88.274845038996318</c:v>
                </c:pt>
                <c:pt idx="11">
                  <c:v>96.854542735909192</c:v>
                </c:pt>
                <c:pt idx="12">
                  <c:v>105.41532977759353</c:v>
                </c:pt>
                <c:pt idx="13">
                  <c:v>113.9589612164482</c:v>
                </c:pt>
                <c:pt idx="14">
                  <c:v>122.48690675861542</c:v>
                </c:pt>
                <c:pt idx="15">
                  <c:v>131.0004142550055</c:v>
                </c:pt>
                <c:pt idx="16">
                  <c:v>139.50055576351562</c:v>
                </c:pt>
                <c:pt idx="17">
                  <c:v>147.98826176069258</c:v>
                </c:pt>
                <c:pt idx="18">
                  <c:v>156.46434707133648</c:v>
                </c:pt>
                <c:pt idx="19">
                  <c:v>164.92953087077578</c:v>
                </c:pt>
                <c:pt idx="20">
                  <c:v>173.38445235600605</c:v>
                </c:pt>
                <c:pt idx="21">
                  <c:v>181.82968319353185</c:v>
                </c:pt>
                <c:pt idx="22">
                  <c:v>190.26573752901183</c:v>
                </c:pt>
                <c:pt idx="23">
                  <c:v>198.69308012552312</c:v>
                </c:pt>
                <c:pt idx="24">
                  <c:v>207.11213304653862</c:v>
                </c:pt>
                <c:pt idx="25">
                  <c:v>215.52328119368903</c:v>
                </c:pt>
                <c:pt idx="26">
                  <c:v>223.92687693354154</c:v>
                </c:pt>
                <c:pt idx="27">
                  <c:v>232.32324399254557</c:v>
                </c:pt>
                <c:pt idx="28">
                  <c:v>240.71268075872808</c:v>
                </c:pt>
                <c:pt idx="29">
                  <c:v>249.0954630984634</c:v>
                </c:pt>
                <c:pt idx="30">
                  <c:v>257.47184677380858</c:v>
                </c:pt>
                <c:pt idx="31">
                  <c:v>265.842069528472</c:v>
                </c:pt>
                <c:pt idx="32">
                  <c:v>274.20635289706468</c:v>
                </c:pt>
                <c:pt idx="33">
                  <c:v>282.56490378184208</c:v>
                </c:pt>
                <c:pt idx="34">
                  <c:v>290.91791583295509</c:v>
                </c:pt>
                <c:pt idx="35">
                  <c:v>299.26557066175616</c:v>
                </c:pt>
                <c:pt idx="36">
                  <c:v>307.60803891154438</c:v>
                </c:pt>
                <c:pt idx="37">
                  <c:v>315.94548120599461</c:v>
                </c:pt>
                <c:pt idx="38">
                  <c:v>324.27804899216886</c:v>
                </c:pt>
                <c:pt idx="39">
                  <c:v>332.60588529229494</c:v>
                </c:pt>
                <c:pt idx="40">
                  <c:v>340.92912537626927</c:v>
                </c:pt>
                <c:pt idx="41">
                  <c:v>349.24789736501674</c:v>
                </c:pt>
                <c:pt idx="42">
                  <c:v>357.56232277332811</c:v>
                </c:pt>
                <c:pt idx="43">
                  <c:v>287.56104355196334</c:v>
                </c:pt>
                <c:pt idx="44">
                  <c:v>308.16964872324991</c:v>
                </c:pt>
                <c:pt idx="45">
                  <c:v>328.74764878240444</c:v>
                </c:pt>
                <c:pt idx="46">
                  <c:v>349.29722800821287</c:v>
                </c:pt>
                <c:pt idx="47">
                  <c:v>369.82029275047915</c:v>
                </c:pt>
                <c:pt idx="48">
                  <c:v>390.31852057493785</c:v>
                </c:pt>
                <c:pt idx="49">
                  <c:v>410.79339854102176</c:v>
                </c:pt>
                <c:pt idx="50">
                  <c:v>431.24625344812392</c:v>
                </c:pt>
                <c:pt idx="51">
                  <c:v>376.21717632117338</c:v>
                </c:pt>
                <c:pt idx="52">
                  <c:v>397.22196486755848</c:v>
                </c:pt>
                <c:pt idx="53">
                  <c:v>418.20270341284862</c:v>
                </c:pt>
                <c:pt idx="54">
                  <c:v>439.16076742381068</c:v>
                </c:pt>
                <c:pt idx="55">
                  <c:v>460.09739045242594</c:v>
                </c:pt>
                <c:pt idx="56">
                  <c:v>481.0136847012173</c:v>
                </c:pt>
                <c:pt idx="57">
                  <c:v>501.91065782584752</c:v>
                </c:pt>
                <c:pt idx="58">
                  <c:v>522.78922679449613</c:v>
                </c:pt>
                <c:pt idx="59">
                  <c:v>446.78431102556823</c:v>
                </c:pt>
                <c:pt idx="60">
                  <c:v>467.19617134398754</c:v>
                </c:pt>
                <c:pt idx="61">
                  <c:v>487.5890317396167</c:v>
                </c:pt>
                <c:pt idx="62">
                  <c:v>507.96379808113971</c:v>
                </c:pt>
                <c:pt idx="63">
                  <c:v>528.3212976939875</c:v>
                </c:pt>
                <c:pt idx="64">
                  <c:v>548.66228899587838</c:v>
                </c:pt>
                <c:pt idx="65">
                  <c:v>568.987469629781</c:v>
                </c:pt>
                <c:pt idx="66">
                  <c:v>589.2974833749621</c:v>
                </c:pt>
                <c:pt idx="67">
                  <c:v>500.87771692974269</c:v>
                </c:pt>
                <c:pt idx="68">
                  <c:v>520.48844904322118</c:v>
                </c:pt>
                <c:pt idx="69">
                  <c:v>540.0836078592547</c:v>
                </c:pt>
                <c:pt idx="70">
                  <c:v>559.66383749078398</c:v>
                </c:pt>
                <c:pt idx="71">
                  <c:v>579.2297333416999</c:v>
                </c:pt>
                <c:pt idx="72">
                  <c:v>598.78184734461729</c:v>
                </c:pt>
                <c:pt idx="73">
                  <c:v>618.32069247937864</c:v>
                </c:pt>
                <c:pt idx="74">
                  <c:v>637.8467466911145</c:v>
                </c:pt>
                <c:pt idx="75">
                  <c:v>553.91625030160219</c:v>
                </c:pt>
                <c:pt idx="76">
                  <c:v>573.11096118864532</c:v>
                </c:pt>
                <c:pt idx="77">
                  <c:v>592.29225224370759</c:v>
                </c:pt>
                <c:pt idx="78">
                  <c:v>611.46061888545398</c:v>
                </c:pt>
                <c:pt idx="79">
                  <c:v>630.61652296523562</c:v>
                </c:pt>
                <c:pt idx="80">
                  <c:v>649.76039601269781</c:v>
                </c:pt>
                <c:pt idx="81">
                  <c:v>668.89264207928784</c:v>
                </c:pt>
                <c:pt idx="82">
                  <c:v>688.01364023978613</c:v>
                </c:pt>
                <c:pt idx="83">
                  <c:v>707.12374680152777</c:v>
                </c:pt>
                <c:pt idx="84">
                  <c:v>726.22329726260705</c:v>
                </c:pt>
                <c:pt idx="85">
                  <c:v>610.98893978348235</c:v>
                </c:pt>
                <c:pt idx="86">
                  <c:v>629.39493779693078</c:v>
                </c:pt>
                <c:pt idx="87">
                  <c:v>647.78980447071194</c:v>
                </c:pt>
                <c:pt idx="88">
                  <c:v>666.17390012859926</c:v>
                </c:pt>
                <c:pt idx="89">
                  <c:v>684.5475636033417</c:v>
                </c:pt>
                <c:pt idx="90">
                  <c:v>702.91111407260257</c:v>
                </c:pt>
                <c:pt idx="91">
                  <c:v>721.26485269323393</c:v>
                </c:pt>
                <c:pt idx="92">
                  <c:v>739.60906406070796</c:v>
                </c:pt>
                <c:pt idx="93">
                  <c:v>757.94401751636781</c:v>
                </c:pt>
                <c:pt idx="94">
                  <c:v>776.26996832173552</c:v>
                </c:pt>
                <c:pt idx="95">
                  <c:v>659.42113423858666</c:v>
                </c:pt>
                <c:pt idx="96">
                  <c:v>677.3359268973162</c:v>
                </c:pt>
                <c:pt idx="97">
                  <c:v>695.24099261109666</c:v>
                </c:pt>
                <c:pt idx="98">
                  <c:v>713.13661693628671</c:v>
                </c:pt>
                <c:pt idx="99">
                  <c:v>731.02306994260732</c:v>
                </c:pt>
                <c:pt idx="100">
                  <c:v>748.90060741910065</c:v>
                </c:pt>
                <c:pt idx="101">
                  <c:v>766.76947195905461</c:v>
                </c:pt>
                <c:pt idx="102">
                  <c:v>784.62989393864109</c:v>
                </c:pt>
                <c:pt idx="103">
                  <c:v>802.48209240190306</c:v>
                </c:pt>
                <c:pt idx="104">
                  <c:v>820.3262758629827</c:v>
                </c:pt>
                <c:pt idx="105">
                  <c:v>705.94706318478438</c:v>
                </c:pt>
                <c:pt idx="106">
                  <c:v>723.64315240865346</c:v>
                </c:pt>
                <c:pt idx="107">
                  <c:v>741.33041684983391</c:v>
                </c:pt>
                <c:pt idx="108">
                  <c:v>759.00909650804977</c:v>
                </c:pt>
                <c:pt idx="109">
                  <c:v>776.67941930263157</c:v>
                </c:pt>
                <c:pt idx="110">
                  <c:v>794.34160194716833</c:v>
                </c:pt>
                <c:pt idx="111">
                  <c:v>811.9958507424044</c:v>
                </c:pt>
                <c:pt idx="112">
                  <c:v>829.64236229667119</c:v>
                </c:pt>
                <c:pt idx="113">
                  <c:v>847.28132418190387</c:v>
                </c:pt>
                <c:pt idx="114">
                  <c:v>864.91291553225085</c:v>
                </c:pt>
                <c:pt idx="115">
                  <c:v>759.26087434764747</c:v>
                </c:pt>
                <c:pt idx="116">
                  <c:v>777.07288758905304</c:v>
                </c:pt>
                <c:pt idx="117">
                  <c:v>794.87663423882407</c:v>
                </c:pt>
                <c:pt idx="118">
                  <c:v>812.67232533708591</c:v>
                </c:pt>
                <c:pt idx="119">
                  <c:v>830.46016193785681</c:v>
                </c:pt>
                <c:pt idx="120">
                  <c:v>848.24033578968101</c:v>
                </c:pt>
                <c:pt idx="121">
                  <c:v>866.01302995629032</c:v>
                </c:pt>
                <c:pt idx="122">
                  <c:v>883.77841938372865</c:v>
                </c:pt>
                <c:pt idx="123">
                  <c:v>901.53667141955941</c:v>
                </c:pt>
                <c:pt idx="124">
                  <c:v>919.28794628908884</c:v>
                </c:pt>
                <c:pt idx="125">
                  <c:v>822.06796668502648</c:v>
                </c:pt>
                <c:pt idx="126">
                  <c:v>840.06510771199294</c:v>
                </c:pt>
                <c:pt idx="127">
                  <c:v>858.05450328578445</c:v>
                </c:pt>
                <c:pt idx="128">
                  <c:v>876.03633847743095</c:v>
                </c:pt>
                <c:pt idx="129">
                  <c:v>894.0107901498958</c:v>
                </c:pt>
                <c:pt idx="130">
                  <c:v>911.97802748315098</c:v>
                </c:pt>
                <c:pt idx="131">
                  <c:v>929.93821245577226</c:v>
                </c:pt>
                <c:pt idx="132">
                  <c:v>947.89150028744427</c:v>
                </c:pt>
                <c:pt idx="133">
                  <c:v>965.83803984624228</c:v>
                </c:pt>
                <c:pt idx="134">
                  <c:v>983.77797402411124</c:v>
                </c:pt>
                <c:pt idx="135">
                  <c:v>881.0212312212476</c:v>
                </c:pt>
                <c:pt idx="136">
                  <c:v>899.2346301814199</c:v>
                </c:pt>
                <c:pt idx="137">
                  <c:v>917.44066909799074</c:v>
                </c:pt>
                <c:pt idx="138">
                  <c:v>935.63951441682673</c:v>
                </c:pt>
                <c:pt idx="139">
                  <c:v>953.8313255892258</c:v>
                </c:pt>
                <c:pt idx="140">
                  <c:v>972.016255496334</c:v>
                </c:pt>
                <c:pt idx="141">
                  <c:v>990.19445084019083</c:v>
                </c:pt>
                <c:pt idx="142">
                  <c:v>1008.3660525046098</c:v>
                </c:pt>
                <c:pt idx="143">
                  <c:v>1026.5311958887266</c:v>
                </c:pt>
                <c:pt idx="144">
                  <c:v>1044.6900112157464</c:v>
                </c:pt>
                <c:pt idx="145">
                  <c:v>940.4129528327752</c:v>
                </c:pt>
                <c:pt idx="146">
                  <c:v>958.98282344104257</c:v>
                </c:pt>
                <c:pt idx="147">
                  <c:v>977.54556623107385</c:v>
                </c:pt>
                <c:pt idx="148">
                  <c:v>996.10133543663414</c:v>
                </c:pt>
                <c:pt idx="149">
                  <c:v>1014.6502790846899</c:v>
                </c:pt>
                <c:pt idx="150">
                  <c:v>1033.1925393563622</c:v>
                </c:pt>
                <c:pt idx="151">
                  <c:v>1051.7282529206625</c:v>
                </c:pt>
                <c:pt idx="152">
                  <c:v>1070.2575512435144</c:v>
                </c:pt>
                <c:pt idx="153">
                  <c:v>1088.7805608742954</c:v>
                </c:pt>
                <c:pt idx="154">
                  <c:v>1107.2974037118909</c:v>
                </c:pt>
                <c:pt idx="155">
                  <c:v>1004.9404961857837</c:v>
                </c:pt>
                <c:pt idx="156">
                  <c:v>1023.7901458311022</c:v>
                </c:pt>
                <c:pt idx="157">
                  <c:v>1042.6329614876088</c:v>
                </c:pt>
                <c:pt idx="158">
                  <c:v>1061.4690838798804</c:v>
                </c:pt>
                <c:pt idx="159">
                  <c:v>1080.2986483382792</c:v>
                </c:pt>
                <c:pt idx="160">
                  <c:v>1099.121785098017</c:v>
                </c:pt>
                <c:pt idx="161">
                  <c:v>1117.9386195767026</c:v>
                </c:pt>
                <c:pt idx="162">
                  <c:v>1136.7492726322619</c:v>
                </c:pt>
                <c:pt idx="163">
                  <c:v>1155.5538608029244</c:v>
                </c:pt>
                <c:pt idx="164">
                  <c:v>1174.3524965308034</c:v>
                </c:pt>
                <c:pt idx="165">
                  <c:v>1062.5210756861318</c:v>
                </c:pt>
                <c:pt idx="166">
                  <c:v>1081.6161581821882</c:v>
                </c:pt>
                <c:pt idx="167">
                  <c:v>1100.7046393125474</c:v>
                </c:pt>
                <c:pt idx="168">
                  <c:v>1119.7866495093174</c:v>
                </c:pt>
                <c:pt idx="169">
                  <c:v>1138.8623144037938</c:v>
                </c:pt>
                <c:pt idx="170">
                  <c:v>1157.9317550822202</c:v>
                </c:pt>
                <c:pt idx="171">
                  <c:v>1176.9950883238507</c:v>
                </c:pt>
                <c:pt idx="172">
                  <c:v>1196.052426822816</c:v>
                </c:pt>
                <c:pt idx="173">
                  <c:v>1215.1038793951363</c:v>
                </c:pt>
                <c:pt idx="174">
                  <c:v>1234.1495511720993</c:v>
                </c:pt>
                <c:pt idx="175">
                  <c:v>769.33859558608037</c:v>
                </c:pt>
                <c:pt idx="176">
                  <c:v>781.60247607267286</c:v>
                </c:pt>
                <c:pt idx="177">
                  <c:v>793.86246237038984</c:v>
                </c:pt>
                <c:pt idx="178">
                  <c:v>543.60244296324618</c:v>
                </c:pt>
                <c:pt idx="179">
                  <c:v>551.16670089321383</c:v>
                </c:pt>
                <c:pt idx="180">
                  <c:v>558.72878275271785</c:v>
                </c:pt>
                <c:pt idx="181">
                  <c:v>387.83270199165668</c:v>
                </c:pt>
                <c:pt idx="182">
                  <c:v>392.47982260646131</c:v>
                </c:pt>
                <c:pt idx="183">
                  <c:v>397.12574994745228</c:v>
                </c:pt>
                <c:pt idx="184">
                  <c:v>1.6973245871741914E-11</c:v>
                </c:pt>
                <c:pt idx="185">
                  <c:v>1.6973245871741914E-11</c:v>
                </c:pt>
                <c:pt idx="186">
                  <c:v>1.6973245871741914E-11</c:v>
                </c:pt>
                <c:pt idx="187">
                  <c:v>1.6973245871741914E-11</c:v>
                </c:pt>
                <c:pt idx="188">
                  <c:v>1.6973245871741914E-11</c:v>
                </c:pt>
                <c:pt idx="189">
                  <c:v>1.6973245871741914E-11</c:v>
                </c:pt>
                <c:pt idx="190">
                  <c:v>1.6973245871741914E-11</c:v>
                </c:pt>
                <c:pt idx="191">
                  <c:v>1.6973245871741914E-11</c:v>
                </c:pt>
                <c:pt idx="192">
                  <c:v>1.6973245871741914E-11</c:v>
                </c:pt>
                <c:pt idx="193">
                  <c:v>1.6973245871741914E-11</c:v>
                </c:pt>
                <c:pt idx="194">
                  <c:v>1.6973245871741914E-11</c:v>
                </c:pt>
                <c:pt idx="195">
                  <c:v>1.6973245871741914E-11</c:v>
                </c:pt>
                <c:pt idx="196">
                  <c:v>1.6973245871741914E-11</c:v>
                </c:pt>
                <c:pt idx="197">
                  <c:v>1.6973245871741914E-11</c:v>
                </c:pt>
                <c:pt idx="198">
                  <c:v>1.6973245871741914E-11</c:v>
                </c:pt>
                <c:pt idx="199">
                  <c:v>1.6973245871741914E-11</c:v>
                </c:pt>
                <c:pt idx="200">
                  <c:v>1.6973245871741914E-11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6" x14ac:dyDescent="0.4"/>
  <cols>
    <col min="1" max="1" width="6.61328125" customWidth="1"/>
    <col min="2" max="13" width="15.921875" customWidth="1"/>
  </cols>
  <sheetData>
    <row r="12" spans="2:13" ht="15" customHeight="1" x14ac:dyDescent="0.4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4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4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4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4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4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4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4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4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4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4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4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4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4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4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4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4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4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4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142" sqref="C142"/>
    </sheetView>
  </sheetViews>
  <sheetFormatPr baseColWidth="10" defaultColWidth="11.4609375" defaultRowHeight="14.6" x14ac:dyDescent="0.4"/>
  <cols>
    <col min="1" max="1" width="13.61328125" style="23" customWidth="1"/>
    <col min="2" max="2" width="36.07421875" style="23" customWidth="1"/>
    <col min="3" max="3" width="14.921875" style="23" bestFit="1" customWidth="1"/>
    <col min="4" max="4" width="16.4609375" style="23" customWidth="1"/>
    <col min="5" max="5" width="23.3828125" style="23" customWidth="1"/>
    <col min="6" max="6" width="28.921875" style="23" bestFit="1" customWidth="1"/>
    <col min="7" max="8" width="14.61328125" style="23" customWidth="1"/>
    <col min="9" max="9" width="17" style="23" customWidth="1"/>
    <col min="10" max="10" width="13.921875" style="23" customWidth="1"/>
    <col min="11" max="16384" width="11.4609375" style="23"/>
  </cols>
  <sheetData>
    <row r="1" spans="1:38" x14ac:dyDescent="0.4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6" thickBot="1" x14ac:dyDescent="0.4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15" x14ac:dyDescent="0.4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15" x14ac:dyDescent="0.4">
      <c r="A5" s="268" t="s">
        <v>231</v>
      </c>
      <c r="B5" s="268"/>
      <c r="C5" s="24">
        <v>4.4000000000000004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15" x14ac:dyDescent="0.4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">
      <c r="A9" s="30" t="s">
        <v>165</v>
      </c>
      <c r="B9" s="31" t="s">
        <v>9</v>
      </c>
      <c r="C9" s="32">
        <v>0.13</v>
      </c>
      <c r="D9" s="33">
        <f t="shared" ref="D9:D18" si="0">C9*$C$5</f>
        <v>0.57200000000000006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">
      <c r="A10" s="30" t="s">
        <v>166</v>
      </c>
      <c r="B10" s="31" t="s">
        <v>12</v>
      </c>
      <c r="C10" s="32">
        <v>0.34</v>
      </c>
      <c r="D10" s="33">
        <f t="shared" si="0"/>
        <v>1.4960000000000002</v>
      </c>
      <c r="E10" s="34">
        <v>183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">
      <c r="A11" s="30" t="s">
        <v>167</v>
      </c>
      <c r="B11" s="31" t="s">
        <v>14</v>
      </c>
      <c r="C11" s="32">
        <v>0.34</v>
      </c>
      <c r="D11" s="33">
        <f t="shared" si="0"/>
        <v>1.4960000000000002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">
      <c r="A12" s="30" t="s">
        <v>168</v>
      </c>
      <c r="B12" s="31" t="s">
        <v>6</v>
      </c>
      <c r="C12" s="32">
        <v>0.19</v>
      </c>
      <c r="D12" s="33">
        <f t="shared" si="0"/>
        <v>0.83600000000000008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">
      <c r="A19" s="78"/>
      <c r="B19" s="36" t="s">
        <v>175</v>
      </c>
      <c r="C19" s="37">
        <f>SUM(C9:C18)</f>
        <v>1</v>
      </c>
      <c r="D19" s="38">
        <f>SUM(D9:D18)</f>
        <v>4.4000000000000012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0.6" x14ac:dyDescent="0.5500000000000000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0.6" x14ac:dyDescent="0.4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">
      <c r="A32" s="46" t="s">
        <v>165</v>
      </c>
      <c r="B32" s="47" t="str">
        <f>IF(B9="","",B9)</f>
        <v>Chêne chevelu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75" x14ac:dyDescent="0.4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">
      <c r="A36" s="50">
        <v>10</v>
      </c>
      <c r="B36" s="60">
        <v>14.743589743589743</v>
      </c>
      <c r="C36" s="60">
        <v>0</v>
      </c>
      <c r="D36" s="60">
        <v>0</v>
      </c>
      <c r="E36" s="51">
        <v>0</v>
      </c>
      <c r="F36" s="51">
        <v>0.5</v>
      </c>
      <c r="G36" s="51">
        <v>0</v>
      </c>
      <c r="H36" s="51">
        <v>0.5</v>
      </c>
      <c r="I36" s="49">
        <f>IFERROR(B36/A36,"")</f>
        <v>1.4743589743589742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">
      <c r="A37" s="50">
        <v>15</v>
      </c>
      <c r="B37" s="60">
        <v>38.46153846153846</v>
      </c>
      <c r="C37" s="60">
        <v>0</v>
      </c>
      <c r="D37" s="60">
        <v>0</v>
      </c>
      <c r="E37" s="51">
        <v>0</v>
      </c>
      <c r="F37" s="51">
        <v>0.5</v>
      </c>
      <c r="G37" s="51">
        <v>0</v>
      </c>
      <c r="H37" s="51">
        <v>0.5</v>
      </c>
      <c r="I37" s="53">
        <f t="shared" ref="I37:I55" si="1">IF(A37&lt;&gt;0,(B37-(B36-D36))/(A37-A36),"")</f>
        <v>4.7435897435897427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">
      <c r="A38" s="50">
        <v>20</v>
      </c>
      <c r="B38" s="60">
        <v>69.230769230769226</v>
      </c>
      <c r="C38" s="60">
        <v>1</v>
      </c>
      <c r="D38" s="60">
        <v>26.282051282051281</v>
      </c>
      <c r="E38" s="51">
        <v>0</v>
      </c>
      <c r="F38" s="51">
        <v>0.5</v>
      </c>
      <c r="G38" s="51">
        <v>0</v>
      </c>
      <c r="H38" s="51">
        <v>0.5</v>
      </c>
      <c r="I38" s="53">
        <f t="shared" si="1"/>
        <v>6.1538461538461533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">
      <c r="A39" s="50">
        <v>25</v>
      </c>
      <c r="B39" s="60">
        <v>72.435897435897431</v>
      </c>
      <c r="C39" s="60">
        <v>2</v>
      </c>
      <c r="D39" s="60">
        <v>14.743589743589743</v>
      </c>
      <c r="E39" s="51">
        <v>0</v>
      </c>
      <c r="F39" s="51">
        <v>0.5</v>
      </c>
      <c r="G39" s="51">
        <v>0</v>
      </c>
      <c r="H39" s="51">
        <v>0.5</v>
      </c>
      <c r="I39" s="49">
        <f t="shared" si="1"/>
        <v>5.8974358974358978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">
      <c r="A40" s="50">
        <v>30</v>
      </c>
      <c r="B40" s="60">
        <v>86.538461538461533</v>
      </c>
      <c r="C40" s="60">
        <v>3</v>
      </c>
      <c r="D40" s="60">
        <v>15.384615384615383</v>
      </c>
      <c r="E40" s="51">
        <v>0</v>
      </c>
      <c r="F40" s="51">
        <v>0.5</v>
      </c>
      <c r="G40" s="51">
        <v>0</v>
      </c>
      <c r="H40" s="51">
        <v>0.5</v>
      </c>
      <c r="I40" s="49">
        <f t="shared" si="1"/>
        <v>5.7692307692307692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">
      <c r="A41" s="50">
        <v>35</v>
      </c>
      <c r="B41" s="60">
        <v>98.07692307692308</v>
      </c>
      <c r="C41" s="60">
        <v>4</v>
      </c>
      <c r="D41" s="60">
        <v>15.384615384615383</v>
      </c>
      <c r="E41" s="51">
        <v>0</v>
      </c>
      <c r="F41" s="51">
        <v>0.5</v>
      </c>
      <c r="G41" s="51">
        <v>0</v>
      </c>
      <c r="H41" s="51">
        <v>0.5</v>
      </c>
      <c r="I41" s="53">
        <f t="shared" si="1"/>
        <v>5.3846153846153868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">
      <c r="A42" s="50">
        <v>40</v>
      </c>
      <c r="B42" s="60">
        <v>107.69230769230768</v>
      </c>
      <c r="C42" s="60">
        <v>5</v>
      </c>
      <c r="D42" s="60">
        <v>14.743589743589743</v>
      </c>
      <c r="E42" s="51">
        <v>0</v>
      </c>
      <c r="F42" s="51">
        <v>0.5</v>
      </c>
      <c r="G42" s="51">
        <v>0</v>
      </c>
      <c r="H42" s="51">
        <v>0.5</v>
      </c>
      <c r="I42" s="53">
        <f t="shared" si="1"/>
        <v>4.9999999999999973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">
      <c r="A43" s="50">
        <v>45</v>
      </c>
      <c r="B43" s="60">
        <v>115.38461538461539</v>
      </c>
      <c r="C43" s="60">
        <v>6</v>
      </c>
      <c r="D43" s="60">
        <v>14.102564102564102</v>
      </c>
      <c r="E43" s="51">
        <v>0</v>
      </c>
      <c r="F43" s="51">
        <v>0.5</v>
      </c>
      <c r="G43" s="51">
        <v>0</v>
      </c>
      <c r="H43" s="51">
        <v>0.5</v>
      </c>
      <c r="I43" s="49">
        <f t="shared" si="1"/>
        <v>4.487179487179489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">
      <c r="A44" s="50">
        <v>50</v>
      </c>
      <c r="B44" s="60">
        <v>122.43589743589743</v>
      </c>
      <c r="C44" s="60">
        <v>7</v>
      </c>
      <c r="D44" s="60">
        <v>13.461538461538462</v>
      </c>
      <c r="E44" s="51">
        <v>0</v>
      </c>
      <c r="F44" s="51">
        <v>0.5</v>
      </c>
      <c r="G44" s="51">
        <v>0</v>
      </c>
      <c r="H44" s="51">
        <v>0.5</v>
      </c>
      <c r="I44" s="49">
        <f t="shared" si="1"/>
        <v>4.2307692307692291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">
      <c r="A45" s="50">
        <v>55</v>
      </c>
      <c r="B45" s="60">
        <v>128.84615384615384</v>
      </c>
      <c r="C45" s="60">
        <v>8</v>
      </c>
      <c r="D45" s="60">
        <v>12.820512820512819</v>
      </c>
      <c r="E45" s="51">
        <v>0.1</v>
      </c>
      <c r="F45" s="51">
        <v>0.5</v>
      </c>
      <c r="G45" s="51">
        <v>0</v>
      </c>
      <c r="H45" s="51">
        <v>0.4</v>
      </c>
      <c r="I45" s="49">
        <f t="shared" si="1"/>
        <v>3.9743589743589753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">
      <c r="A46" s="50">
        <v>60</v>
      </c>
      <c r="B46" s="60">
        <v>132.69230769230768</v>
      </c>
      <c r="C46" s="60">
        <v>9</v>
      </c>
      <c r="D46" s="60">
        <v>11.538461538461538</v>
      </c>
      <c r="E46" s="51">
        <v>0.1</v>
      </c>
      <c r="F46" s="51">
        <v>0.5</v>
      </c>
      <c r="G46" s="51">
        <v>0</v>
      </c>
      <c r="H46" s="51">
        <v>0.4</v>
      </c>
      <c r="I46" s="49">
        <f t="shared" si="1"/>
        <v>3.3333333333333313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">
      <c r="A47" s="50">
        <v>65</v>
      </c>
      <c r="B47" s="60">
        <v>137.17948717948718</v>
      </c>
      <c r="C47" s="60">
        <v>10</v>
      </c>
      <c r="D47" s="60">
        <v>10.897435897435898</v>
      </c>
      <c r="E47" s="51">
        <v>0.1</v>
      </c>
      <c r="F47" s="51">
        <v>0.5</v>
      </c>
      <c r="G47" s="51">
        <v>0</v>
      </c>
      <c r="H47" s="51">
        <v>0.4</v>
      </c>
      <c r="I47" s="49">
        <f t="shared" si="1"/>
        <v>3.2051282051282071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">
      <c r="A48" s="50">
        <v>70</v>
      </c>
      <c r="B48" s="60">
        <v>141.02564102564102</v>
      </c>
      <c r="C48" s="60">
        <v>11</v>
      </c>
      <c r="D48" s="60">
        <v>10.256410256410255</v>
      </c>
      <c r="E48" s="51">
        <v>0.1</v>
      </c>
      <c r="F48" s="51">
        <v>0.5</v>
      </c>
      <c r="G48" s="51">
        <v>0</v>
      </c>
      <c r="H48" s="51">
        <v>0.4</v>
      </c>
      <c r="I48" s="49">
        <f t="shared" si="1"/>
        <v>2.9487179487179476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">
      <c r="A49" s="50">
        <v>75</v>
      </c>
      <c r="B49" s="60">
        <v>142.94871794871796</v>
      </c>
      <c r="C49" s="60">
        <v>12</v>
      </c>
      <c r="D49" s="60">
        <v>8.9743589743589745</v>
      </c>
      <c r="E49" s="51">
        <v>0.1</v>
      </c>
      <c r="F49" s="51">
        <v>0.5</v>
      </c>
      <c r="G49" s="51">
        <v>0</v>
      </c>
      <c r="H49" s="51">
        <v>0.4</v>
      </c>
      <c r="I49" s="49">
        <f t="shared" si="1"/>
        <v>2.4358974358974366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">
      <c r="A50" s="50">
        <v>80</v>
      </c>
      <c r="B50" s="50">
        <v>145.51282051282053</v>
      </c>
      <c r="C50" s="50">
        <v>13</v>
      </c>
      <c r="D50" s="50">
        <v>8.3333333333333339</v>
      </c>
      <c r="E50" s="51">
        <v>0.1</v>
      </c>
      <c r="F50" s="51">
        <v>0.5</v>
      </c>
      <c r="G50" s="51">
        <v>0</v>
      </c>
      <c r="H50" s="51">
        <v>0.4</v>
      </c>
      <c r="I50" s="49">
        <f t="shared" si="1"/>
        <v>2.3076923076923093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">
      <c r="A51" s="50">
        <v>85</v>
      </c>
      <c r="B51" s="50">
        <v>147.43589743589743</v>
      </c>
      <c r="C51" s="50">
        <v>14</v>
      </c>
      <c r="D51" s="50">
        <v>7.6923076923076916</v>
      </c>
      <c r="E51" s="51">
        <v>0.1</v>
      </c>
      <c r="F51" s="51">
        <v>0.5</v>
      </c>
      <c r="G51" s="51">
        <v>0</v>
      </c>
      <c r="H51" s="51">
        <v>0.4</v>
      </c>
      <c r="I51" s="49">
        <f t="shared" si="1"/>
        <v>2.0512820512820498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">
      <c r="A52" s="50">
        <v>90</v>
      </c>
      <c r="B52" s="50">
        <v>149.35897435897434</v>
      </c>
      <c r="C52" s="50">
        <v>15</v>
      </c>
      <c r="D52" s="50">
        <v>7.0512820512820511</v>
      </c>
      <c r="E52" s="51">
        <v>0.1</v>
      </c>
      <c r="F52" s="51">
        <v>0.5</v>
      </c>
      <c r="G52" s="51">
        <v>0</v>
      </c>
      <c r="H52" s="51">
        <v>0.4</v>
      </c>
      <c r="I52" s="49">
        <f t="shared" si="1"/>
        <v>1.9230769230769169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">
      <c r="A53" s="50">
        <v>95</v>
      </c>
      <c r="B53" s="50">
        <v>151.28205128205127</v>
      </c>
      <c r="C53" s="50">
        <v>16</v>
      </c>
      <c r="D53" s="50">
        <v>7.0512820512820511</v>
      </c>
      <c r="E53" s="51">
        <v>0.1</v>
      </c>
      <c r="F53" s="51">
        <v>0.5</v>
      </c>
      <c r="G53" s="51">
        <v>0</v>
      </c>
      <c r="H53" s="51">
        <v>0.4</v>
      </c>
      <c r="I53" s="49">
        <f t="shared" si="1"/>
        <v>1.7948717948717956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">
      <c r="A54" s="50">
        <v>100</v>
      </c>
      <c r="B54" s="50">
        <v>153.84615384615384</v>
      </c>
      <c r="C54" s="50">
        <v>17</v>
      </c>
      <c r="D54" s="50">
        <v>153.84615384615384</v>
      </c>
      <c r="E54" s="51">
        <v>0.2</v>
      </c>
      <c r="F54" s="51">
        <v>0.4</v>
      </c>
      <c r="G54" s="51">
        <v>0</v>
      </c>
      <c r="H54" s="51">
        <v>0.4</v>
      </c>
      <c r="I54" s="49">
        <f t="shared" si="1"/>
        <v>1.9230769230769227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75" x14ac:dyDescent="0.4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">
      <c r="A62" s="50">
        <v>42</v>
      </c>
      <c r="B62" s="60">
        <v>171.96</v>
      </c>
      <c r="C62" s="60">
        <v>1</v>
      </c>
      <c r="D62" s="60">
        <v>44.510000000000005</v>
      </c>
      <c r="E62" s="51">
        <v>0</v>
      </c>
      <c r="F62" s="51">
        <v>0.8</v>
      </c>
      <c r="G62" s="51">
        <v>0.2</v>
      </c>
      <c r="H62" s="51">
        <v>0</v>
      </c>
      <c r="I62" s="53">
        <f>IFERROR(B62/A62,"")</f>
        <v>4.0942857142857143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">
      <c r="A63" s="50">
        <v>50</v>
      </c>
      <c r="B63" s="60">
        <v>208.33</v>
      </c>
      <c r="C63" s="60">
        <v>2</v>
      </c>
      <c r="D63" s="60">
        <v>37.54000000000002</v>
      </c>
      <c r="E63" s="51">
        <v>0</v>
      </c>
      <c r="F63" s="51">
        <v>0.8</v>
      </c>
      <c r="G63" s="51">
        <v>0.2</v>
      </c>
      <c r="H63" s="51">
        <v>0</v>
      </c>
      <c r="I63" s="49">
        <f>IF(A63&lt;&gt;0,(B63-(B62-D62))/(A63-A62),"")</f>
        <v>10.110000000000001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">
      <c r="A64" s="50">
        <v>58</v>
      </c>
      <c r="B64" s="60">
        <v>253.7</v>
      </c>
      <c r="C64" s="60">
        <v>3</v>
      </c>
      <c r="D64" s="60">
        <v>47.789999999999992</v>
      </c>
      <c r="E64" s="51">
        <v>0</v>
      </c>
      <c r="F64" s="51">
        <v>0.8</v>
      </c>
      <c r="G64" s="51">
        <v>0.2</v>
      </c>
      <c r="H64" s="51">
        <v>0</v>
      </c>
      <c r="I64" s="49">
        <f>IF(A64&lt;&gt;0,(B64-(B63-D63))/(A64-A63),"")</f>
        <v>10.36375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">
      <c r="A65" s="50">
        <v>66</v>
      </c>
      <c r="B65" s="60">
        <v>286.77</v>
      </c>
      <c r="C65" s="60">
        <v>4</v>
      </c>
      <c r="D65" s="60">
        <v>53.679999999999978</v>
      </c>
      <c r="E65" s="51">
        <v>0.35</v>
      </c>
      <c r="F65" s="51">
        <v>0.2</v>
      </c>
      <c r="G65" s="51">
        <v>0.1</v>
      </c>
      <c r="H65" s="51">
        <v>0.35</v>
      </c>
      <c r="I65" s="49">
        <f>IF(A65&lt;&gt;0,(B65-(B64-D64))/(A65-A64),"")</f>
        <v>10.107499999999998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">
      <c r="A66" s="50">
        <v>74</v>
      </c>
      <c r="B66" s="60">
        <v>310.95999999999998</v>
      </c>
      <c r="C66" s="60">
        <v>5</v>
      </c>
      <c r="D66" s="60">
        <v>51.339999999999975</v>
      </c>
      <c r="E66" s="51">
        <v>0.35</v>
      </c>
      <c r="F66" s="51">
        <v>0.2</v>
      </c>
      <c r="G66" s="51">
        <v>0.1</v>
      </c>
      <c r="H66" s="51">
        <v>0.35</v>
      </c>
      <c r="I66" s="49">
        <f t="shared" ref="I66:I81" si="2">IF(A66&lt;&gt;0,(B66-(B65-D65))/(A66-A65),"")</f>
        <v>9.733749999999997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">
      <c r="A67" s="50">
        <v>84</v>
      </c>
      <c r="B67" s="60">
        <v>355.09</v>
      </c>
      <c r="C67" s="60">
        <v>6</v>
      </c>
      <c r="D67" s="60">
        <v>66.69</v>
      </c>
      <c r="E67" s="51">
        <v>0.35</v>
      </c>
      <c r="F67" s="51">
        <v>0.2</v>
      </c>
      <c r="G67" s="51">
        <v>0.1</v>
      </c>
      <c r="H67" s="51">
        <v>0.35</v>
      </c>
      <c r="I67" s="49">
        <f t="shared" si="2"/>
        <v>9.546999999999997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">
      <c r="A68" s="50">
        <v>94</v>
      </c>
      <c r="B68" s="60">
        <v>380.13</v>
      </c>
      <c r="C68" s="60">
        <v>7</v>
      </c>
      <c r="D68" s="60">
        <v>67.350000000000023</v>
      </c>
      <c r="E68" s="51">
        <v>0.35</v>
      </c>
      <c r="F68" s="51">
        <v>0.2</v>
      </c>
      <c r="G68" s="51">
        <v>0.1</v>
      </c>
      <c r="H68" s="51">
        <v>0.35</v>
      </c>
      <c r="I68" s="49">
        <f t="shared" si="2"/>
        <v>9.1730000000000018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">
      <c r="A69" s="50">
        <v>104</v>
      </c>
      <c r="B69" s="50">
        <v>402.2</v>
      </c>
      <c r="C69" s="50">
        <v>8</v>
      </c>
      <c r="D69" s="50">
        <v>66.089999999999975</v>
      </c>
      <c r="E69" s="51">
        <v>0.35</v>
      </c>
      <c r="F69" s="51">
        <v>0.2</v>
      </c>
      <c r="G69" s="51">
        <v>0.1</v>
      </c>
      <c r="H69" s="51">
        <v>0.35</v>
      </c>
      <c r="I69" s="49">
        <f t="shared" si="2"/>
        <v>8.9420000000000019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">
      <c r="A70" s="50">
        <v>114</v>
      </c>
      <c r="B70" s="50">
        <v>424.56</v>
      </c>
      <c r="C70" s="50">
        <v>9</v>
      </c>
      <c r="D70" s="50">
        <v>61.860000000000014</v>
      </c>
      <c r="E70" s="51">
        <v>0.35</v>
      </c>
      <c r="F70" s="51">
        <v>0.2</v>
      </c>
      <c r="G70" s="51">
        <v>0.1</v>
      </c>
      <c r="H70" s="51">
        <v>0.35</v>
      </c>
      <c r="I70" s="49">
        <f t="shared" si="2"/>
        <v>8.8449999999999989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">
      <c r="A71" s="50">
        <v>124</v>
      </c>
      <c r="B71" s="50">
        <v>451.86</v>
      </c>
      <c r="C71" s="50">
        <v>10</v>
      </c>
      <c r="D71" s="50">
        <v>57.81</v>
      </c>
      <c r="E71" s="51">
        <v>0.35</v>
      </c>
      <c r="F71" s="51">
        <v>0.2</v>
      </c>
      <c r="G71" s="51">
        <v>0.1</v>
      </c>
      <c r="H71" s="51">
        <v>0.35</v>
      </c>
      <c r="I71" s="49">
        <f t="shared" si="2"/>
        <v>8.9160000000000021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">
      <c r="A72" s="50">
        <v>134</v>
      </c>
      <c r="B72" s="50">
        <v>484.28</v>
      </c>
      <c r="C72" s="50">
        <v>11</v>
      </c>
      <c r="D72" s="50">
        <v>60.779999999999973</v>
      </c>
      <c r="E72" s="51">
        <v>0.5</v>
      </c>
      <c r="F72" s="51">
        <v>0.2</v>
      </c>
      <c r="G72" s="51">
        <v>0</v>
      </c>
      <c r="H72" s="51">
        <v>0.3</v>
      </c>
      <c r="I72" s="49">
        <f t="shared" si="2"/>
        <v>9.0229999999999961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">
      <c r="A73" s="50">
        <v>144</v>
      </c>
      <c r="B73" s="50">
        <v>514.94000000000005</v>
      </c>
      <c r="C73" s="50">
        <v>12</v>
      </c>
      <c r="D73" s="50">
        <v>61.800000000000068</v>
      </c>
      <c r="E73" s="51">
        <v>0.5</v>
      </c>
      <c r="F73" s="51">
        <v>0.2</v>
      </c>
      <c r="G73" s="51">
        <v>0</v>
      </c>
      <c r="H73" s="51">
        <v>0.3</v>
      </c>
      <c r="I73" s="49">
        <f t="shared" si="2"/>
        <v>9.1440000000000055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">
      <c r="A74" s="50">
        <v>154</v>
      </c>
      <c r="B74" s="50">
        <v>546.49</v>
      </c>
      <c r="C74" s="50">
        <v>13</v>
      </c>
      <c r="D74" s="50">
        <v>61.050000000000011</v>
      </c>
      <c r="E74" s="51">
        <v>0.5</v>
      </c>
      <c r="F74" s="51">
        <v>0.2</v>
      </c>
      <c r="G74" s="51">
        <v>0</v>
      </c>
      <c r="H74" s="51">
        <v>0.3</v>
      </c>
      <c r="I74" s="49">
        <f t="shared" si="2"/>
        <v>9.3350000000000026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">
      <c r="A75" s="50">
        <v>164</v>
      </c>
      <c r="B75" s="50">
        <v>580.32000000000005</v>
      </c>
      <c r="C75" s="50">
        <v>14</v>
      </c>
      <c r="D75" s="50">
        <v>66.020000000000095</v>
      </c>
      <c r="E75" s="51">
        <v>0.5</v>
      </c>
      <c r="F75" s="51">
        <v>0.2</v>
      </c>
      <c r="G75" s="51">
        <v>0</v>
      </c>
      <c r="H75" s="51">
        <v>0.3</v>
      </c>
      <c r="I75" s="49">
        <f t="shared" si="2"/>
        <v>9.4880000000000049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">
      <c r="A76" s="50">
        <v>174</v>
      </c>
      <c r="B76" s="50">
        <v>610.52</v>
      </c>
      <c r="C76" s="50">
        <v>15</v>
      </c>
      <c r="D76" s="50">
        <v>240</v>
      </c>
      <c r="E76" s="51">
        <v>0.45</v>
      </c>
      <c r="F76" s="51">
        <v>0.05</v>
      </c>
      <c r="G76" s="51">
        <v>0.05</v>
      </c>
      <c r="H76" s="51">
        <v>0.45</v>
      </c>
      <c r="I76" s="49">
        <f t="shared" si="2"/>
        <v>9.6220000000000034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">
      <c r="A77" s="50">
        <v>177</v>
      </c>
      <c r="B77" s="50">
        <v>388.94</v>
      </c>
      <c r="C77" s="50">
        <v>16</v>
      </c>
      <c r="D77" s="50">
        <v>128.66000000000003</v>
      </c>
      <c r="E77" s="51">
        <v>0.45</v>
      </c>
      <c r="F77" s="51">
        <v>0.05</v>
      </c>
      <c r="G77" s="51">
        <v>0.05</v>
      </c>
      <c r="H77" s="51">
        <v>0.45</v>
      </c>
      <c r="I77" s="49">
        <f t="shared" si="2"/>
        <v>6.140000000000005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">
      <c r="A78" s="50">
        <v>180</v>
      </c>
      <c r="B78" s="50">
        <v>271.56</v>
      </c>
      <c r="C78" s="50">
        <v>17</v>
      </c>
      <c r="D78" s="50">
        <v>86.97</v>
      </c>
      <c r="E78" s="51">
        <v>0.45</v>
      </c>
      <c r="F78" s="51">
        <v>0.05</v>
      </c>
      <c r="G78" s="51">
        <v>0.05</v>
      </c>
      <c r="H78" s="51">
        <v>0.45</v>
      </c>
      <c r="I78" s="49">
        <f t="shared" si="2"/>
        <v>3.76000000000001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">
      <c r="A79" s="50">
        <v>183</v>
      </c>
      <c r="B79" s="50">
        <v>191.47</v>
      </c>
      <c r="C79" s="50">
        <v>18</v>
      </c>
      <c r="D79" s="50">
        <v>191.47</v>
      </c>
      <c r="E79" s="51">
        <v>0.45</v>
      </c>
      <c r="F79" s="51">
        <v>0.05</v>
      </c>
      <c r="G79" s="51">
        <v>0.05</v>
      </c>
      <c r="H79" s="51">
        <v>0.45</v>
      </c>
      <c r="I79" s="49">
        <f t="shared" si="2"/>
        <v>2.2933333333333317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75" x14ac:dyDescent="0.4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">
      <c r="A88" s="50">
        <v>42</v>
      </c>
      <c r="B88" s="60">
        <v>171.96</v>
      </c>
      <c r="C88" s="60">
        <v>1</v>
      </c>
      <c r="D88" s="60">
        <v>44.510000000000005</v>
      </c>
      <c r="E88" s="51">
        <v>0</v>
      </c>
      <c r="F88" s="51">
        <v>0.8</v>
      </c>
      <c r="G88" s="51">
        <v>0.2</v>
      </c>
      <c r="H88" s="87">
        <v>0</v>
      </c>
      <c r="I88" s="53">
        <f>IFERROR(B88/A88,"")</f>
        <v>4.0942857142857143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">
      <c r="A89" s="50">
        <v>50</v>
      </c>
      <c r="B89" s="60">
        <v>208.33</v>
      </c>
      <c r="C89" s="60">
        <v>2</v>
      </c>
      <c r="D89" s="60">
        <v>37.54000000000002</v>
      </c>
      <c r="E89" s="51">
        <v>0</v>
      </c>
      <c r="F89" s="51">
        <v>0.8</v>
      </c>
      <c r="G89" s="51">
        <v>0.2</v>
      </c>
      <c r="H89" s="87">
        <v>0</v>
      </c>
      <c r="I89" s="53">
        <f t="shared" ref="I89:I107" si="3">IF(A89&lt;&gt;0,(B89-(B88-D88))/(A89-A88),"")</f>
        <v>10.110000000000001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">
      <c r="A90" s="50">
        <v>58</v>
      </c>
      <c r="B90" s="60">
        <v>253.7</v>
      </c>
      <c r="C90" s="60">
        <v>3</v>
      </c>
      <c r="D90" s="60">
        <v>47.789999999999992</v>
      </c>
      <c r="E90" s="87">
        <v>0</v>
      </c>
      <c r="F90" s="87">
        <v>0.8</v>
      </c>
      <c r="G90" s="87">
        <v>0.2</v>
      </c>
      <c r="H90" s="87">
        <v>0</v>
      </c>
      <c r="I90" s="53">
        <f t="shared" si="3"/>
        <v>10.36375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">
      <c r="A91" s="50">
        <v>66</v>
      </c>
      <c r="B91" s="60">
        <v>286.77</v>
      </c>
      <c r="C91" s="60">
        <v>4</v>
      </c>
      <c r="D91" s="60">
        <v>53.679999999999978</v>
      </c>
      <c r="E91" s="87">
        <v>0.35</v>
      </c>
      <c r="F91" s="87">
        <v>0.2</v>
      </c>
      <c r="G91" s="87">
        <v>0.1</v>
      </c>
      <c r="H91" s="87">
        <v>0.35</v>
      </c>
      <c r="I91" s="53">
        <f t="shared" si="3"/>
        <v>10.107499999999998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">
      <c r="A92" s="50">
        <v>74</v>
      </c>
      <c r="B92" s="60">
        <v>310.95999999999998</v>
      </c>
      <c r="C92" s="60">
        <v>5</v>
      </c>
      <c r="D92" s="60">
        <v>51.339999999999975</v>
      </c>
      <c r="E92" s="87">
        <v>0.35</v>
      </c>
      <c r="F92" s="87">
        <v>0.2</v>
      </c>
      <c r="G92" s="87">
        <v>0.1</v>
      </c>
      <c r="H92" s="87">
        <v>0.35</v>
      </c>
      <c r="I92" s="53">
        <f t="shared" si="3"/>
        <v>9.733749999999997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">
      <c r="A93" s="50">
        <v>84</v>
      </c>
      <c r="B93" s="60">
        <v>355.09</v>
      </c>
      <c r="C93" s="60">
        <v>6</v>
      </c>
      <c r="D93" s="60">
        <v>66.69</v>
      </c>
      <c r="E93" s="87">
        <v>0.35</v>
      </c>
      <c r="F93" s="87">
        <v>0.2</v>
      </c>
      <c r="G93" s="87">
        <v>0.1</v>
      </c>
      <c r="H93" s="87">
        <v>0.35</v>
      </c>
      <c r="I93" s="53">
        <f t="shared" si="3"/>
        <v>9.546999999999997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">
      <c r="A94" s="50">
        <v>94</v>
      </c>
      <c r="B94" s="60">
        <v>380.13</v>
      </c>
      <c r="C94" s="60">
        <v>7</v>
      </c>
      <c r="D94" s="60">
        <v>67.350000000000023</v>
      </c>
      <c r="E94" s="87">
        <v>0.35</v>
      </c>
      <c r="F94" s="87">
        <v>0.2</v>
      </c>
      <c r="G94" s="87">
        <v>0.1</v>
      </c>
      <c r="H94" s="87">
        <v>0.35</v>
      </c>
      <c r="I94" s="53">
        <f t="shared" si="3"/>
        <v>9.1730000000000018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">
      <c r="A95" s="60">
        <v>104</v>
      </c>
      <c r="B95" s="60">
        <v>402.2</v>
      </c>
      <c r="C95" s="60">
        <v>8</v>
      </c>
      <c r="D95" s="60">
        <v>66.089999999999975</v>
      </c>
      <c r="E95" s="87">
        <v>0.35</v>
      </c>
      <c r="F95" s="87">
        <v>0.2</v>
      </c>
      <c r="G95" s="87">
        <v>0.1</v>
      </c>
      <c r="H95" s="87">
        <v>0.35</v>
      </c>
      <c r="I95" s="53">
        <f t="shared" si="3"/>
        <v>8.9420000000000019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">
      <c r="A96" s="60">
        <v>114</v>
      </c>
      <c r="B96" s="60">
        <v>424.56</v>
      </c>
      <c r="C96" s="60">
        <v>9</v>
      </c>
      <c r="D96" s="60">
        <v>61.860000000000014</v>
      </c>
      <c r="E96" s="87">
        <v>0.35</v>
      </c>
      <c r="F96" s="87">
        <v>0.2</v>
      </c>
      <c r="G96" s="87">
        <v>0.1</v>
      </c>
      <c r="H96" s="87">
        <v>0.35</v>
      </c>
      <c r="I96" s="53">
        <f t="shared" si="3"/>
        <v>8.8449999999999989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">
      <c r="A97" s="60">
        <v>124</v>
      </c>
      <c r="B97" s="60">
        <v>451.86</v>
      </c>
      <c r="C97" s="60">
        <v>10</v>
      </c>
      <c r="D97" s="60">
        <v>57.81</v>
      </c>
      <c r="E97" s="87">
        <v>0.35</v>
      </c>
      <c r="F97" s="87">
        <v>0.2</v>
      </c>
      <c r="G97" s="87">
        <v>0.1</v>
      </c>
      <c r="H97" s="87">
        <v>0.35</v>
      </c>
      <c r="I97" s="53">
        <f t="shared" si="3"/>
        <v>8.9160000000000021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">
      <c r="A98" s="60">
        <v>134</v>
      </c>
      <c r="B98" s="60">
        <v>484.28</v>
      </c>
      <c r="C98" s="60">
        <v>11</v>
      </c>
      <c r="D98" s="60">
        <v>60.779999999999973</v>
      </c>
      <c r="E98" s="87">
        <v>0.5</v>
      </c>
      <c r="F98" s="87">
        <v>0.2</v>
      </c>
      <c r="G98" s="87">
        <v>0</v>
      </c>
      <c r="H98" s="87">
        <v>0.3</v>
      </c>
      <c r="I98" s="53">
        <f t="shared" si="3"/>
        <v>9.0229999999999961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">
      <c r="A99" s="60">
        <v>144</v>
      </c>
      <c r="B99" s="60">
        <v>514.94000000000005</v>
      </c>
      <c r="C99" s="60">
        <v>12</v>
      </c>
      <c r="D99" s="60">
        <v>61.800000000000068</v>
      </c>
      <c r="E99" s="87">
        <v>0.5</v>
      </c>
      <c r="F99" s="87">
        <v>0.2</v>
      </c>
      <c r="G99" s="87">
        <v>0</v>
      </c>
      <c r="H99" s="87">
        <v>0.3</v>
      </c>
      <c r="I99" s="53">
        <f t="shared" si="3"/>
        <v>9.1440000000000055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">
      <c r="A100" s="60">
        <v>154</v>
      </c>
      <c r="B100" s="60">
        <v>546.49</v>
      </c>
      <c r="C100" s="60">
        <v>13</v>
      </c>
      <c r="D100" s="60">
        <v>61.050000000000011</v>
      </c>
      <c r="E100" s="65">
        <v>0.5</v>
      </c>
      <c r="F100" s="65">
        <v>0.2</v>
      </c>
      <c r="G100" s="65">
        <v>0</v>
      </c>
      <c r="H100" s="65">
        <v>0.3</v>
      </c>
      <c r="I100" s="53">
        <f t="shared" si="3"/>
        <v>9.3350000000000026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">
      <c r="A101" s="60">
        <v>164</v>
      </c>
      <c r="B101" s="60">
        <v>580.32000000000005</v>
      </c>
      <c r="C101" s="60">
        <v>14</v>
      </c>
      <c r="D101" s="60">
        <v>66.020000000000095</v>
      </c>
      <c r="E101" s="65">
        <v>0.5</v>
      </c>
      <c r="F101" s="65">
        <v>0.2</v>
      </c>
      <c r="G101" s="65">
        <v>0</v>
      </c>
      <c r="H101" s="65">
        <v>0.3</v>
      </c>
      <c r="I101" s="53">
        <f t="shared" si="3"/>
        <v>9.4880000000000049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">
      <c r="A102" s="60">
        <v>174</v>
      </c>
      <c r="B102" s="50">
        <v>610.52</v>
      </c>
      <c r="C102" s="60">
        <v>15</v>
      </c>
      <c r="D102" s="50">
        <v>240</v>
      </c>
      <c r="E102" s="54">
        <v>0.45</v>
      </c>
      <c r="F102" s="54">
        <v>0.05</v>
      </c>
      <c r="G102" s="54">
        <v>0.05</v>
      </c>
      <c r="H102" s="54">
        <v>0.45</v>
      </c>
      <c r="I102" s="53">
        <f t="shared" si="3"/>
        <v>9.6220000000000034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">
      <c r="A103" s="60">
        <v>177</v>
      </c>
      <c r="B103" s="50">
        <v>388.94</v>
      </c>
      <c r="C103" s="60">
        <v>16</v>
      </c>
      <c r="D103" s="50">
        <v>128.66000000000003</v>
      </c>
      <c r="E103" s="54">
        <v>0.45</v>
      </c>
      <c r="F103" s="54">
        <v>0.05</v>
      </c>
      <c r="G103" s="54">
        <v>0.05</v>
      </c>
      <c r="H103" s="54">
        <v>0.45</v>
      </c>
      <c r="I103" s="53">
        <f t="shared" si="3"/>
        <v>6.140000000000005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">
      <c r="A104" s="60">
        <v>180</v>
      </c>
      <c r="B104" s="50">
        <v>271.56</v>
      </c>
      <c r="C104" s="60">
        <v>17</v>
      </c>
      <c r="D104" s="50">
        <v>86.97</v>
      </c>
      <c r="E104" s="54">
        <v>0.45</v>
      </c>
      <c r="F104" s="54">
        <v>0.05</v>
      </c>
      <c r="G104" s="54">
        <v>0.05</v>
      </c>
      <c r="H104" s="54">
        <v>0.45</v>
      </c>
      <c r="I104" s="53">
        <f t="shared" si="3"/>
        <v>3.76000000000001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">
      <c r="A105" s="50">
        <v>183</v>
      </c>
      <c r="B105" s="50">
        <v>191.47</v>
      </c>
      <c r="C105" s="50">
        <v>18</v>
      </c>
      <c r="D105" s="50">
        <v>191.47</v>
      </c>
      <c r="E105" s="54">
        <v>0.45</v>
      </c>
      <c r="F105" s="54">
        <v>0.05</v>
      </c>
      <c r="G105" s="54">
        <v>0.05</v>
      </c>
      <c r="H105" s="54">
        <v>0.45</v>
      </c>
      <c r="I105" s="53">
        <f t="shared" si="3"/>
        <v>2.2933333333333317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">
      <c r="A110" s="46" t="s">
        <v>168</v>
      </c>
      <c r="B110" s="52" t="str">
        <f>IF(B12="","",B12)</f>
        <v>Charme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75" x14ac:dyDescent="0.4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">
      <c r="A114" s="50">
        <v>42</v>
      </c>
      <c r="B114" s="60">
        <v>171.96</v>
      </c>
      <c r="C114" s="50">
        <v>1</v>
      </c>
      <c r="D114" s="60">
        <v>44.510000000000005</v>
      </c>
      <c r="E114" s="51">
        <v>0</v>
      </c>
      <c r="F114" s="51">
        <v>0.8</v>
      </c>
      <c r="G114" s="51">
        <v>0.2</v>
      </c>
      <c r="H114" s="51">
        <v>0</v>
      </c>
      <c r="I114" s="53">
        <f>IFERROR(B114/A114,"")</f>
        <v>4.0942857142857143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">
      <c r="A115" s="50">
        <v>50</v>
      </c>
      <c r="B115" s="60">
        <v>208.33</v>
      </c>
      <c r="C115" s="50">
        <v>2</v>
      </c>
      <c r="D115" s="60">
        <v>37.54000000000002</v>
      </c>
      <c r="E115" s="51">
        <v>0</v>
      </c>
      <c r="F115" s="51">
        <v>0.8</v>
      </c>
      <c r="G115" s="51">
        <v>0.2</v>
      </c>
      <c r="H115" s="51">
        <v>0</v>
      </c>
      <c r="I115" s="53">
        <f t="shared" ref="I115:I133" si="4">IF(A115&lt;&gt;0,(B115-(B114-D114))/(A115-A114),"")</f>
        <v>10.110000000000001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">
      <c r="A116" s="50">
        <v>58</v>
      </c>
      <c r="B116" s="60">
        <v>253.7</v>
      </c>
      <c r="C116" s="50">
        <v>3</v>
      </c>
      <c r="D116" s="60">
        <v>47.789999999999992</v>
      </c>
      <c r="E116" s="51">
        <v>0</v>
      </c>
      <c r="F116" s="51">
        <v>0.8</v>
      </c>
      <c r="G116" s="51">
        <v>0.2</v>
      </c>
      <c r="H116" s="51">
        <v>0</v>
      </c>
      <c r="I116" s="53">
        <f t="shared" si="4"/>
        <v>10.36375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">
      <c r="A117" s="50">
        <v>66</v>
      </c>
      <c r="B117" s="60">
        <v>286.77</v>
      </c>
      <c r="C117" s="50">
        <v>4</v>
      </c>
      <c r="D117" s="60">
        <v>53.679999999999978</v>
      </c>
      <c r="E117" s="51">
        <v>0.35</v>
      </c>
      <c r="F117" s="51">
        <v>0.2</v>
      </c>
      <c r="G117" s="51">
        <v>0.1</v>
      </c>
      <c r="H117" s="51">
        <v>0.35</v>
      </c>
      <c r="I117" s="53">
        <f t="shared" si="4"/>
        <v>10.107499999999998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">
      <c r="A118" s="50">
        <v>74</v>
      </c>
      <c r="B118" s="60">
        <v>310.95999999999998</v>
      </c>
      <c r="C118" s="50">
        <v>5</v>
      </c>
      <c r="D118" s="60">
        <v>51.339999999999975</v>
      </c>
      <c r="E118" s="51">
        <v>0.35</v>
      </c>
      <c r="F118" s="51">
        <v>0.2</v>
      </c>
      <c r="G118" s="51">
        <v>0.1</v>
      </c>
      <c r="H118" s="51">
        <v>0.35</v>
      </c>
      <c r="I118" s="53">
        <f t="shared" si="4"/>
        <v>9.733749999999997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">
      <c r="A119" s="50">
        <v>84</v>
      </c>
      <c r="B119" s="60">
        <v>355.09</v>
      </c>
      <c r="C119" s="50">
        <v>6</v>
      </c>
      <c r="D119" s="60">
        <v>66.69</v>
      </c>
      <c r="E119" s="51">
        <v>0.35</v>
      </c>
      <c r="F119" s="51">
        <v>0.2</v>
      </c>
      <c r="G119" s="51">
        <v>0.1</v>
      </c>
      <c r="H119" s="51">
        <v>0.35</v>
      </c>
      <c r="I119" s="53">
        <f t="shared" si="4"/>
        <v>9.546999999999997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">
      <c r="A120" s="60">
        <v>94</v>
      </c>
      <c r="B120" s="60">
        <v>380.13</v>
      </c>
      <c r="C120" s="60">
        <v>7</v>
      </c>
      <c r="D120" s="60">
        <v>67.350000000000023</v>
      </c>
      <c r="E120" s="87">
        <v>0.35</v>
      </c>
      <c r="F120" s="87">
        <v>0.2</v>
      </c>
      <c r="G120" s="87">
        <v>0.1</v>
      </c>
      <c r="H120" s="87">
        <v>0.35</v>
      </c>
      <c r="I120" s="53">
        <f t="shared" si="4"/>
        <v>9.1730000000000018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">
      <c r="A121" s="60">
        <v>104</v>
      </c>
      <c r="B121" s="60">
        <v>402.2</v>
      </c>
      <c r="C121" s="60">
        <v>8</v>
      </c>
      <c r="D121" s="60">
        <v>66.089999999999975</v>
      </c>
      <c r="E121" s="87">
        <v>0.35</v>
      </c>
      <c r="F121" s="87">
        <v>0.2</v>
      </c>
      <c r="G121" s="87">
        <v>0.1</v>
      </c>
      <c r="H121" s="87">
        <v>0.35</v>
      </c>
      <c r="I121" s="53">
        <f t="shared" si="4"/>
        <v>8.9420000000000019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">
      <c r="A122" s="60">
        <v>114</v>
      </c>
      <c r="B122" s="60">
        <v>424.56</v>
      </c>
      <c r="C122" s="60">
        <v>9</v>
      </c>
      <c r="D122" s="60">
        <v>61.860000000000014</v>
      </c>
      <c r="E122" s="87">
        <v>0.35</v>
      </c>
      <c r="F122" s="87">
        <v>0.2</v>
      </c>
      <c r="G122" s="87">
        <v>0.1</v>
      </c>
      <c r="H122" s="87">
        <v>0.35</v>
      </c>
      <c r="I122" s="53">
        <f t="shared" si="4"/>
        <v>8.8449999999999989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">
      <c r="A123" s="60">
        <v>124</v>
      </c>
      <c r="B123" s="60">
        <v>451.86</v>
      </c>
      <c r="C123" s="60">
        <v>10</v>
      </c>
      <c r="D123" s="60">
        <v>57.81</v>
      </c>
      <c r="E123" s="87">
        <v>0.35</v>
      </c>
      <c r="F123" s="87">
        <v>0.2</v>
      </c>
      <c r="G123" s="87">
        <v>0.1</v>
      </c>
      <c r="H123" s="87">
        <v>0.35</v>
      </c>
      <c r="I123" s="53">
        <f t="shared" si="4"/>
        <v>8.9160000000000021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">
      <c r="A124" s="60">
        <v>134</v>
      </c>
      <c r="B124" s="60">
        <v>484.28</v>
      </c>
      <c r="C124" s="60">
        <v>11</v>
      </c>
      <c r="D124" s="60">
        <v>60.779999999999973</v>
      </c>
      <c r="E124" s="87">
        <v>0.5</v>
      </c>
      <c r="F124" s="87">
        <v>0.2</v>
      </c>
      <c r="G124" s="87">
        <v>0</v>
      </c>
      <c r="H124" s="87">
        <v>0.3</v>
      </c>
      <c r="I124" s="53">
        <f t="shared" si="4"/>
        <v>9.0229999999999961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">
      <c r="A125" s="60">
        <v>144</v>
      </c>
      <c r="B125" s="60">
        <v>514.94000000000005</v>
      </c>
      <c r="C125" s="60">
        <v>12</v>
      </c>
      <c r="D125" s="60">
        <v>61.800000000000068</v>
      </c>
      <c r="E125" s="87">
        <v>0.5</v>
      </c>
      <c r="F125" s="87">
        <v>0.2</v>
      </c>
      <c r="G125" s="87">
        <v>0</v>
      </c>
      <c r="H125" s="87">
        <v>0.3</v>
      </c>
      <c r="I125" s="53">
        <f t="shared" si="4"/>
        <v>9.1440000000000055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">
      <c r="A126" s="60">
        <v>154</v>
      </c>
      <c r="B126" s="60">
        <v>546.49</v>
      </c>
      <c r="C126" s="60">
        <v>13</v>
      </c>
      <c r="D126" s="60">
        <v>61.050000000000011</v>
      </c>
      <c r="E126" s="65">
        <v>0.5</v>
      </c>
      <c r="F126" s="65">
        <v>0.2</v>
      </c>
      <c r="G126" s="65">
        <v>0</v>
      </c>
      <c r="H126" s="65">
        <v>0.3</v>
      </c>
      <c r="I126" s="53">
        <f t="shared" si="4"/>
        <v>9.3350000000000026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">
      <c r="A127" s="60">
        <v>164</v>
      </c>
      <c r="B127" s="60">
        <v>580.32000000000005</v>
      </c>
      <c r="C127" s="60">
        <v>14</v>
      </c>
      <c r="D127" s="60">
        <v>66.020000000000095</v>
      </c>
      <c r="E127" s="65">
        <v>0.5</v>
      </c>
      <c r="F127" s="65">
        <v>0.2</v>
      </c>
      <c r="G127" s="65">
        <v>0</v>
      </c>
      <c r="H127" s="65">
        <v>0.3</v>
      </c>
      <c r="I127" s="53">
        <f t="shared" si="4"/>
        <v>9.4880000000000049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">
      <c r="A128" s="50">
        <v>174</v>
      </c>
      <c r="B128" s="50">
        <v>610.52</v>
      </c>
      <c r="C128" s="50">
        <v>15</v>
      </c>
      <c r="D128" s="50">
        <v>240</v>
      </c>
      <c r="E128" s="54">
        <v>0.45</v>
      </c>
      <c r="F128" s="54">
        <v>0.05</v>
      </c>
      <c r="G128" s="54">
        <v>0.05</v>
      </c>
      <c r="H128" s="54">
        <v>0.45</v>
      </c>
      <c r="I128" s="53">
        <f t="shared" si="4"/>
        <v>9.6220000000000034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">
      <c r="A129" s="50">
        <v>177</v>
      </c>
      <c r="B129" s="50">
        <v>388.94</v>
      </c>
      <c r="C129" s="50">
        <v>16</v>
      </c>
      <c r="D129" s="50">
        <v>128.66000000000003</v>
      </c>
      <c r="E129" s="54">
        <v>0.45</v>
      </c>
      <c r="F129" s="54">
        <v>0.05</v>
      </c>
      <c r="G129" s="54">
        <v>0.05</v>
      </c>
      <c r="H129" s="54">
        <v>0.45</v>
      </c>
      <c r="I129" s="53">
        <f t="shared" si="4"/>
        <v>6.140000000000005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">
      <c r="A130" s="50">
        <v>180</v>
      </c>
      <c r="B130" s="50">
        <v>271.56</v>
      </c>
      <c r="C130" s="50">
        <v>17</v>
      </c>
      <c r="D130" s="50">
        <v>86.97</v>
      </c>
      <c r="E130" s="54">
        <v>0.45</v>
      </c>
      <c r="F130" s="54">
        <v>0.05</v>
      </c>
      <c r="G130" s="54">
        <v>0.05</v>
      </c>
      <c r="H130" s="54">
        <v>0.45</v>
      </c>
      <c r="I130" s="53">
        <f t="shared" si="4"/>
        <v>3.76000000000001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">
      <c r="A131" s="50">
        <v>183</v>
      </c>
      <c r="B131" s="50">
        <v>191.47</v>
      </c>
      <c r="C131" s="50">
        <v>18</v>
      </c>
      <c r="D131" s="50">
        <v>191.47</v>
      </c>
      <c r="E131" s="54">
        <v>0.45</v>
      </c>
      <c r="F131" s="54">
        <v>0.05</v>
      </c>
      <c r="G131" s="54">
        <v>0.05</v>
      </c>
      <c r="H131" s="54">
        <v>0.45</v>
      </c>
      <c r="I131" s="53">
        <f t="shared" si="4"/>
        <v>2.2933333333333317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75" x14ac:dyDescent="0.4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75" x14ac:dyDescent="0.4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75" x14ac:dyDescent="0.4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75" x14ac:dyDescent="0.4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75" x14ac:dyDescent="0.4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75" x14ac:dyDescent="0.4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D26" sqref="D26"/>
    </sheetView>
  </sheetViews>
  <sheetFormatPr baseColWidth="10" defaultColWidth="11.4609375" defaultRowHeight="14.6" x14ac:dyDescent="0.4"/>
  <cols>
    <col min="1" max="1" width="5.921875" style="1" customWidth="1"/>
    <col min="2" max="2" width="14.07421875" style="1" customWidth="1"/>
    <col min="3" max="3" width="62.07421875" style="1" customWidth="1"/>
    <col min="4" max="5" width="4.3828125" style="1" customWidth="1"/>
    <col min="6" max="6" width="14.3828125" style="1" customWidth="1"/>
    <col min="7" max="7" width="73.3828125" style="1" bestFit="1" customWidth="1"/>
    <col min="8" max="10" width="11.4609375" style="1"/>
    <col min="11" max="11" width="12.53515625" style="1" customWidth="1"/>
    <col min="12" max="16384" width="11.4609375" style="1"/>
  </cols>
  <sheetData>
    <row r="1" spans="1:38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6" thickBot="1" x14ac:dyDescent="0.7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">
      <c r="A8" s="105">
        <v>1</v>
      </c>
      <c r="B8" s="61">
        <v>0.45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">
      <c r="A9" s="105">
        <v>2</v>
      </c>
      <c r="B9" s="61">
        <v>0.55000000000000004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">
      <c r="A17" s="23"/>
      <c r="B17" s="61">
        <v>0.45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">
      <c r="A19" s="23"/>
      <c r="B19" s="106">
        <f>SUM(B16:B18)</f>
        <v>0.45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">
      <c r="C104" s="4"/>
      <c r="F104" s="4"/>
    </row>
    <row r="105" spans="3:35" x14ac:dyDescent="0.4">
      <c r="C105" s="4"/>
      <c r="F105" s="4"/>
    </row>
    <row r="106" spans="3:35" x14ac:dyDescent="0.4">
      <c r="C106" s="4"/>
      <c r="F106" s="4"/>
    </row>
    <row r="107" spans="3:35" x14ac:dyDescent="0.4">
      <c r="C107" s="4"/>
      <c r="F107" s="4"/>
    </row>
    <row r="108" spans="3:35" x14ac:dyDescent="0.4">
      <c r="C108" s="4"/>
      <c r="F108" s="4"/>
    </row>
    <row r="109" spans="3:35" x14ac:dyDescent="0.4">
      <c r="C109" s="4"/>
      <c r="F109" s="4"/>
    </row>
    <row r="110" spans="3:35" x14ac:dyDescent="0.4">
      <c r="C110" s="4"/>
      <c r="F110" s="4"/>
    </row>
    <row r="111" spans="3:35" x14ac:dyDescent="0.4">
      <c r="C111" s="4"/>
      <c r="F111" s="4"/>
    </row>
    <row r="112" spans="3:35" x14ac:dyDescent="0.4">
      <c r="C112" s="4"/>
      <c r="F112" s="4"/>
    </row>
    <row r="113" spans="3:6" x14ac:dyDescent="0.4">
      <c r="C113" s="4"/>
      <c r="F113" s="4"/>
    </row>
    <row r="114" spans="3:6" x14ac:dyDescent="0.4">
      <c r="C114" s="4"/>
      <c r="F114" s="4"/>
    </row>
    <row r="115" spans="3:6" x14ac:dyDescent="0.4">
      <c r="C115" s="4"/>
      <c r="F115" s="4"/>
    </row>
    <row r="116" spans="3:6" x14ac:dyDescent="0.4">
      <c r="C116" s="4"/>
      <c r="F116" s="4"/>
    </row>
    <row r="117" spans="3:6" x14ac:dyDescent="0.4">
      <c r="C117" s="4"/>
      <c r="F117" s="4"/>
    </row>
    <row r="118" spans="3:6" x14ac:dyDescent="0.4">
      <c r="C118" s="4"/>
      <c r="F118" s="4"/>
    </row>
    <row r="119" spans="3:6" x14ac:dyDescent="0.4">
      <c r="C119" s="4"/>
      <c r="F119" s="4"/>
    </row>
    <row r="120" spans="3:6" x14ac:dyDescent="0.4">
      <c r="C120" s="4"/>
      <c r="F120" s="4"/>
    </row>
    <row r="121" spans="3:6" x14ac:dyDescent="0.4">
      <c r="C121" s="4"/>
      <c r="F121" s="4"/>
    </row>
    <row r="122" spans="3:6" x14ac:dyDescent="0.4">
      <c r="C122" s="4"/>
      <c r="F122" s="4"/>
    </row>
    <row r="123" spans="3:6" x14ac:dyDescent="0.4">
      <c r="C123" s="4"/>
      <c r="F123" s="4"/>
    </row>
    <row r="124" spans="3:6" x14ac:dyDescent="0.4">
      <c r="C124" s="4"/>
      <c r="F124" s="4"/>
    </row>
    <row r="125" spans="3:6" x14ac:dyDescent="0.4">
      <c r="C125" s="4"/>
      <c r="F125" s="4"/>
    </row>
    <row r="126" spans="3:6" x14ac:dyDescent="0.4">
      <c r="C126" s="4"/>
      <c r="F126" s="4"/>
    </row>
    <row r="127" spans="3:6" x14ac:dyDescent="0.4">
      <c r="C127" s="4"/>
      <c r="F127" s="4"/>
    </row>
    <row r="128" spans="3:6" x14ac:dyDescent="0.4">
      <c r="C128" s="4"/>
      <c r="F128" s="4"/>
    </row>
    <row r="129" spans="3:6" x14ac:dyDescent="0.4">
      <c r="C129" s="4"/>
      <c r="F129" s="4"/>
    </row>
    <row r="130" spans="3:6" x14ac:dyDescent="0.4">
      <c r="C130" s="4"/>
      <c r="F130" s="4"/>
    </row>
    <row r="131" spans="3:6" x14ac:dyDescent="0.4">
      <c r="C131" s="4"/>
      <c r="F131" s="4"/>
    </row>
    <row r="132" spans="3:6" x14ac:dyDescent="0.4">
      <c r="F132" s="4"/>
    </row>
    <row r="133" spans="3:6" x14ac:dyDescent="0.4">
      <c r="F133" s="4"/>
    </row>
    <row r="134" spans="3:6" x14ac:dyDescent="0.4">
      <c r="F134" s="4"/>
    </row>
    <row r="135" spans="3:6" x14ac:dyDescent="0.4">
      <c r="F135" s="4"/>
    </row>
    <row r="136" spans="3:6" x14ac:dyDescent="0.4">
      <c r="F136" s="4"/>
    </row>
    <row r="137" spans="3:6" x14ac:dyDescent="0.4">
      <c r="F137" s="4"/>
    </row>
    <row r="138" spans="3:6" x14ac:dyDescent="0.4">
      <c r="F138" s="4"/>
    </row>
    <row r="139" spans="3:6" x14ac:dyDescent="0.4">
      <c r="F139" s="4"/>
    </row>
    <row r="140" spans="3:6" x14ac:dyDescent="0.4">
      <c r="F140" s="4"/>
    </row>
    <row r="141" spans="3:6" x14ac:dyDescent="0.4">
      <c r="F141" s="4"/>
    </row>
    <row r="142" spans="3:6" x14ac:dyDescent="0.4">
      <c r="F142" s="4"/>
    </row>
    <row r="143" spans="3:6" x14ac:dyDescent="0.4">
      <c r="F143" s="4"/>
    </row>
    <row r="144" spans="3:6" x14ac:dyDescent="0.4">
      <c r="F144" s="4"/>
    </row>
    <row r="145" spans="6:6" x14ac:dyDescent="0.4">
      <c r="F145" s="4"/>
    </row>
    <row r="146" spans="6:6" x14ac:dyDescent="0.4">
      <c r="F146" s="4"/>
    </row>
    <row r="147" spans="6:6" x14ac:dyDescent="0.4">
      <c r="F147" s="4"/>
    </row>
    <row r="148" spans="6:6" x14ac:dyDescent="0.4">
      <c r="F148" s="4"/>
    </row>
    <row r="149" spans="6:6" x14ac:dyDescent="0.4">
      <c r="F149" s="4"/>
    </row>
    <row r="150" spans="6:6" x14ac:dyDescent="0.4">
      <c r="F150" s="4"/>
    </row>
    <row r="151" spans="6:6" x14ac:dyDescent="0.4">
      <c r="F151" s="4"/>
    </row>
    <row r="152" spans="6:6" x14ac:dyDescent="0.4">
      <c r="F152" s="4"/>
    </row>
    <row r="153" spans="6:6" x14ac:dyDescent="0.4">
      <c r="F153" s="4"/>
    </row>
    <row r="154" spans="6:6" x14ac:dyDescent="0.4">
      <c r="F154" s="4"/>
    </row>
    <row r="155" spans="6:6" x14ac:dyDescent="0.4">
      <c r="F155" s="4"/>
    </row>
    <row r="156" spans="6:6" x14ac:dyDescent="0.4">
      <c r="F156" s="4"/>
    </row>
    <row r="157" spans="6:6" x14ac:dyDescent="0.4">
      <c r="F157" s="4"/>
    </row>
    <row r="158" spans="6:6" x14ac:dyDescent="0.4">
      <c r="F158" s="4"/>
    </row>
    <row r="159" spans="6:6" x14ac:dyDescent="0.4">
      <c r="F159" s="4"/>
    </row>
    <row r="160" spans="6:6" x14ac:dyDescent="0.4">
      <c r="F160" s="4"/>
    </row>
    <row r="161" spans="6:6" x14ac:dyDescent="0.4">
      <c r="F161" s="4"/>
    </row>
    <row r="162" spans="6:6" x14ac:dyDescent="0.4">
      <c r="F162" s="4"/>
    </row>
    <row r="163" spans="6:6" x14ac:dyDescent="0.4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09375" defaultRowHeight="14.6" x14ac:dyDescent="0.4"/>
  <cols>
    <col min="1" max="1" width="6.921875" style="4" bestFit="1" customWidth="1"/>
    <col min="2" max="4" width="11.4609375" style="4"/>
    <col min="5" max="5" width="9.53515625" style="4" customWidth="1"/>
    <col min="6" max="7" width="11.4609375" style="4"/>
    <col min="8" max="8" width="10.61328125" style="4" customWidth="1"/>
    <col min="9" max="9" width="9.4609375" style="4" customWidth="1"/>
    <col min="10" max="11" width="10.53515625" style="4" bestFit="1" customWidth="1"/>
    <col min="12" max="12" width="14" style="4" bestFit="1" customWidth="1"/>
    <col min="13" max="13" width="14" style="4" customWidth="1"/>
    <col min="14" max="23" width="11.4609375" style="4"/>
    <col min="24" max="24" width="11.61328125" style="4" bestFit="1" customWidth="1"/>
    <col min="25" max="25" width="14.53515625" style="4" bestFit="1" customWidth="1"/>
    <col min="26" max="26" width="12.4609375" style="4" bestFit="1" customWidth="1"/>
    <col min="27" max="27" width="9.61328125" style="4" bestFit="1" customWidth="1"/>
    <col min="28" max="28" width="11" style="4" bestFit="1" customWidth="1"/>
    <col min="29" max="29" width="9.4609375" style="4" bestFit="1" customWidth="1"/>
    <col min="30" max="31" width="9.4609375" style="4" customWidth="1"/>
    <col min="32" max="32" width="11.4609375" style="4"/>
    <col min="33" max="34" width="14" style="4" bestFit="1" customWidth="1"/>
    <col min="35" max="35" width="10.53515625" style="4" bestFit="1" customWidth="1"/>
    <col min="36" max="36" width="9.4609375" style="4" bestFit="1" customWidth="1"/>
    <col min="37" max="38" width="10.53515625" style="4" bestFit="1" customWidth="1"/>
    <col min="39" max="41" width="10.53515625" style="4" customWidth="1"/>
    <col min="42" max="42" width="9" style="4" bestFit="1" customWidth="1"/>
    <col min="43" max="43" width="10.53515625" style="4" bestFit="1" customWidth="1"/>
    <col min="44" max="44" width="9.3828125" style="4" bestFit="1" customWidth="1"/>
    <col min="45" max="45" width="11.61328125" style="4" bestFit="1" customWidth="1"/>
    <col min="46" max="46" width="8.4609375" style="4" bestFit="1" customWidth="1"/>
    <col min="47" max="47" width="9.4609375" style="4" bestFit="1" customWidth="1"/>
    <col min="48" max="48" width="9.61328125" style="4" bestFit="1" customWidth="1"/>
    <col min="49" max="49" width="11" style="4" bestFit="1" customWidth="1"/>
    <col min="50" max="50" width="9.4609375" style="4" bestFit="1" customWidth="1"/>
    <col min="51" max="52" width="9.4609375" style="4" customWidth="1"/>
    <col min="53" max="53" width="10.53515625" style="4" bestFit="1" customWidth="1"/>
    <col min="54" max="54" width="14.3828125" style="4" customWidth="1"/>
    <col min="55" max="55" width="14" style="4" customWidth="1"/>
    <col min="56" max="56" width="10.53515625" style="4" bestFit="1" customWidth="1"/>
    <col min="57" max="57" width="9.4609375" style="4" bestFit="1" customWidth="1"/>
    <col min="58" max="59" width="10.53515625" style="4" bestFit="1" customWidth="1"/>
    <col min="60" max="62" width="10.53515625" style="4" customWidth="1"/>
    <col min="63" max="63" width="9" style="4" bestFit="1" customWidth="1"/>
    <col min="64" max="64" width="10.53515625" style="4" bestFit="1" customWidth="1"/>
    <col min="65" max="65" width="9.3828125" style="4" bestFit="1" customWidth="1"/>
    <col min="66" max="66" width="11.61328125" style="4" bestFit="1" customWidth="1"/>
    <col min="67" max="67" width="8.4609375" style="4" bestFit="1" customWidth="1"/>
    <col min="68" max="68" width="9.4609375" style="4" bestFit="1" customWidth="1"/>
    <col min="69" max="69" width="9.61328125" style="4" bestFit="1" customWidth="1"/>
    <col min="70" max="70" width="11" style="4" bestFit="1" customWidth="1"/>
    <col min="71" max="71" width="9.4609375" style="4" bestFit="1" customWidth="1"/>
    <col min="72" max="73" width="9.4609375" style="4" customWidth="1"/>
    <col min="74" max="74" width="10.53515625" style="4" bestFit="1" customWidth="1"/>
    <col min="75" max="75" width="14" style="4" bestFit="1" customWidth="1"/>
    <col min="76" max="76" width="13.921875" style="4" customWidth="1"/>
    <col min="77" max="77" width="10.53515625" style="4" bestFit="1" customWidth="1"/>
    <col min="78" max="78" width="9.4609375" style="4" bestFit="1" customWidth="1"/>
    <col min="79" max="80" width="10.53515625" style="4" bestFit="1" customWidth="1"/>
    <col min="81" max="83" width="10.53515625" style="4" customWidth="1"/>
    <col min="84" max="84" width="11.4609375" style="4"/>
    <col min="85" max="85" width="10.53515625" style="4" bestFit="1" customWidth="1"/>
    <col min="86" max="86" width="9.3828125" style="4" bestFit="1" customWidth="1"/>
    <col min="87" max="87" width="11.61328125" style="4" bestFit="1" customWidth="1"/>
    <col min="88" max="88" width="8.4609375" style="4" bestFit="1" customWidth="1"/>
    <col min="89" max="89" width="9.4609375" style="4" bestFit="1" customWidth="1"/>
    <col min="90" max="90" width="9.61328125" style="4" bestFit="1" customWidth="1"/>
    <col min="91" max="91" width="11" style="4" bestFit="1" customWidth="1"/>
    <col min="92" max="92" width="9.4609375" style="4" bestFit="1" customWidth="1"/>
    <col min="93" max="94" width="9.4609375" style="4" customWidth="1"/>
    <col min="95" max="95" width="11.4609375" style="4"/>
    <col min="96" max="97" width="14" style="4" customWidth="1"/>
    <col min="98" max="98" width="10.53515625" style="4" bestFit="1" customWidth="1"/>
    <col min="99" max="99" width="9.4609375" style="4" bestFit="1" customWidth="1"/>
    <col min="100" max="101" width="10.53515625" style="4" bestFit="1" customWidth="1"/>
    <col min="102" max="104" width="10.53515625" style="4" customWidth="1"/>
    <col min="105" max="105" width="9" style="4" bestFit="1" customWidth="1"/>
    <col min="106" max="106" width="10.53515625" style="4" bestFit="1" customWidth="1"/>
    <col min="107" max="107" width="9.3828125" style="4" bestFit="1" customWidth="1"/>
    <col min="108" max="108" width="11.61328125" style="4" bestFit="1" customWidth="1"/>
    <col min="109" max="109" width="8.4609375" style="4" bestFit="1" customWidth="1"/>
    <col min="110" max="110" width="9.4609375" style="4" bestFit="1" customWidth="1"/>
    <col min="111" max="111" width="9.61328125" style="4" bestFit="1" customWidth="1"/>
    <col min="112" max="112" width="11" style="4" bestFit="1" customWidth="1"/>
    <col min="113" max="113" width="9.4609375" style="4" bestFit="1" customWidth="1"/>
    <col min="114" max="115" width="9.4609375" style="4" customWidth="1"/>
    <col min="116" max="116" width="10.53515625" style="4" bestFit="1" customWidth="1"/>
    <col min="117" max="117" width="14.3828125" style="4" customWidth="1"/>
    <col min="118" max="118" width="14" style="4" bestFit="1" customWidth="1"/>
    <col min="119" max="119" width="10.53515625" style="4" bestFit="1" customWidth="1"/>
    <col min="120" max="120" width="9.4609375" style="4" bestFit="1" customWidth="1"/>
    <col min="121" max="122" width="10.53515625" style="4" bestFit="1" customWidth="1"/>
    <col min="123" max="125" width="10.53515625" style="4" customWidth="1"/>
    <col min="126" max="126" width="9" style="4" bestFit="1" customWidth="1"/>
    <col min="127" max="127" width="10.53515625" style="4" bestFit="1" customWidth="1"/>
    <col min="128" max="128" width="9.3828125" style="4" bestFit="1" customWidth="1"/>
    <col min="129" max="129" width="11.61328125" style="4" bestFit="1" customWidth="1"/>
    <col min="130" max="130" width="8.4609375" style="4" bestFit="1" customWidth="1"/>
    <col min="131" max="131" width="9.4609375" style="4" bestFit="1" customWidth="1"/>
    <col min="132" max="132" width="9.61328125" style="4" bestFit="1" customWidth="1"/>
    <col min="133" max="133" width="11" style="4" bestFit="1" customWidth="1"/>
    <col min="134" max="134" width="9.4609375" style="4" bestFit="1" customWidth="1"/>
    <col min="135" max="136" width="9.4609375" style="4" customWidth="1"/>
    <col min="137" max="137" width="10.53515625" style="4" bestFit="1" customWidth="1"/>
    <col min="138" max="139" width="14" style="4" customWidth="1"/>
    <col min="140" max="140" width="10.53515625" style="4" bestFit="1" customWidth="1"/>
    <col min="141" max="141" width="9.4609375" style="4" bestFit="1" customWidth="1"/>
    <col min="142" max="143" width="10.53515625" style="4" bestFit="1" customWidth="1"/>
    <col min="144" max="146" width="10.53515625" style="4" customWidth="1"/>
    <col min="147" max="147" width="9" style="4" bestFit="1" customWidth="1"/>
    <col min="148" max="148" width="10.53515625" style="4" bestFit="1" customWidth="1"/>
    <col min="149" max="149" width="9.3828125" style="4" bestFit="1" customWidth="1"/>
    <col min="150" max="150" width="11.61328125" style="4" bestFit="1" customWidth="1"/>
    <col min="151" max="151" width="8.4609375" style="4" bestFit="1" customWidth="1"/>
    <col min="152" max="152" width="9.4609375" style="4" bestFit="1" customWidth="1"/>
    <col min="153" max="153" width="9.61328125" style="4" bestFit="1" customWidth="1"/>
    <col min="154" max="154" width="11" style="4" bestFit="1" customWidth="1"/>
    <col min="155" max="155" width="9.4609375" style="4" bestFit="1" customWidth="1"/>
    <col min="156" max="157" width="9.4609375" style="4" customWidth="1"/>
    <col min="158" max="158" width="11.4609375" style="4"/>
    <col min="159" max="160" width="14" style="4" bestFit="1" customWidth="1"/>
    <col min="161" max="161" width="10.53515625" style="4" bestFit="1" customWidth="1"/>
    <col min="162" max="162" width="9.4609375" style="4" bestFit="1" customWidth="1"/>
    <col min="163" max="164" width="10.53515625" style="4" bestFit="1" customWidth="1"/>
    <col min="165" max="167" width="10.53515625" style="4" customWidth="1"/>
    <col min="168" max="168" width="9" style="4" bestFit="1" customWidth="1"/>
    <col min="169" max="169" width="10.53515625" style="4" bestFit="1" customWidth="1"/>
    <col min="170" max="170" width="9.3828125" style="4" bestFit="1" customWidth="1"/>
    <col min="171" max="171" width="11.61328125" style="4" bestFit="1" customWidth="1"/>
    <col min="172" max="172" width="8.07421875" style="4" bestFit="1" customWidth="1"/>
    <col min="173" max="173" width="9.4609375" style="4" bestFit="1" customWidth="1"/>
    <col min="174" max="174" width="9.61328125" style="4" bestFit="1" customWidth="1"/>
    <col min="175" max="175" width="11" style="4" bestFit="1" customWidth="1"/>
    <col min="176" max="176" width="9.4609375" style="4" bestFit="1" customWidth="1"/>
    <col min="177" max="178" width="9.4609375" style="4" customWidth="1"/>
    <col min="179" max="179" width="10.53515625" style="4" bestFit="1" customWidth="1"/>
    <col min="180" max="181" width="14" style="4" bestFit="1" customWidth="1"/>
    <col min="182" max="182" width="10.53515625" style="4" bestFit="1" customWidth="1"/>
    <col min="183" max="183" width="9.4609375" style="4" bestFit="1" customWidth="1"/>
    <col min="184" max="185" width="10.53515625" style="4" bestFit="1" customWidth="1"/>
    <col min="186" max="188" width="10.53515625" style="4" customWidth="1"/>
    <col min="189" max="189" width="9" style="4" bestFit="1" customWidth="1"/>
    <col min="190" max="190" width="10.53515625" style="4" bestFit="1" customWidth="1"/>
    <col min="191" max="191" width="9.3828125" style="4" bestFit="1" customWidth="1"/>
    <col min="192" max="192" width="11.4609375" style="4"/>
    <col min="193" max="193" width="8.4609375" style="4" bestFit="1" customWidth="1"/>
    <col min="194" max="194" width="9.4609375" style="4" bestFit="1" customWidth="1"/>
    <col min="195" max="195" width="9.61328125" style="4" bestFit="1" customWidth="1"/>
    <col min="196" max="196" width="11" style="4" bestFit="1" customWidth="1"/>
    <col min="197" max="197" width="9.4609375" style="4" bestFit="1" customWidth="1"/>
    <col min="198" max="199" width="9.4609375" style="4" customWidth="1"/>
    <col min="200" max="200" width="10.53515625" style="4" bestFit="1" customWidth="1"/>
    <col min="201" max="201" width="14" style="4" customWidth="1"/>
    <col min="202" max="202" width="14.3828125" style="4" customWidth="1"/>
    <col min="203" max="203" width="10.53515625" style="4" bestFit="1" customWidth="1"/>
    <col min="204" max="204" width="9.4609375" style="4" bestFit="1" customWidth="1"/>
    <col min="205" max="206" width="10.53515625" style="4" bestFit="1" customWidth="1"/>
    <col min="207" max="209" width="10.53515625" style="4" customWidth="1"/>
    <col min="210" max="210" width="9" style="4" bestFit="1" customWidth="1"/>
    <col min="211" max="211" width="10.53515625" style="4" bestFit="1" customWidth="1"/>
    <col min="212" max="212" width="9.3828125" style="4" bestFit="1" customWidth="1"/>
    <col min="213" max="213" width="11.61328125" style="4" bestFit="1" customWidth="1"/>
    <col min="214" max="214" width="8.4609375" style="4" bestFit="1" customWidth="1"/>
    <col min="215" max="215" width="9.4609375" style="4" bestFit="1" customWidth="1"/>
    <col min="216" max="216" width="9.61328125" style="4" bestFit="1" customWidth="1"/>
    <col min="217" max="217" width="11" style="4" bestFit="1" customWidth="1"/>
    <col min="218" max="218" width="9.4609375" style="4" bestFit="1" customWidth="1"/>
    <col min="219" max="16384" width="11.4609375" style="4"/>
  </cols>
  <sheetData>
    <row r="1" spans="1:218" ht="26.6" thickBot="1" x14ac:dyDescent="0.7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chevelu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Charme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75" thickBot="1" x14ac:dyDescent="0.4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225.9892575177542</v>
      </c>
      <c r="T3" s="59">
        <f>IF('Données projet'!E9&gt;30,$R$33-$H$33,LOOKUP('Données projet'!$E$9,$A$3:$A$203,R3:R203)-LOOKUP('Données projet'!$E$9,$A$3:$A$203,$H$3:$H$203))</f>
        <v>215.88467215650428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644.15138437063933</v>
      </c>
      <c r="AO3" s="59">
        <f>IF('Données projet'!E10&gt;30,$AM$33-$H$33,LOOKUP('Données projet'!$E$10,$A$3:$A$203,AM3:AM203)-LOOKUP('Données projet'!$E$10,$A$3:$A$203,$H$3:$H$203))</f>
        <v>289.3097279858207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573.17174498173017</v>
      </c>
      <c r="BJ3" s="59">
        <f>IF('Données projet'!E11&gt;30,$BH$33-$H$33,LOOKUP('Données projet'!$E$11,$A$3:$A$203,BH3:BH203)-LOOKUP('Données projet'!$E$11,$A$3:$A$203,$H$3:$H$203))</f>
        <v>260.48854096157231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603.61135046904178</v>
      </c>
      <c r="CE3" s="59">
        <f>IF('Données projet'!E12&gt;30,$CC$33-$H$33,LOOKUP('Données projet'!$E$12,$A$3:$A$203,CC3:CC203)-LOOKUP('Données projet'!$E$12,$A$3:$A$203,$H$3:$H$203))</f>
        <v>272.84936867513068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0.30030000000000001</v>
      </c>
      <c r="D4" s="11">
        <f>IFERROR(EXP(-1.0587+0.8836*LN(C4)+0.284),0)</f>
        <v>0.15919152985620477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1.9508236881614314</v>
      </c>
      <c r="H4" s="67">
        <f t="shared" ref="H4:H67" si="1">(B4+E4+F4)*44/12+(C4+D4)*0.475*44/12</f>
        <v>257.46694774783293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1.4743589743589742</v>
      </c>
      <c r="N4" s="13">
        <f>IF('Données projet'!$A$36&gt;35,N3+M4-V3,IF(A4&lt;'Données projet'!$A$36,$K$205^A4,IF(A4='Données projet'!$A$36,'Données projet'!$B$36,N3+M4-V3)))</f>
        <v>1.3087609363064139</v>
      </c>
      <c r="O4" s="13">
        <f>N4*VLOOKUP('Données projet'!$B$9,Paramètres!$A$1:$I$89,3,0)*VLOOKUP('Données projet'!$B$9,Paramètres!$A$1:$I$89,5,0)</f>
        <v>1.3679169306274639</v>
      </c>
      <c r="P4" s="13">
        <f>EXP(-1.0587+0.8836*LN(O4)+0.284)</f>
        <v>0.60781923235665469</v>
      </c>
      <c r="Q4" s="20">
        <f t="shared" ref="Q4:Q34" si="2">(O4+P4)*0.475*44/12</f>
        <v>3.4410738171973398</v>
      </c>
      <c r="R4" s="59">
        <f t="shared" si="0"/>
        <v>261.32996270608618</v>
      </c>
      <c r="S4" s="59">
        <f ca="1">AVERAGE(OFFSET($R$3,0,0,'Données projet'!$E$9+1,1))-AVERAGE(OFFSET($H$3,0,0,'Données projet'!$E$9+1,1))</f>
        <v>225.9892575177542</v>
      </c>
      <c r="T4" s="59">
        <f>$T$3</f>
        <v>215.88467215650428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4.0942857142857143</v>
      </c>
      <c r="AI4" s="13">
        <f>IF('Données projet'!$A$62&gt;35,AI3+AH4-AQ3,IF(A4&lt;'Données projet'!$A$62,$AF$205^A4,IF(A4='Données projet'!$A$62,'Données projet'!$B$62,AI3+AH4-AQ3)))</f>
        <v>4.0942857142857143</v>
      </c>
      <c r="AJ4" s="13">
        <f>AI4*VLOOKUP('Données projet'!$B$10,Paramètres!$A$1:$I$89,3,0)*VLOOKUP('Données projet'!$B$10,Paramètres!$A$1:$I$89,5,0)</f>
        <v>4.151605714285715</v>
      </c>
      <c r="AK4" s="13">
        <f>EXP(-1.0587+0.8836*LN(AJ4)+0.284)</f>
        <v>1.6210925568488095</v>
      </c>
      <c r="AL4" s="20">
        <f t="shared" ref="AL4:AL67" si="4">(AJ4+AK4)*0.475*44/12</f>
        <v>10.054116155559297</v>
      </c>
      <c r="AM4" s="59">
        <f t="shared" ref="AM4:AM67" si="5">AL4+(AD4+AE4)*44/12</f>
        <v>267.94300504444817</v>
      </c>
      <c r="AN4" s="59">
        <f ca="1">AVERAGE(OFFSET($AM$3,0,0,'Données projet'!$E$10+1,1))-AVERAGE(OFFSET($H$3,0,0,'Données projet'!$E$10+1,1))</f>
        <v>644.15138437063933</v>
      </c>
      <c r="AO4" s="59">
        <f>$AO$3</f>
        <v>289.3097279858207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4.0942857142857143</v>
      </c>
      <c r="BD4" s="12">
        <f>IF('Données projet'!$A$88&gt;35,BD3+BC4-BL3,IF(A4&lt;'Données projet'!$A$88,$BA$205^A4,IF(A4='Données projet'!$A$88,'Données projet'!$B$88,BD3+BC4-BL3)))</f>
        <v>4.0942857142857143</v>
      </c>
      <c r="BE4" s="13">
        <f>BD4*VLOOKUP('Données projet'!$B$11,Paramètres!$A$1:$I$89,3,0)*VLOOKUP('Données projet'!$B$11,Paramètres!$A$1:$I$89,5,0)</f>
        <v>3.704509714285714</v>
      </c>
      <c r="BF4" s="13">
        <f>EXP(-1.0587+0.8836*LN(BE4)+0.284)</f>
        <v>1.4658264193249637</v>
      </c>
      <c r="BG4" s="20">
        <f t="shared" ref="BG4:BG67" si="7">(BE4+BF4)*0.475*44/12</f>
        <v>9.0050020993719304</v>
      </c>
      <c r="BH4" s="59">
        <f t="shared" ref="BH4:BH67" si="8">BG4+(AY4+AZ4)*44/12</f>
        <v>266.89389098826081</v>
      </c>
      <c r="BI4" s="59">
        <f ca="1">AVERAGE(OFFSET($BH$3,0,0,'Données projet'!$E$11+1,1))-AVERAGE(OFFSET($H$3,0,0,'Données projet'!$E$11+1,1))</f>
        <v>573.17174498173017</v>
      </c>
      <c r="BJ4" s="59">
        <f>$BJ$3</f>
        <v>260.48854096157231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4.0942857142857143</v>
      </c>
      <c r="BY4" s="12">
        <f>IF('Données projet'!$A$114&gt;35,BY3+BX4-CG3,IF(A4&lt;'Données projet'!$A$114,$BV$205^A4,IF(A4='Données projet'!$A$114,'Données projet'!$B$114,BY3+BX4-CG3)))</f>
        <v>4.0942857142857143</v>
      </c>
      <c r="BZ4" s="13">
        <f>BY4*VLOOKUP('Données projet'!$B$12,Paramètres!$A$1:$I$89,3,0)*VLOOKUP('Données projet'!$B$12,Paramètres!$A$1:$I$89,5,0)</f>
        <v>3.8961222857142861</v>
      </c>
      <c r="CA4" s="13">
        <f>EXP(-1.0587+0.8836*LN(BZ4)+0.284)</f>
        <v>1.5326218471913844</v>
      </c>
      <c r="CB4" s="20">
        <f t="shared" ref="CB4:CB67" si="10">(BZ4+CA4)*0.475*44/12</f>
        <v>9.455062698144042</v>
      </c>
      <c r="CC4" s="59">
        <f t="shared" ref="CC4:CC67" si="11">CB4+(BT4+BU4)*44/12</f>
        <v>267.3439515870329</v>
      </c>
      <c r="CD4" s="59">
        <f ca="1">AVERAGE(OFFSET($CC$3,0,0,'Données projet'!$E$12+1,1))-AVERAGE(OFFSET($H$3,0,0,'Données projet'!$E$12+1,1))</f>
        <v>603.61135046904178</v>
      </c>
      <c r="CE4" s="59">
        <f>$CE$3</f>
        <v>272.84936867513068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0.60060000000000002</v>
      </c>
      <c r="D5" s="11">
        <f t="shared" ref="D5:D68" si="32">IFERROR(EXP(-1.0587+0.8836*LN(C5)+0.284),0)</f>
        <v>0.29370413477067148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3.7968701862193428</v>
      </c>
      <c r="H5" s="67">
        <f t="shared" si="1"/>
        <v>258.22424636805891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1.4743589743589742</v>
      </c>
      <c r="N5" s="13">
        <f>IF('Données projet'!$A$36&gt;35,N4+M5-V4,IF(A5&lt;'Données projet'!$A$36,$K$205^A5,IF(A5='Données projet'!$A$36,'Données projet'!$B$36,N4+M5-V4)))</f>
        <v>1.7128551884016412</v>
      </c>
      <c r="O5" s="13">
        <f>N5*VLOOKUP('Données projet'!$B$9,Paramètres!$A$1:$I$89,3,0)*VLOOKUP('Données projet'!$B$9,Paramètres!$A$1:$I$89,5,0)</f>
        <v>1.7902762429173955</v>
      </c>
      <c r="P5" s="13">
        <f t="shared" ref="P5:P68" si="33">EXP(-1.0587+0.8836*LN(O5)+0.284)</f>
        <v>0.77096066361657623</v>
      </c>
      <c r="Q5" s="20">
        <f t="shared" si="2"/>
        <v>4.4608209455466667</v>
      </c>
      <c r="R5" s="59">
        <f t="shared" si="0"/>
        <v>263.57193205665783</v>
      </c>
      <c r="S5" s="59">
        <f ca="1">AVERAGE(OFFSET($R$3,0,0,'Données projet'!$E$9+1,1))-AVERAGE(OFFSET($H$3,0,0,'Données projet'!$E$9+1,1))</f>
        <v>225.9892575177542</v>
      </c>
      <c r="T5" s="59">
        <f t="shared" ref="T5:T68" si="34">$T$3</f>
        <v>215.88467215650428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4.0942857142857143</v>
      </c>
      <c r="AI5" s="13">
        <f>IF('Données projet'!$A$62&gt;35,AI4+AH5-AQ4,IF(A5&lt;'Données projet'!$A$62,$AF$205^A5,IF(A5='Données projet'!$A$62,'Données projet'!$B$62,AI4+AH5-AQ4)))</f>
        <v>8.1885714285714286</v>
      </c>
      <c r="AJ5" s="13">
        <f>AI5*VLOOKUP('Données projet'!$B$10,Paramètres!$A$1:$I$89,3,0)*VLOOKUP('Données projet'!$B$10,Paramètres!$A$1:$I$89,5,0)</f>
        <v>8.30321142857143</v>
      </c>
      <c r="AK5" s="13">
        <f t="shared" ref="AK5:AK68" si="35">EXP(-1.0587+0.8836*LN(AJ5)+0.284)</f>
        <v>2.9908726125223399</v>
      </c>
      <c r="AL5" s="20">
        <f t="shared" si="4"/>
        <v>19.670529704904983</v>
      </c>
      <c r="AM5" s="59">
        <f t="shared" si="5"/>
        <v>278.78164081601614</v>
      </c>
      <c r="AN5" s="59">
        <f ca="1">AVERAGE(OFFSET($AM$3,0,0,'Données projet'!$E$10+1,1))-AVERAGE(OFFSET($H$3,0,0,'Données projet'!$E$10+1,1))</f>
        <v>644.15138437063933</v>
      </c>
      <c r="AO5" s="59">
        <f t="shared" ref="AO5:AO68" si="36">$AO$3</f>
        <v>289.3097279858207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4.0942857142857143</v>
      </c>
      <c r="BD5" s="12">
        <f>IF('Données projet'!$A$88&gt;35,BD4+BC5-BL4,IF(A5&lt;'Données projet'!$A$88,$BA$205^A5,IF(A5='Données projet'!$A$88,'Données projet'!$B$88,BD4+BC5-BL4)))</f>
        <v>8.1885714285714286</v>
      </c>
      <c r="BE5" s="13">
        <f>BD5*VLOOKUP('Données projet'!$B$11,Paramètres!$A$1:$I$89,3,0)*VLOOKUP('Données projet'!$B$11,Paramètres!$A$1:$I$89,5,0)</f>
        <v>7.4090194285714279</v>
      </c>
      <c r="BF5" s="13">
        <f t="shared" ref="BF5:BF68" si="37">EXP(-1.0587+0.8836*LN(BE5)+0.284)</f>
        <v>2.7044107221075859</v>
      </c>
      <c r="BG5" s="20">
        <f t="shared" si="7"/>
        <v>17.614224179099281</v>
      </c>
      <c r="BH5" s="59">
        <f t="shared" si="8"/>
        <v>276.72533529021041</v>
      </c>
      <c r="BI5" s="59">
        <f ca="1">AVERAGE(OFFSET($BH$3,0,0,'Données projet'!$E$11+1,1))-AVERAGE(OFFSET($H$3,0,0,'Données projet'!$E$11+1,1))</f>
        <v>573.17174498173017</v>
      </c>
      <c r="BJ5" s="59">
        <f t="shared" ref="BJ5:BJ68" si="38">$BJ$3</f>
        <v>260.48854096157231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4.0942857142857143</v>
      </c>
      <c r="BY5" s="12">
        <f>IF('Données projet'!$A$114&gt;35,BY4+BX5-CG4,IF(A5&lt;'Données projet'!$A$114,$BV$205^A5,IF(A5='Données projet'!$A$114,'Données projet'!$B$114,BY4+BX5-CG4)))</f>
        <v>8.1885714285714286</v>
      </c>
      <c r="BZ5" s="13">
        <f>BY5*VLOOKUP('Données projet'!$B$12,Paramètres!$A$1:$I$89,3,0)*VLOOKUP('Données projet'!$B$12,Paramètres!$A$1:$I$89,5,0)</f>
        <v>7.7922445714285722</v>
      </c>
      <c r="CA5" s="13">
        <f t="shared" ref="CA5:CA68" si="39">EXP(-1.0587+0.8836*LN(BZ5)+0.284)</f>
        <v>2.8276465083699871</v>
      </c>
      <c r="CB5" s="20">
        <f t="shared" si="10"/>
        <v>18.496310297315823</v>
      </c>
      <c r="CC5" s="59">
        <f t="shared" si="11"/>
        <v>277.60742140842694</v>
      </c>
      <c r="CD5" s="59">
        <f ca="1">AVERAGE(OFFSET($CC$3,0,0,'Données projet'!$E$12+1,1))-AVERAGE(OFFSET($H$3,0,0,'Données projet'!$E$12+1,1))</f>
        <v>603.61135046904178</v>
      </c>
      <c r="CE5" s="59">
        <f t="shared" ref="CE5:CE68" si="40">$CE$3</f>
        <v>272.84936867513068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0.90090000000000003</v>
      </c>
      <c r="D6" s="11">
        <f t="shared" si="32"/>
        <v>0.42024668573349422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5.6090789113597488</v>
      </c>
      <c r="H6" s="67">
        <f t="shared" si="1"/>
        <v>258.96766381098587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1.4743589743589742</v>
      </c>
      <c r="N6" s="13">
        <f>IF('Données projet'!$A$36&gt;35,N5+M6-V5,IF(A6&lt;'Données projet'!$A$36,$K$205^A6,IF(A6='Données projet'!$A$36,'Données projet'!$B$36,N5+M6-V5)))</f>
        <v>2.2417179601298307</v>
      </c>
      <c r="O6" s="13">
        <f>N6*VLOOKUP('Données projet'!$B$9,Paramètres!$A$1:$I$89,3,0)*VLOOKUP('Données projet'!$B$9,Paramètres!$A$1:$I$89,5,0)</f>
        <v>2.3430436119276994</v>
      </c>
      <c r="P6" s="13">
        <f t="shared" si="33"/>
        <v>0.97788999294998047</v>
      </c>
      <c r="Q6" s="20">
        <f t="shared" si="2"/>
        <v>5.7839593618286251</v>
      </c>
      <c r="R6" s="59">
        <f t="shared" si="0"/>
        <v>266.11729269516195</v>
      </c>
      <c r="S6" s="59">
        <f ca="1">AVERAGE(OFFSET($R$3,0,0,'Données projet'!$E$9+1,1))-AVERAGE(OFFSET($H$3,0,0,'Données projet'!$E$9+1,1))</f>
        <v>225.9892575177542</v>
      </c>
      <c r="T6" s="59">
        <f t="shared" si="34"/>
        <v>215.88467215650428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4.0942857142857143</v>
      </c>
      <c r="AI6" s="13">
        <f>IF('Données projet'!$A$62&gt;35,AI5+AH6-AQ5,IF(A6&lt;'Données projet'!$A$62,$AF$205^A6,IF(A6='Données projet'!$A$62,'Données projet'!$B$62,AI5+AH6-AQ5)))</f>
        <v>12.282857142857143</v>
      </c>
      <c r="AJ6" s="13">
        <f>AI6*VLOOKUP('Données projet'!$B$10,Paramètres!$A$1:$I$89,3,0)*VLOOKUP('Données projet'!$B$10,Paramètres!$A$1:$I$89,5,0)</f>
        <v>12.454817142857145</v>
      </c>
      <c r="AK6" s="13">
        <f t="shared" si="35"/>
        <v>4.279491345414665</v>
      </c>
      <c r="AL6" s="20">
        <f t="shared" si="4"/>
        <v>29.145587283740067</v>
      </c>
      <c r="AM6" s="59">
        <f t="shared" si="5"/>
        <v>289.47892061707336</v>
      </c>
      <c r="AN6" s="59">
        <f ca="1">AVERAGE(OFFSET($AM$3,0,0,'Données projet'!$E$10+1,1))-AVERAGE(OFFSET($H$3,0,0,'Données projet'!$E$10+1,1))</f>
        <v>644.15138437063933</v>
      </c>
      <c r="AO6" s="59">
        <f t="shared" si="36"/>
        <v>289.3097279858207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4.0942857142857143</v>
      </c>
      <c r="BD6" s="12">
        <f>IF('Données projet'!$A$88&gt;35,BD5+BC6-BL5,IF(A6&lt;'Données projet'!$A$88,$BA$205^A6,IF(A6='Données projet'!$A$88,'Données projet'!$B$88,BD5+BC6-BL5)))</f>
        <v>12.282857142857143</v>
      </c>
      <c r="BE6" s="13">
        <f>BD6*VLOOKUP('Données projet'!$B$11,Paramètres!$A$1:$I$89,3,0)*VLOOKUP('Données projet'!$B$11,Paramètres!$A$1:$I$89,5,0)</f>
        <v>11.113529142857143</v>
      </c>
      <c r="BF6" s="13">
        <f t="shared" si="37"/>
        <v>3.8696072280877138</v>
      </c>
      <c r="BG6" s="20">
        <f t="shared" si="7"/>
        <v>26.095629179395626</v>
      </c>
      <c r="BH6" s="59">
        <f t="shared" si="8"/>
        <v>286.42896251272896</v>
      </c>
      <c r="BI6" s="59">
        <f ca="1">AVERAGE(OFFSET($BH$3,0,0,'Données projet'!$E$11+1,1))-AVERAGE(OFFSET($H$3,0,0,'Données projet'!$E$11+1,1))</f>
        <v>573.17174498173017</v>
      </c>
      <c r="BJ6" s="59">
        <f t="shared" si="38"/>
        <v>260.48854096157231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4.0942857142857143</v>
      </c>
      <c r="BY6" s="12">
        <f>IF('Données projet'!$A$114&gt;35,BY5+BX6-CG5,IF(A6&lt;'Données projet'!$A$114,$BV$205^A6,IF(A6='Données projet'!$A$114,'Données projet'!$B$114,BY5+BX6-CG5)))</f>
        <v>12.282857142857143</v>
      </c>
      <c r="BZ6" s="13">
        <f>BY6*VLOOKUP('Données projet'!$B$12,Paramètres!$A$1:$I$89,3,0)*VLOOKUP('Données projet'!$B$12,Paramètres!$A$1:$I$89,5,0)</f>
        <v>11.688366857142858</v>
      </c>
      <c r="CA6" s="13">
        <f t="shared" si="39"/>
        <v>4.0459392050991161</v>
      </c>
      <c r="CB6" s="20">
        <f t="shared" si="10"/>
        <v>27.403916391738104</v>
      </c>
      <c r="CC6" s="59">
        <f t="shared" si="11"/>
        <v>287.73724972507142</v>
      </c>
      <c r="CD6" s="59">
        <f ca="1">AVERAGE(OFFSET($CC$3,0,0,'Données projet'!$E$12+1,1))-AVERAGE(OFFSET($H$3,0,0,'Données projet'!$E$12+1,1))</f>
        <v>603.61135046904178</v>
      </c>
      <c r="CE6" s="59">
        <f t="shared" si="40"/>
        <v>272.84936867513068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1.2012</v>
      </c>
      <c r="D7" s="11">
        <f t="shared" si="32"/>
        <v>0.54187630999782466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7.4004292459556771</v>
      </c>
      <c r="H7" s="67">
        <f t="shared" si="1"/>
        <v>259.70252457324625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1.4743589743589742</v>
      </c>
      <c r="N7" s="13">
        <f>IF('Données projet'!$A$36&gt;35,N6+M7-V6,IF(A7&lt;'Données projet'!$A$36,$K$205^A7,IF(A7='Données projet'!$A$36,'Données projet'!$B$36,N6+M7-V6)))</f>
        <v>2.9338728964344218</v>
      </c>
      <c r="O7" s="13">
        <f>N7*VLOOKUP('Données projet'!$B$9,Paramètres!$A$1:$I$89,3,0)*VLOOKUP('Données projet'!$B$9,Paramètres!$A$1:$I$89,5,0)</f>
        <v>3.0664839513532582</v>
      </c>
      <c r="P7" s="13">
        <f t="shared" si="33"/>
        <v>1.2403600902617475</v>
      </c>
      <c r="Q7" s="20">
        <f t="shared" si="2"/>
        <v>7.5010867058128019</v>
      </c>
      <c r="R7" s="59">
        <f t="shared" si="0"/>
        <v>269.05664226136832</v>
      </c>
      <c r="S7" s="59">
        <f ca="1">AVERAGE(OFFSET($R$3,0,0,'Données projet'!$E$9+1,1))-AVERAGE(OFFSET($H$3,0,0,'Données projet'!$E$9+1,1))</f>
        <v>225.9892575177542</v>
      </c>
      <c r="T7" s="59">
        <f t="shared" si="34"/>
        <v>215.88467215650428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4.0942857142857143</v>
      </c>
      <c r="AI7" s="13">
        <f>IF('Données projet'!$A$62&gt;35,AI6+AH7-AQ6,IF(A7&lt;'Données projet'!$A$62,$AF$205^A7,IF(A7='Données projet'!$A$62,'Données projet'!$B$62,AI6+AH7-AQ6)))</f>
        <v>16.377142857142857</v>
      </c>
      <c r="AJ7" s="13">
        <f>AI7*VLOOKUP('Données projet'!$B$10,Paramètres!$A$1:$I$89,3,0)*VLOOKUP('Données projet'!$B$10,Paramètres!$A$1:$I$89,5,0)</f>
        <v>16.60642285714286</v>
      </c>
      <c r="AK7" s="13">
        <f t="shared" si="35"/>
        <v>5.5180803505289857</v>
      </c>
      <c r="AL7" s="20">
        <f t="shared" si="4"/>
        <v>38.533509753361791</v>
      </c>
      <c r="AM7" s="59">
        <f t="shared" si="5"/>
        <v>300.08906530891733</v>
      </c>
      <c r="AN7" s="59">
        <f ca="1">AVERAGE(OFFSET($AM$3,0,0,'Données projet'!$E$10+1,1))-AVERAGE(OFFSET($H$3,0,0,'Données projet'!$E$10+1,1))</f>
        <v>644.15138437063933</v>
      </c>
      <c r="AO7" s="59">
        <f t="shared" si="36"/>
        <v>289.3097279858207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4.0942857142857143</v>
      </c>
      <c r="BD7" s="12">
        <f>IF('Données projet'!$A$88&gt;35,BD6+BC7-BL6,IF(A7&lt;'Données projet'!$A$88,$BA$205^A7,IF(A7='Données projet'!$A$88,'Données projet'!$B$88,BD6+BC7-BL6)))</f>
        <v>16.377142857142857</v>
      </c>
      <c r="BE7" s="13">
        <f>BD7*VLOOKUP('Données projet'!$B$11,Paramètres!$A$1:$I$89,3,0)*VLOOKUP('Données projet'!$B$11,Paramètres!$A$1:$I$89,5,0)</f>
        <v>14.818038857142856</v>
      </c>
      <c r="BF7" s="13">
        <f t="shared" si="37"/>
        <v>4.9895657885731195</v>
      </c>
      <c r="BG7" s="20">
        <f t="shared" si="7"/>
        <v>34.49824475795532</v>
      </c>
      <c r="BH7" s="59">
        <f t="shared" si="8"/>
        <v>296.05380031351086</v>
      </c>
      <c r="BI7" s="59">
        <f ca="1">AVERAGE(OFFSET($BH$3,0,0,'Données projet'!$E$11+1,1))-AVERAGE(OFFSET($H$3,0,0,'Données projet'!$E$11+1,1))</f>
        <v>573.17174498173017</v>
      </c>
      <c r="BJ7" s="59">
        <f t="shared" si="38"/>
        <v>260.48854096157231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4.0942857142857143</v>
      </c>
      <c r="BY7" s="12">
        <f>IF('Données projet'!$A$114&gt;35,BY6+BX7-CG6,IF(A7&lt;'Données projet'!$A$114,$BV$205^A7,IF(A7='Données projet'!$A$114,'Données projet'!$B$114,BY6+BX7-CG6)))</f>
        <v>16.377142857142857</v>
      </c>
      <c r="BZ7" s="13">
        <f>BY7*VLOOKUP('Données projet'!$B$12,Paramètres!$A$1:$I$89,3,0)*VLOOKUP('Données projet'!$B$12,Paramètres!$A$1:$I$89,5,0)</f>
        <v>15.584489142857144</v>
      </c>
      <c r="CA7" s="13">
        <f t="shared" si="39"/>
        <v>5.2169325335857213</v>
      </c>
      <c r="CB7" s="20">
        <f t="shared" si="10"/>
        <v>36.229142753137985</v>
      </c>
      <c r="CC7" s="59">
        <f t="shared" si="11"/>
        <v>297.78469830869352</v>
      </c>
      <c r="CD7" s="59">
        <f ca="1">AVERAGE(OFFSET($CC$3,0,0,'Données projet'!$E$12+1,1))-AVERAGE(OFFSET($H$3,0,0,'Données projet'!$E$12+1,1))</f>
        <v>603.61135046904178</v>
      </c>
      <c r="CE7" s="59">
        <f t="shared" si="40"/>
        <v>272.84936867513068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1.5015000000000001</v>
      </c>
      <c r="D8" s="11">
        <f t="shared" si="32"/>
        <v>0.65997859785404911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9.1768038715908755</v>
      </c>
      <c r="H8" s="67">
        <f t="shared" si="1"/>
        <v>260.43124189126252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1.4743589743589742</v>
      </c>
      <c r="N8" s="13">
        <f>IF('Données projet'!$A$36&gt;35,N7+M8-V7,IF(A8&lt;'Données projet'!$A$36,$K$205^A8,IF(A8='Données projet'!$A$36,'Données projet'!$B$36,N7+M8-V7)))</f>
        <v>3.8397382389415244</v>
      </c>
      <c r="O8" s="13">
        <f>N8*VLOOKUP('Données projet'!$B$9,Paramètres!$A$1:$I$89,3,0)*VLOOKUP('Données projet'!$B$9,Paramètres!$A$1:$I$89,5,0)</f>
        <v>4.0132944073416814</v>
      </c>
      <c r="P8" s="13">
        <f t="shared" si="33"/>
        <v>1.5732783488999504</v>
      </c>
      <c r="Q8" s="20">
        <f t="shared" si="2"/>
        <v>9.7299475504541739</v>
      </c>
      <c r="R8" s="59">
        <f t="shared" si="0"/>
        <v>272.50772532823197</v>
      </c>
      <c r="S8" s="59">
        <f ca="1">AVERAGE(OFFSET($R$3,0,0,'Données projet'!$E$9+1,1))-AVERAGE(OFFSET($H$3,0,0,'Données projet'!$E$9+1,1))</f>
        <v>225.9892575177542</v>
      </c>
      <c r="T8" s="59">
        <f t="shared" si="34"/>
        <v>215.88467215650428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4.0942857142857143</v>
      </c>
      <c r="AI8" s="13">
        <f>IF('Données projet'!$A$62&gt;35,AI7+AH8-AQ7,IF(A8&lt;'Données projet'!$A$62,$AF$205^A8,IF(A8='Données projet'!$A$62,'Données projet'!$B$62,AI7+AH8-AQ7)))</f>
        <v>20.471428571428572</v>
      </c>
      <c r="AJ8" s="13">
        <f>AI8*VLOOKUP('Données projet'!$B$10,Paramètres!$A$1:$I$89,3,0)*VLOOKUP('Données projet'!$B$10,Paramètres!$A$1:$I$89,5,0)</f>
        <v>20.758028571428575</v>
      </c>
      <c r="AK8" s="13">
        <f t="shared" si="35"/>
        <v>6.7207494872819238</v>
      </c>
      <c r="AL8" s="20">
        <f t="shared" si="4"/>
        <v>47.858871785587461</v>
      </c>
      <c r="AM8" s="59">
        <f t="shared" si="5"/>
        <v>310.63664956336521</v>
      </c>
      <c r="AN8" s="59">
        <f ca="1">AVERAGE(OFFSET($AM$3,0,0,'Données projet'!$E$10+1,1))-AVERAGE(OFFSET($H$3,0,0,'Données projet'!$E$10+1,1))</f>
        <v>644.15138437063933</v>
      </c>
      <c r="AO8" s="59">
        <f t="shared" si="36"/>
        <v>289.3097279858207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4.0942857142857143</v>
      </c>
      <c r="BD8" s="12">
        <f>IF('Données projet'!$A$88&gt;35,BD7+BC8-BL7,IF(A8&lt;'Données projet'!$A$88,$BA$205^A8,IF(A8='Données projet'!$A$88,'Données projet'!$B$88,BD7+BC8-BL7)))</f>
        <v>20.471428571428572</v>
      </c>
      <c r="BE8" s="13">
        <f>BD8*VLOOKUP('Données projet'!$B$11,Paramètres!$A$1:$I$89,3,0)*VLOOKUP('Données projet'!$B$11,Paramètres!$A$1:$I$89,5,0)</f>
        <v>18.522548571428572</v>
      </c>
      <c r="BF8" s="13">
        <f t="shared" si="37"/>
        <v>6.0770448389896208</v>
      </c>
      <c r="BG8" s="20">
        <f t="shared" si="7"/>
        <v>42.84429185647835</v>
      </c>
      <c r="BH8" s="59">
        <f t="shared" si="8"/>
        <v>305.62206963425615</v>
      </c>
      <c r="BI8" s="59">
        <f ca="1">AVERAGE(OFFSET($BH$3,0,0,'Données projet'!$E$11+1,1))-AVERAGE(OFFSET($H$3,0,0,'Données projet'!$E$11+1,1))</f>
        <v>573.17174498173017</v>
      </c>
      <c r="BJ8" s="59">
        <f t="shared" si="38"/>
        <v>260.48854096157231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4.0942857142857143</v>
      </c>
      <c r="BY8" s="12">
        <f>IF('Données projet'!$A$114&gt;35,BY7+BX8-CG7,IF(A8&lt;'Données projet'!$A$114,$BV$205^A8,IF(A8='Données projet'!$A$114,'Données projet'!$B$114,BY7+BX8-CG7)))</f>
        <v>20.471428571428572</v>
      </c>
      <c r="BZ8" s="13">
        <f>BY8*VLOOKUP('Données projet'!$B$12,Paramètres!$A$1:$I$89,3,0)*VLOOKUP('Données projet'!$B$12,Paramètres!$A$1:$I$89,5,0)</f>
        <v>19.480611428571429</v>
      </c>
      <c r="CA8" s="13">
        <f t="shared" si="39"/>
        <v>6.3539663112950988</v>
      </c>
      <c r="CB8" s="20">
        <f t="shared" si="10"/>
        <v>44.995222896934202</v>
      </c>
      <c r="CC8" s="59">
        <f t="shared" si="11"/>
        <v>307.77300067471197</v>
      </c>
      <c r="CD8" s="59">
        <f ca="1">AVERAGE(OFFSET($CC$3,0,0,'Données projet'!$E$12+1,1))-AVERAGE(OFFSET($H$3,0,0,'Données projet'!$E$12+1,1))</f>
        <v>603.61135046904178</v>
      </c>
      <c r="CE8" s="59">
        <f t="shared" si="40"/>
        <v>272.84936867513068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1.8018000000000001</v>
      </c>
      <c r="D9" s="11">
        <f t="shared" si="32"/>
        <v>0.77534394785381466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10.941558515449531</v>
      </c>
      <c r="H9" s="67">
        <f t="shared" si="1"/>
        <v>261.15519237584539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1.4743589743589742</v>
      </c>
      <c r="N9" s="13">
        <f>IF('Données projet'!$A$36&gt;35,N8+M9-V8,IF(A9&lt;'Données projet'!$A$36,$K$205^A9,IF(A9='Données projet'!$A$36,'Données projet'!$B$36,N8+M9-V8)))</f>
        <v>5.0252994127686508</v>
      </c>
      <c r="O9" s="13">
        <f>N9*VLOOKUP('Données projet'!$B$9,Paramètres!$A$1:$I$89,3,0)*VLOOKUP('Données projet'!$B$9,Paramètres!$A$1:$I$89,5,0)</f>
        <v>5.252442946225794</v>
      </c>
      <c r="P9" s="13">
        <f t="shared" si="33"/>
        <v>1.9955533740165923</v>
      </c>
      <c r="Q9" s="20">
        <f t="shared" si="2"/>
        <v>12.62359359108882</v>
      </c>
      <c r="R9" s="59">
        <f t="shared" si="0"/>
        <v>276.62359359108882</v>
      </c>
      <c r="S9" s="59">
        <f ca="1">AVERAGE(OFFSET($R$3,0,0,'Données projet'!$E$9+1,1))-AVERAGE(OFFSET($H$3,0,0,'Données projet'!$E$9+1,1))</f>
        <v>225.9892575177542</v>
      </c>
      <c r="T9" s="59">
        <f t="shared" si="34"/>
        <v>215.88467215650428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4.0942857142857143</v>
      </c>
      <c r="AI9" s="13">
        <f>IF('Données projet'!$A$62&gt;35,AI8+AH9-AQ8,IF(A9&lt;'Données projet'!$A$62,$AF$205^A9,IF(A9='Données projet'!$A$62,'Données projet'!$B$62,AI8+AH9-AQ8)))</f>
        <v>24.565714285714286</v>
      </c>
      <c r="AJ9" s="13">
        <f>AI9*VLOOKUP('Données projet'!$B$10,Paramètres!$A$1:$I$89,3,0)*VLOOKUP('Données projet'!$B$10,Paramètres!$A$1:$I$89,5,0)</f>
        <v>24.90963428571429</v>
      </c>
      <c r="AK9" s="13">
        <f t="shared" si="35"/>
        <v>7.8955476085878011</v>
      </c>
      <c r="AL9" s="20">
        <f t="shared" si="4"/>
        <v>57.135691799242814</v>
      </c>
      <c r="AM9" s="59">
        <f t="shared" si="5"/>
        <v>321.13569179924281</v>
      </c>
      <c r="AN9" s="59">
        <f ca="1">AVERAGE(OFFSET($AM$3,0,0,'Données projet'!$E$10+1,1))-AVERAGE(OFFSET($H$3,0,0,'Données projet'!$E$10+1,1))</f>
        <v>644.15138437063933</v>
      </c>
      <c r="AO9" s="59">
        <f t="shared" si="36"/>
        <v>289.3097279858207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4.0942857142857143</v>
      </c>
      <c r="BD9" s="12">
        <f>IF('Données projet'!$A$88&gt;35,BD8+BC9-BL8,IF(A9&lt;'Données projet'!$A$88,$BA$205^A9,IF(A9='Données projet'!$A$88,'Données projet'!$B$88,BD8+BC9-BL8)))</f>
        <v>24.565714285714286</v>
      </c>
      <c r="BE9" s="13">
        <f>BD9*VLOOKUP('Données projet'!$B$11,Paramètres!$A$1:$I$89,3,0)*VLOOKUP('Données projet'!$B$11,Paramètres!$A$1:$I$89,5,0)</f>
        <v>22.227058285714286</v>
      </c>
      <c r="BF9" s="13">
        <f t="shared" si="37"/>
        <v>7.1393223235836674</v>
      </c>
      <c r="BG9" s="20">
        <f t="shared" si="7"/>
        <v>51.146446227860601</v>
      </c>
      <c r="BH9" s="59">
        <f t="shared" si="8"/>
        <v>315.14644622786062</v>
      </c>
      <c r="BI9" s="59">
        <f ca="1">AVERAGE(OFFSET($BH$3,0,0,'Données projet'!$E$11+1,1))-AVERAGE(OFFSET($H$3,0,0,'Données projet'!$E$11+1,1))</f>
        <v>573.17174498173017</v>
      </c>
      <c r="BJ9" s="59">
        <f t="shared" si="38"/>
        <v>260.48854096157231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4.0942857142857143</v>
      </c>
      <c r="BY9" s="12">
        <f>IF('Données projet'!$A$114&gt;35,BY8+BX9-CG8,IF(A9&lt;'Données projet'!$A$114,$BV$205^A9,IF(A9='Données projet'!$A$114,'Données projet'!$B$114,BY8+BX9-CG8)))</f>
        <v>24.565714285714286</v>
      </c>
      <c r="BZ9" s="13">
        <f>BY9*VLOOKUP('Données projet'!$B$12,Paramètres!$A$1:$I$89,3,0)*VLOOKUP('Données projet'!$B$12,Paramètres!$A$1:$I$89,5,0)</f>
        <v>23.376733714285717</v>
      </c>
      <c r="CA9" s="13">
        <f t="shared" si="39"/>
        <v>7.4646501270623844</v>
      </c>
      <c r="CB9" s="20">
        <f t="shared" si="10"/>
        <v>53.715410190347939</v>
      </c>
      <c r="CC9" s="59">
        <f t="shared" si="11"/>
        <v>317.71541019034794</v>
      </c>
      <c r="CD9" s="59">
        <f ca="1">AVERAGE(OFFSET($CC$3,0,0,'Données projet'!$E$12+1,1))-AVERAGE(OFFSET($H$3,0,0,'Données projet'!$E$12+1,1))</f>
        <v>603.61135046904178</v>
      </c>
      <c r="CE9" s="59">
        <f t="shared" si="40"/>
        <v>272.84936867513068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2.1021000000000001</v>
      </c>
      <c r="D10" s="11">
        <f t="shared" si="32"/>
        <v>0.8884818993821626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12.6968564850962</v>
      </c>
      <c r="H10" s="67">
        <f t="shared" si="1"/>
        <v>261.87526347475728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1.4743589743589742</v>
      </c>
      <c r="N10" s="13">
        <f>IF('Données projet'!$A$36&gt;35,N9+M10-V9,IF(A10&lt;'Données projet'!$A$36,$K$205^A10,IF(A10='Données projet'!$A$36,'Données projet'!$B$36,N9+M10-V9)))</f>
        <v>6.5769155646751702</v>
      </c>
      <c r="O10" s="13">
        <f>N10*VLOOKUP('Données projet'!$B$9,Paramètres!$A$1:$I$89,3,0)*VLOOKUP('Données projet'!$B$9,Paramètres!$A$1:$I$89,5,0)</f>
        <v>6.8741921481984889</v>
      </c>
      <c r="P10" s="13">
        <f t="shared" si="33"/>
        <v>2.531168925914105</v>
      </c>
      <c r="Q10" s="20">
        <f t="shared" si="2"/>
        <v>16.381003870746099</v>
      </c>
      <c r="R10" s="59">
        <f t="shared" si="0"/>
        <v>281.60322609296833</v>
      </c>
      <c r="S10" s="59">
        <f ca="1">AVERAGE(OFFSET($R$3,0,0,'Données projet'!$E$9+1,1))-AVERAGE(OFFSET($H$3,0,0,'Données projet'!$E$9+1,1))</f>
        <v>225.9892575177542</v>
      </c>
      <c r="T10" s="59">
        <f t="shared" si="34"/>
        <v>215.88467215650428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4.0942857142857143</v>
      </c>
      <c r="AI10" s="13">
        <f>IF('Données projet'!$A$62&gt;35,AI9+AH10-AQ9,IF(A10&lt;'Données projet'!$A$62,$AF$205^A10,IF(A10='Données projet'!$A$62,'Données projet'!$B$62,AI9+AH10-AQ9)))</f>
        <v>28.66</v>
      </c>
      <c r="AJ10" s="13">
        <f>AI10*VLOOKUP('Données projet'!$B$10,Paramètres!$A$1:$I$89,3,0)*VLOOKUP('Données projet'!$B$10,Paramètres!$A$1:$I$89,5,0)</f>
        <v>29.061240000000002</v>
      </c>
      <c r="AK10" s="13">
        <f t="shared" si="35"/>
        <v>9.0476634987070454</v>
      </c>
      <c r="AL10" s="20">
        <f t="shared" si="4"/>
        <v>66.373006926914783</v>
      </c>
      <c r="AM10" s="59">
        <f t="shared" si="5"/>
        <v>331.59522914913703</v>
      </c>
      <c r="AN10" s="59">
        <f ca="1">AVERAGE(OFFSET($AM$3,0,0,'Données projet'!$E$10+1,1))-AVERAGE(OFFSET($H$3,0,0,'Données projet'!$E$10+1,1))</f>
        <v>644.15138437063933</v>
      </c>
      <c r="AO10" s="59">
        <f t="shared" si="36"/>
        <v>289.3097279858207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4.0942857142857143</v>
      </c>
      <c r="BD10" s="12">
        <f>IF('Données projet'!$A$88&gt;35,BD9+BC10-BL9,IF(A10&lt;'Données projet'!$A$88,$BA$205^A10,IF(A10='Données projet'!$A$88,'Données projet'!$B$88,BD9+BC10-BL9)))</f>
        <v>28.66</v>
      </c>
      <c r="BE10" s="13">
        <f>BD10*VLOOKUP('Données projet'!$B$11,Paramètres!$A$1:$I$89,3,0)*VLOOKUP('Données projet'!$B$11,Paramètres!$A$1:$I$89,5,0)</f>
        <v>25.931567999999999</v>
      </c>
      <c r="BF10" s="13">
        <f t="shared" si="37"/>
        <v>8.1810900516051337</v>
      </c>
      <c r="BG10" s="20">
        <f t="shared" si="7"/>
        <v>59.412879439878935</v>
      </c>
      <c r="BH10" s="59">
        <f t="shared" si="8"/>
        <v>324.63510166210119</v>
      </c>
      <c r="BI10" s="59">
        <f ca="1">AVERAGE(OFFSET($BH$3,0,0,'Données projet'!$E$11+1,1))-AVERAGE(OFFSET($H$3,0,0,'Données projet'!$E$11+1,1))</f>
        <v>573.17174498173017</v>
      </c>
      <c r="BJ10" s="59">
        <f t="shared" si="38"/>
        <v>260.48854096157231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4.0942857142857143</v>
      </c>
      <c r="BY10" s="12">
        <f>IF('Données projet'!$A$114&gt;35,BY9+BX10-CG9,IF(A10&lt;'Données projet'!$A$114,$BV$205^A10,IF(A10='Données projet'!$A$114,'Données projet'!$B$114,BY9+BX10-CG9)))</f>
        <v>28.66</v>
      </c>
      <c r="BZ10" s="13">
        <f>BY10*VLOOKUP('Données projet'!$B$12,Paramètres!$A$1:$I$89,3,0)*VLOOKUP('Données projet'!$B$12,Paramètres!$A$1:$I$89,5,0)</f>
        <v>27.272856000000004</v>
      </c>
      <c r="CA10" s="13">
        <f t="shared" si="39"/>
        <v>8.5538895885805495</v>
      </c>
      <c r="CB10" s="20">
        <f t="shared" si="10"/>
        <v>62.398248566777788</v>
      </c>
      <c r="CC10" s="59">
        <f t="shared" si="11"/>
        <v>327.62047078900002</v>
      </c>
      <c r="CD10" s="59">
        <f ca="1">AVERAGE(OFFSET($CC$3,0,0,'Données projet'!$E$12+1,1))-AVERAGE(OFFSET($H$3,0,0,'Données projet'!$E$12+1,1))</f>
        <v>603.61135046904178</v>
      </c>
      <c r="CE10" s="59">
        <f t="shared" si="40"/>
        <v>272.84936867513068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2.4024000000000001</v>
      </c>
      <c r="D11" s="11">
        <f t="shared" si="32"/>
        <v>0.99974736673737707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14.444204609656936</v>
      </c>
      <c r="H11" s="67">
        <f t="shared" si="1"/>
        <v>262.59207333040098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1.4743589743589742</v>
      </c>
      <c r="N11" s="13">
        <f>IF('Données projet'!$A$36&gt;35,N10+M11-V10,IF(A11&lt;'Données projet'!$A$36,$K$205^A11,IF(A11='Données projet'!$A$36,'Données projet'!$B$36,N10+M11-V10)))</f>
        <v>8.6076101724325031</v>
      </c>
      <c r="O11" s="13">
        <f>N11*VLOOKUP('Données projet'!$B$9,Paramètres!$A$1:$I$89,3,0)*VLOOKUP('Données projet'!$B$9,Paramètres!$A$1:$I$89,5,0)</f>
        <v>8.9966741522264542</v>
      </c>
      <c r="P11" s="13">
        <f t="shared" si="33"/>
        <v>3.2105461146437353</v>
      </c>
      <c r="Q11" s="20">
        <f t="shared" si="2"/>
        <v>21.260908631465579</v>
      </c>
      <c r="R11" s="59">
        <f t="shared" si="0"/>
        <v>287.70535307591001</v>
      </c>
      <c r="S11" s="59">
        <f ca="1">AVERAGE(OFFSET($R$3,0,0,'Données projet'!$E$9+1,1))-AVERAGE(OFFSET($H$3,0,0,'Données projet'!$E$9+1,1))</f>
        <v>225.9892575177542</v>
      </c>
      <c r="T11" s="59">
        <f t="shared" si="34"/>
        <v>215.88467215650428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4.0942857142857143</v>
      </c>
      <c r="AI11" s="13">
        <f>IF('Données projet'!$A$62&gt;35,AI10+AH11-AQ10,IF(A11&lt;'Données projet'!$A$62,$AF$205^A11,IF(A11='Données projet'!$A$62,'Données projet'!$B$62,AI10+AH11-AQ10)))</f>
        <v>32.754285714285714</v>
      </c>
      <c r="AJ11" s="13">
        <f>AI11*VLOOKUP('Données projet'!$B$10,Paramètres!$A$1:$I$89,3,0)*VLOOKUP('Données projet'!$B$10,Paramètres!$A$1:$I$89,5,0)</f>
        <v>33.21284571428572</v>
      </c>
      <c r="AK11" s="13">
        <f t="shared" si="35"/>
        <v>10.180711350730137</v>
      </c>
      <c r="AL11" s="20">
        <f t="shared" si="4"/>
        <v>75.577111888235933</v>
      </c>
      <c r="AM11" s="59">
        <f t="shared" si="5"/>
        <v>342.0215563326804</v>
      </c>
      <c r="AN11" s="59">
        <f ca="1">AVERAGE(OFFSET($AM$3,0,0,'Données projet'!$E$10+1,1))-AVERAGE(OFFSET($H$3,0,0,'Données projet'!$E$10+1,1))</f>
        <v>644.15138437063933</v>
      </c>
      <c r="AO11" s="59">
        <f t="shared" si="36"/>
        <v>289.3097279858207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4.0942857142857143</v>
      </c>
      <c r="BD11" s="12">
        <f>IF('Données projet'!$A$88&gt;35,BD10+BC11-BL10,IF(A11&lt;'Données projet'!$A$88,$BA$205^A11,IF(A11='Données projet'!$A$88,'Données projet'!$B$88,BD10+BC11-BL10)))</f>
        <v>32.754285714285714</v>
      </c>
      <c r="BE11" s="13">
        <f>BD11*VLOOKUP('Données projet'!$B$11,Paramètres!$A$1:$I$89,3,0)*VLOOKUP('Données projet'!$B$11,Paramètres!$A$1:$I$89,5,0)</f>
        <v>29.636077714285712</v>
      </c>
      <c r="BF11" s="13">
        <f t="shared" si="37"/>
        <v>9.205616053429063</v>
      </c>
      <c r="BG11" s="20">
        <f t="shared" si="7"/>
        <v>67.649283312103222</v>
      </c>
      <c r="BH11" s="59">
        <f t="shared" si="8"/>
        <v>334.09372775654765</v>
      </c>
      <c r="BI11" s="59">
        <f ca="1">AVERAGE(OFFSET($BH$3,0,0,'Données projet'!$E$11+1,1))-AVERAGE(OFFSET($H$3,0,0,'Données projet'!$E$11+1,1))</f>
        <v>573.17174498173017</v>
      </c>
      <c r="BJ11" s="59">
        <f t="shared" si="38"/>
        <v>260.48854096157231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4.0942857142857143</v>
      </c>
      <c r="BY11" s="12">
        <f>IF('Données projet'!$A$114&gt;35,BY10+BX11-CG10,IF(A11&lt;'Données projet'!$A$114,$BV$205^A11,IF(A11='Données projet'!$A$114,'Données projet'!$B$114,BY10+BX11-CG10)))</f>
        <v>32.754285714285714</v>
      </c>
      <c r="BZ11" s="13">
        <f>BY11*VLOOKUP('Données projet'!$B$12,Paramètres!$A$1:$I$89,3,0)*VLOOKUP('Données projet'!$B$12,Paramètres!$A$1:$I$89,5,0)</f>
        <v>31.168978285714289</v>
      </c>
      <c r="CA11" s="13">
        <f t="shared" si="39"/>
        <v>9.6251016452810383</v>
      </c>
      <c r="CB11" s="20">
        <f t="shared" si="10"/>
        <v>71.049689213150188</v>
      </c>
      <c r="CC11" s="59">
        <f t="shared" si="11"/>
        <v>337.49413365759466</v>
      </c>
      <c r="CD11" s="59">
        <f ca="1">AVERAGE(OFFSET($CC$3,0,0,'Données projet'!$E$12+1,1))-AVERAGE(OFFSET($H$3,0,0,'Données projet'!$E$12+1,1))</f>
        <v>603.61135046904178</v>
      </c>
      <c r="CE11" s="59">
        <f t="shared" si="40"/>
        <v>272.84936867513068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2.7027000000000001</v>
      </c>
      <c r="D12" s="11">
        <f t="shared" si="32"/>
        <v>1.1094012164435687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16.184710427707788</v>
      </c>
      <c r="H12" s="67">
        <f t="shared" si="1"/>
        <v>263.30607628530589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1.4743589743589742</v>
      </c>
      <c r="N12" s="13">
        <f>IF('Données projet'!$A$36&gt;35,N11+M12-V11,IF(A12&lt;'Données projet'!$A$36,$K$205^A12,IF(A12='Données projet'!$A$36,'Données projet'!$B$36,N11+M12-V11)))</f>
        <v>11.265303948633376</v>
      </c>
      <c r="O12" s="13">
        <f>N12*VLOOKUP('Données projet'!$B$9,Paramètres!$A$1:$I$89,3,0)*VLOOKUP('Données projet'!$B$9,Paramètres!$A$1:$I$89,5,0)</f>
        <v>11.774495687111605</v>
      </c>
      <c r="P12" s="13">
        <f t="shared" si="33"/>
        <v>4.0722712137956174</v>
      </c>
      <c r="Q12" s="20">
        <f t="shared" si="2"/>
        <v>27.599785685746742</v>
      </c>
      <c r="R12" s="59">
        <f t="shared" si="0"/>
        <v>295.26645235241341</v>
      </c>
      <c r="S12" s="59">
        <f ca="1">AVERAGE(OFFSET($R$3,0,0,'Données projet'!$E$9+1,1))-AVERAGE(OFFSET($H$3,0,0,'Données projet'!$E$9+1,1))</f>
        <v>225.9892575177542</v>
      </c>
      <c r="T12" s="59">
        <f t="shared" si="34"/>
        <v>215.88467215650428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4.0942857142857143</v>
      </c>
      <c r="AI12" s="13">
        <f>IF('Données projet'!$A$62&gt;35,AI11+AH12-AQ11,IF(A12&lt;'Données projet'!$A$62,$AF$205^A12,IF(A12='Données projet'!$A$62,'Données projet'!$B$62,AI11+AH12-AQ11)))</f>
        <v>36.848571428571432</v>
      </c>
      <c r="AJ12" s="13">
        <f>AI12*VLOOKUP('Données projet'!$B$10,Paramètres!$A$1:$I$89,3,0)*VLOOKUP('Données projet'!$B$10,Paramètres!$A$1:$I$89,5,0)</f>
        <v>37.364451428571435</v>
      </c>
      <c r="AK12" s="13">
        <f t="shared" si="35"/>
        <v>11.297347642554788</v>
      </c>
      <c r="AL12" s="20">
        <f t="shared" si="4"/>
        <v>84.752633382211499</v>
      </c>
      <c r="AM12" s="59">
        <f t="shared" si="5"/>
        <v>352.4193000488782</v>
      </c>
      <c r="AN12" s="59">
        <f ca="1">AVERAGE(OFFSET($AM$3,0,0,'Données projet'!$E$10+1,1))-AVERAGE(OFFSET($H$3,0,0,'Données projet'!$E$10+1,1))</f>
        <v>644.15138437063933</v>
      </c>
      <c r="AO12" s="59">
        <f t="shared" si="36"/>
        <v>289.3097279858207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4.0942857142857143</v>
      </c>
      <c r="BD12" s="12">
        <f>IF('Données projet'!$A$88&gt;35,BD11+BC12-BL11,IF(A12&lt;'Données projet'!$A$88,$BA$205^A12,IF(A12='Données projet'!$A$88,'Données projet'!$B$88,BD11+BC12-BL11)))</f>
        <v>36.848571428571432</v>
      </c>
      <c r="BE12" s="13">
        <f>BD12*VLOOKUP('Données projet'!$B$11,Paramètres!$A$1:$I$89,3,0)*VLOOKUP('Données projet'!$B$11,Paramètres!$A$1:$I$89,5,0)</f>
        <v>33.340587428571432</v>
      </c>
      <c r="BF12" s="13">
        <f t="shared" si="37"/>
        <v>10.215302372953809</v>
      </c>
      <c r="BG12" s="20">
        <f t="shared" si="7"/>
        <v>75.85984140432312</v>
      </c>
      <c r="BH12" s="59">
        <f t="shared" si="8"/>
        <v>343.52650807098979</v>
      </c>
      <c r="BI12" s="59">
        <f ca="1">AVERAGE(OFFSET($BH$3,0,0,'Données projet'!$E$11+1,1))-AVERAGE(OFFSET($H$3,0,0,'Données projet'!$E$11+1,1))</f>
        <v>573.17174498173017</v>
      </c>
      <c r="BJ12" s="59">
        <f t="shared" si="38"/>
        <v>260.48854096157231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4.0942857142857143</v>
      </c>
      <c r="BY12" s="12">
        <f>IF('Données projet'!$A$114&gt;35,BY11+BX12-CG11,IF(A12&lt;'Données projet'!$A$114,$BV$205^A12,IF(A12='Données projet'!$A$114,'Données projet'!$B$114,BY11+BX12-CG11)))</f>
        <v>36.848571428571432</v>
      </c>
      <c r="BZ12" s="13">
        <f>BY12*VLOOKUP('Données projet'!$B$12,Paramètres!$A$1:$I$89,3,0)*VLOOKUP('Données projet'!$B$12,Paramètres!$A$1:$I$89,5,0)</f>
        <v>35.06510057142858</v>
      </c>
      <c r="CA12" s="13">
        <f t="shared" si="39"/>
        <v>10.680797798463022</v>
      </c>
      <c r="CB12" s="20">
        <f t="shared" si="10"/>
        <v>79.674106327561205</v>
      </c>
      <c r="CC12" s="59">
        <f t="shared" si="11"/>
        <v>347.3407729942279</v>
      </c>
      <c r="CD12" s="59">
        <f ca="1">AVERAGE(OFFSET($CC$3,0,0,'Données projet'!$E$12+1,1))-AVERAGE(OFFSET($H$3,0,0,'Données projet'!$E$12+1,1))</f>
        <v>603.61135046904178</v>
      </c>
      <c r="CE12" s="59">
        <f t="shared" si="40"/>
        <v>272.84936867513068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3.0030000000000001</v>
      </c>
      <c r="D13" s="11">
        <f t="shared" si="32"/>
        <v>1.2176429438486815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17.919220919497914</v>
      </c>
      <c r="H13" s="67">
        <f t="shared" si="1"/>
        <v>264.01761979386981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14.743589743589743</v>
      </c>
      <c r="L13" s="12">
        <f>VLOOKUP(A13,'Données projet'!$A$35:$I$55,9,0)</f>
        <v>1.4743589743589742</v>
      </c>
      <c r="M13" s="12">
        <f t="array" ref="M13">INDEX(L:L,MIN(IF(ISNUMBER(L13:L209),ROW(L13:L209),"")))</f>
        <v>1.4743589743589742</v>
      </c>
      <c r="N13" s="13">
        <f>IF('Données projet'!$A$36&gt;35,N12+M13-V12,IF(A13&lt;'Données projet'!$A$36,$K$205^A13,IF(A13='Données projet'!$A$36,'Données projet'!$B$36,N12+M13-V12)))</f>
        <v>14.743589743589743</v>
      </c>
      <c r="O13" s="13">
        <f>N13*VLOOKUP('Données projet'!$B$9,Paramètres!$A$1:$I$89,3,0)*VLOOKUP('Données projet'!$B$9,Paramètres!$A$1:$I$89,5,0)</f>
        <v>15.41</v>
      </c>
      <c r="P13" s="13">
        <f t="shared" si="33"/>
        <v>5.1652872273253818</v>
      </c>
      <c r="Q13" s="20">
        <f t="shared" si="2"/>
        <v>35.835291920925037</v>
      </c>
      <c r="R13" s="59">
        <f t="shared" si="0"/>
        <v>304.7241808098139</v>
      </c>
      <c r="S13" s="59">
        <f ca="1">AVERAGE(OFFSET($R$3,0,0,'Données projet'!$E$9+1,1))-AVERAGE(OFFSET($H$3,0,0,'Données projet'!$E$9+1,1))</f>
        <v>225.9892575177542</v>
      </c>
      <c r="T13" s="59">
        <f t="shared" si="34"/>
        <v>215.88467215650428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0.215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4.0942857142857143</v>
      </c>
      <c r="AI13" s="13">
        <f>IF('Données projet'!$A$62&gt;35,AI12+AH13-AQ12,IF(A13&lt;'Données projet'!$A$62,$AF$205^A13,IF(A13='Données projet'!$A$62,'Données projet'!$B$62,AI12+AH13-AQ12)))</f>
        <v>40.94285714285715</v>
      </c>
      <c r="AJ13" s="13">
        <f>AI13*VLOOKUP('Données projet'!$B$10,Paramètres!$A$1:$I$89,3,0)*VLOOKUP('Données projet'!$B$10,Paramètres!$A$1:$I$89,5,0)</f>
        <v>41.51605714285715</v>
      </c>
      <c r="AK13" s="13">
        <f t="shared" si="35"/>
        <v>12.399603891963192</v>
      </c>
      <c r="AL13" s="20">
        <f t="shared" si="4"/>
        <v>93.903109635645436</v>
      </c>
      <c r="AM13" s="59">
        <f t="shared" si="5"/>
        <v>362.79199852453428</v>
      </c>
      <c r="AN13" s="59">
        <f ca="1">AVERAGE(OFFSET($AM$3,0,0,'Données projet'!$E$10+1,1))-AVERAGE(OFFSET($H$3,0,0,'Données projet'!$E$10+1,1))</f>
        <v>644.15138437063933</v>
      </c>
      <c r="AO13" s="59">
        <f t="shared" si="36"/>
        <v>289.3097279858207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4.0942857142857143</v>
      </c>
      <c r="BD13" s="12">
        <f>IF('Données projet'!$A$88&gt;35,BD12+BC13-BL12,IF(A13&lt;'Données projet'!$A$88,$BA$205^A13,IF(A13='Données projet'!$A$88,'Données projet'!$B$88,BD12+BC13-BL12)))</f>
        <v>40.94285714285715</v>
      </c>
      <c r="BE13" s="13">
        <f>BD13*VLOOKUP('Données projet'!$B$11,Paramètres!$A$1:$I$89,3,0)*VLOOKUP('Données projet'!$B$11,Paramètres!$A$1:$I$89,5,0)</f>
        <v>37.045097142857145</v>
      </c>
      <c r="BF13" s="13">
        <f t="shared" si="37"/>
        <v>11.211985951829543</v>
      </c>
      <c r="BG13" s="20">
        <f t="shared" si="7"/>
        <v>84.04775305657931</v>
      </c>
      <c r="BH13" s="59">
        <f t="shared" si="8"/>
        <v>352.93664194546818</v>
      </c>
      <c r="BI13" s="59">
        <f ca="1">AVERAGE(OFFSET($BH$3,0,0,'Données projet'!$E$11+1,1))-AVERAGE(OFFSET($H$3,0,0,'Données projet'!$E$11+1,1))</f>
        <v>573.17174498173017</v>
      </c>
      <c r="BJ13" s="59">
        <f t="shared" si="38"/>
        <v>260.48854096157231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4.0942857142857143</v>
      </c>
      <c r="BY13" s="12">
        <f>IF('Données projet'!$A$114&gt;35,BY12+BX13-CG12,IF(A13&lt;'Données projet'!$A$114,$BV$205^A13,IF(A13='Données projet'!$A$114,'Données projet'!$B$114,BY12+BX13-CG12)))</f>
        <v>40.94285714285715</v>
      </c>
      <c r="BZ13" s="13">
        <f>BY13*VLOOKUP('Données projet'!$B$12,Paramètres!$A$1:$I$89,3,0)*VLOOKUP('Données projet'!$B$12,Paramètres!$A$1:$I$89,5,0)</f>
        <v>38.961222857142864</v>
      </c>
      <c r="CA13" s="13">
        <f t="shared" si="39"/>
        <v>11.722898696347846</v>
      </c>
      <c r="CB13" s="20">
        <f t="shared" si="10"/>
        <v>88.274845038996318</v>
      </c>
      <c r="CC13" s="59">
        <f t="shared" si="11"/>
        <v>357.16373392788518</v>
      </c>
      <c r="CD13" s="59">
        <f ca="1">AVERAGE(OFFSET($CC$3,0,0,'Données projet'!$E$12+1,1))-AVERAGE(OFFSET($H$3,0,0,'Données projet'!$E$12+1,1))</f>
        <v>603.61135046904178</v>
      </c>
      <c r="CE13" s="59">
        <f t="shared" si="40"/>
        <v>272.84936867513068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3.3033000000000001</v>
      </c>
      <c r="D14" s="11">
        <f t="shared" si="32"/>
        <v>1.3246298363785509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19.648403866729996</v>
      </c>
      <c r="H14" s="67">
        <f t="shared" si="1"/>
        <v>264.72697779835931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4.7435897435897427</v>
      </c>
      <c r="N14" s="13">
        <f>IF('Données projet'!$A$36&gt;35,N13+M14-V13,IF(A14&lt;'Données projet'!$A$36,$K$205^A14,IF(A14='Données projet'!$A$36,'Données projet'!$B$36,N13+M14-V13)))</f>
        <v>19.487179487179485</v>
      </c>
      <c r="O14" s="13">
        <f>N14*VLOOKUP('Données projet'!$B$9,Paramètres!$A$1:$I$89,3,0)*VLOOKUP('Données projet'!$B$9,Paramètres!$A$1:$I$89,5,0)</f>
        <v>20.368000000000002</v>
      </c>
      <c r="P14" s="13">
        <f t="shared" si="33"/>
        <v>6.609047283991738</v>
      </c>
      <c r="Q14" s="20">
        <f t="shared" si="2"/>
        <v>46.985024019618947</v>
      </c>
      <c r="R14" s="59">
        <f t="shared" si="0"/>
        <v>317.09613513073009</v>
      </c>
      <c r="S14" s="59">
        <f ca="1">AVERAGE(OFFSET($R$3,0,0,'Données projet'!$E$9+1,1))-AVERAGE(OFFSET($H$3,0,0,'Données projet'!$E$9+1,1))</f>
        <v>225.9892575177542</v>
      </c>
      <c r="T14" s="59">
        <f t="shared" si="34"/>
        <v>215.88467215650428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4.0942857142857143</v>
      </c>
      <c r="AI14" s="13">
        <f>IF('Données projet'!$A$62&gt;35,AI13+AH14-AQ13,IF(A14&lt;'Données projet'!$A$62,$AF$205^A14,IF(A14='Données projet'!$A$62,'Données projet'!$B$62,AI13+AH14-AQ13)))</f>
        <v>45.037142857142868</v>
      </c>
      <c r="AJ14" s="13">
        <f>AI14*VLOOKUP('Données projet'!$B$10,Paramètres!$A$1:$I$89,3,0)*VLOOKUP('Données projet'!$B$10,Paramètres!$A$1:$I$89,5,0)</f>
        <v>45.667662857142872</v>
      </c>
      <c r="AK14" s="13">
        <f t="shared" si="35"/>
        <v>13.489081801480216</v>
      </c>
      <c r="AL14" s="20">
        <f t="shared" si="4"/>
        <v>103.03133028043521</v>
      </c>
      <c r="AM14" s="59">
        <f t="shared" si="5"/>
        <v>373.14244139154636</v>
      </c>
      <c r="AN14" s="59">
        <f ca="1">AVERAGE(OFFSET($AM$3,0,0,'Données projet'!$E$10+1,1))-AVERAGE(OFFSET($H$3,0,0,'Données projet'!$E$10+1,1))</f>
        <v>644.15138437063933</v>
      </c>
      <c r="AO14" s="59">
        <f t="shared" si="36"/>
        <v>289.3097279858207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4.0942857142857143</v>
      </c>
      <c r="BD14" s="12">
        <f>IF('Données projet'!$A$88&gt;35,BD13+BC14-BL13,IF(A14&lt;'Données projet'!$A$88,$BA$205^A14,IF(A14='Données projet'!$A$88,'Données projet'!$B$88,BD13+BC14-BL13)))</f>
        <v>45.037142857142868</v>
      </c>
      <c r="BE14" s="13">
        <f>BD14*VLOOKUP('Données projet'!$B$11,Paramètres!$A$1:$I$89,3,0)*VLOOKUP('Données projet'!$B$11,Paramètres!$A$1:$I$89,5,0)</f>
        <v>40.749606857142865</v>
      </c>
      <c r="BF14" s="13">
        <f t="shared" si="37"/>
        <v>12.197115083595657</v>
      </c>
      <c r="BG14" s="20">
        <f t="shared" si="7"/>
        <v>92.215540713452924</v>
      </c>
      <c r="BH14" s="59">
        <f t="shared" si="8"/>
        <v>362.32665182456407</v>
      </c>
      <c r="BI14" s="59">
        <f ca="1">AVERAGE(OFFSET($BH$3,0,0,'Données projet'!$E$11+1,1))-AVERAGE(OFFSET($H$3,0,0,'Données projet'!$E$11+1,1))</f>
        <v>573.17174498173017</v>
      </c>
      <c r="BJ14" s="59">
        <f t="shared" si="38"/>
        <v>260.48854096157231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4.0942857142857143</v>
      </c>
      <c r="BY14" s="12">
        <f>IF('Données projet'!$A$114&gt;35,BY13+BX14-CG13,IF(A14&lt;'Données projet'!$A$114,$BV$205^A14,IF(A14='Données projet'!$A$114,'Données projet'!$B$114,BY13+BX14-CG13)))</f>
        <v>45.037142857142868</v>
      </c>
      <c r="BZ14" s="13">
        <f>BY14*VLOOKUP('Données projet'!$B$12,Paramètres!$A$1:$I$89,3,0)*VLOOKUP('Données projet'!$B$12,Paramètres!$A$1:$I$89,5,0)</f>
        <v>42.857345142857156</v>
      </c>
      <c r="CA14" s="13">
        <f t="shared" si="39"/>
        <v>12.752918628956738</v>
      </c>
      <c r="CB14" s="20">
        <f t="shared" si="10"/>
        <v>96.854542735909192</v>
      </c>
      <c r="CC14" s="59">
        <f t="shared" si="11"/>
        <v>366.96565384702035</v>
      </c>
      <c r="CD14" s="59">
        <f ca="1">AVERAGE(OFFSET($CC$3,0,0,'Données projet'!$E$12+1,1))-AVERAGE(OFFSET($H$3,0,0,'Données projet'!$E$12+1,1))</f>
        <v>603.61135046904178</v>
      </c>
      <c r="CE14" s="59">
        <f t="shared" si="40"/>
        <v>272.84936867513068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3.6036000000000001</v>
      </c>
      <c r="D15" s="11">
        <f t="shared" si="32"/>
        <v>1.4304889434744348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21.372798672294977</v>
      </c>
      <c r="H15" s="67">
        <f t="shared" si="1"/>
        <v>265.43437157655131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4.7435897435897427</v>
      </c>
      <c r="N15" s="13">
        <f>IF('Données projet'!$A$36&gt;35,N14+M15-V14,IF(A15&lt;'Données projet'!$A$36,$K$205^A15,IF(A15='Données projet'!$A$36,'Données projet'!$B$36,N14+M15-V14)))</f>
        <v>24.230769230769226</v>
      </c>
      <c r="O15" s="13">
        <f>N15*VLOOKUP('Données projet'!$B$9,Paramètres!$A$1:$I$89,3,0)*VLOOKUP('Données projet'!$B$9,Paramètres!$A$1:$I$89,5,0)</f>
        <v>25.325999999999997</v>
      </c>
      <c r="P15" s="13">
        <f t="shared" si="33"/>
        <v>8.0120474907190182</v>
      </c>
      <c r="Q15" s="20">
        <f t="shared" si="2"/>
        <v>58.063766046335616</v>
      </c>
      <c r="R15" s="59">
        <f t="shared" si="0"/>
        <v>329.39709937966893</v>
      </c>
      <c r="S15" s="59">
        <f ca="1">AVERAGE(OFFSET($R$3,0,0,'Données projet'!$E$9+1,1))-AVERAGE(OFFSET($H$3,0,0,'Données projet'!$E$9+1,1))</f>
        <v>225.9892575177542</v>
      </c>
      <c r="T15" s="59">
        <f t="shared" si="34"/>
        <v>215.88467215650428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4.0942857142857143</v>
      </c>
      <c r="AI15" s="13">
        <f>IF('Données projet'!$A$62&gt;35,AI14+AH15-AQ14,IF(A15&lt;'Données projet'!$A$62,$AF$205^A15,IF(A15='Données projet'!$A$62,'Données projet'!$B$62,AI14+AH15-AQ14)))</f>
        <v>49.131428571428586</v>
      </c>
      <c r="AJ15" s="13">
        <f>AI15*VLOOKUP('Données projet'!$B$10,Paramètres!$A$1:$I$89,3,0)*VLOOKUP('Données projet'!$B$10,Paramètres!$A$1:$I$89,5,0)</f>
        <v>49.819268571428587</v>
      </c>
      <c r="AK15" s="13">
        <f t="shared" si="35"/>
        <v>14.567075151646579</v>
      </c>
      <c r="AL15" s="20">
        <f t="shared" si="4"/>
        <v>112.13954865102259</v>
      </c>
      <c r="AM15" s="59">
        <f t="shared" si="5"/>
        <v>383.47288198435592</v>
      </c>
      <c r="AN15" s="59">
        <f ca="1">AVERAGE(OFFSET($AM$3,0,0,'Données projet'!$E$10+1,1))-AVERAGE(OFFSET($H$3,0,0,'Données projet'!$E$10+1,1))</f>
        <v>644.15138437063933</v>
      </c>
      <c r="AO15" s="59">
        <f t="shared" si="36"/>
        <v>289.3097279858207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4.0942857142857143</v>
      </c>
      <c r="BD15" s="12">
        <f>IF('Données projet'!$A$88&gt;35,BD14+BC15-BL14,IF(A15&lt;'Données projet'!$A$88,$BA$205^A15,IF(A15='Données projet'!$A$88,'Données projet'!$B$88,BD14+BC15-BL14)))</f>
        <v>49.131428571428586</v>
      </c>
      <c r="BE15" s="13">
        <f>BD15*VLOOKUP('Données projet'!$B$11,Paramètres!$A$1:$I$89,3,0)*VLOOKUP('Données projet'!$B$11,Paramètres!$A$1:$I$89,5,0)</f>
        <v>44.454116571428585</v>
      </c>
      <c r="BF15" s="13">
        <f t="shared" si="37"/>
        <v>13.17185963217473</v>
      </c>
      <c r="BG15" s="20">
        <f t="shared" si="7"/>
        <v>100.36524188794243</v>
      </c>
      <c r="BH15" s="59">
        <f t="shared" si="8"/>
        <v>371.69857522127575</v>
      </c>
      <c r="BI15" s="59">
        <f ca="1">AVERAGE(OFFSET($BH$3,0,0,'Données projet'!$E$11+1,1))-AVERAGE(OFFSET($H$3,0,0,'Données projet'!$E$11+1,1))</f>
        <v>573.17174498173017</v>
      </c>
      <c r="BJ15" s="59">
        <f t="shared" si="38"/>
        <v>260.48854096157231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4.0942857142857143</v>
      </c>
      <c r="BY15" s="12">
        <f>IF('Données projet'!$A$114&gt;35,BY14+BX15-CG14,IF(A15&lt;'Données projet'!$A$114,$BV$205^A15,IF(A15='Données projet'!$A$114,'Données projet'!$B$114,BY14+BX15-CG14)))</f>
        <v>49.131428571428586</v>
      </c>
      <c r="BZ15" s="13">
        <f>BY15*VLOOKUP('Données projet'!$B$12,Paramètres!$A$1:$I$89,3,0)*VLOOKUP('Données projet'!$B$12,Paramètres!$A$1:$I$89,5,0)</f>
        <v>46.75346742857144</v>
      </c>
      <c r="CA15" s="13">
        <f t="shared" si="39"/>
        <v>13.772080769089918</v>
      </c>
      <c r="CB15" s="20">
        <f t="shared" si="10"/>
        <v>105.41532977759353</v>
      </c>
      <c r="CC15" s="59">
        <f t="shared" si="11"/>
        <v>376.74866311092683</v>
      </c>
      <c r="CD15" s="59">
        <f ca="1">AVERAGE(OFFSET($CC$3,0,0,'Données projet'!$E$12+1,1))-AVERAGE(OFFSET($H$3,0,0,'Données projet'!$E$12+1,1))</f>
        <v>603.61135046904178</v>
      </c>
      <c r="CE15" s="59">
        <f t="shared" si="40"/>
        <v>272.84936867513068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3.9039000000000001</v>
      </c>
      <c r="D16" s="11">
        <f t="shared" si="32"/>
        <v>1.5353249321881841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23.092849712097205</v>
      </c>
      <c r="H16" s="67">
        <f t="shared" si="1"/>
        <v>266.13998342356109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4.7435897435897427</v>
      </c>
      <c r="N16" s="13">
        <f>IF('Données projet'!$A$36&gt;35,N15+M16-V15,IF(A16&lt;'Données projet'!$A$36,$K$205^A16,IF(A16='Données projet'!$A$36,'Données projet'!$B$36,N15+M16-V15)))</f>
        <v>28.974358974358971</v>
      </c>
      <c r="O16" s="13">
        <f>N16*VLOOKUP('Données projet'!$B$9,Paramètres!$A$1:$I$89,3,0)*VLOOKUP('Données projet'!$B$9,Paramètres!$A$1:$I$89,5,0)</f>
        <v>30.284000000000002</v>
      </c>
      <c r="P16" s="13">
        <f t="shared" si="33"/>
        <v>9.3832239446418253</v>
      </c>
      <c r="Q16" s="20">
        <f t="shared" si="2"/>
        <v>69.087081703584502</v>
      </c>
      <c r="R16" s="59">
        <f t="shared" si="0"/>
        <v>341.64263725914003</v>
      </c>
      <c r="S16" s="59">
        <f ca="1">AVERAGE(OFFSET($R$3,0,0,'Données projet'!$E$9+1,1))-AVERAGE(OFFSET($H$3,0,0,'Données projet'!$E$9+1,1))</f>
        <v>225.9892575177542</v>
      </c>
      <c r="T16" s="59">
        <f t="shared" si="34"/>
        <v>215.88467215650428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4.0942857142857143</v>
      </c>
      <c r="AI16" s="13">
        <f>IF('Données projet'!$A$62&gt;35,AI15+AH16-AQ15,IF(A16&lt;'Données projet'!$A$62,$AF$205^A16,IF(A16='Données projet'!$A$62,'Données projet'!$B$62,AI15+AH16-AQ15)))</f>
        <v>53.225714285714304</v>
      </c>
      <c r="AJ16" s="13">
        <f>AI16*VLOOKUP('Données projet'!$B$10,Paramètres!$A$1:$I$89,3,0)*VLOOKUP('Données projet'!$B$10,Paramètres!$A$1:$I$89,5,0)</f>
        <v>53.970874285714309</v>
      </c>
      <c r="AK16" s="13">
        <f t="shared" si="35"/>
        <v>15.634649796775355</v>
      </c>
      <c r="AL16" s="20">
        <f t="shared" si="4"/>
        <v>121.22962111033615</v>
      </c>
      <c r="AM16" s="59">
        <f t="shared" si="5"/>
        <v>393.7851766658917</v>
      </c>
      <c r="AN16" s="59">
        <f ca="1">AVERAGE(OFFSET($AM$3,0,0,'Données projet'!$E$10+1,1))-AVERAGE(OFFSET($H$3,0,0,'Données projet'!$E$10+1,1))</f>
        <v>644.15138437063933</v>
      </c>
      <c r="AO16" s="59">
        <f t="shared" si="36"/>
        <v>289.3097279858207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4.0942857142857143</v>
      </c>
      <c r="BD16" s="12">
        <f>IF('Données projet'!$A$88&gt;35,BD15+BC16-BL15,IF(A16&lt;'Données projet'!$A$88,$BA$205^A16,IF(A16='Données projet'!$A$88,'Données projet'!$B$88,BD15+BC16-BL15)))</f>
        <v>53.225714285714304</v>
      </c>
      <c r="BE16" s="13">
        <f>BD16*VLOOKUP('Données projet'!$B$11,Paramètres!$A$1:$I$89,3,0)*VLOOKUP('Données projet'!$B$11,Paramètres!$A$1:$I$89,5,0)</f>
        <v>48.158626285714305</v>
      </c>
      <c r="BF16" s="13">
        <f t="shared" si="37"/>
        <v>14.137183365739432</v>
      </c>
      <c r="BG16" s="20">
        <f t="shared" si="7"/>
        <v>108.4985351429486</v>
      </c>
      <c r="BH16" s="59">
        <f t="shared" si="8"/>
        <v>381.05409069850413</v>
      </c>
      <c r="BI16" s="59">
        <f ca="1">AVERAGE(OFFSET($BH$3,0,0,'Données projet'!$E$11+1,1))-AVERAGE(OFFSET($H$3,0,0,'Données projet'!$E$11+1,1))</f>
        <v>573.17174498173017</v>
      </c>
      <c r="BJ16" s="59">
        <f t="shared" si="38"/>
        <v>260.48854096157231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4.0942857142857143</v>
      </c>
      <c r="BY16" s="12">
        <f>IF('Données projet'!$A$114&gt;35,BY15+BX16-CG15,IF(A16&lt;'Données projet'!$A$114,$BV$205^A16,IF(A16='Données projet'!$A$114,'Données projet'!$B$114,BY15+BX16-CG15)))</f>
        <v>53.225714285714304</v>
      </c>
      <c r="BZ16" s="13">
        <f>BY16*VLOOKUP('Données projet'!$B$12,Paramètres!$A$1:$I$89,3,0)*VLOOKUP('Données projet'!$B$12,Paramètres!$A$1:$I$89,5,0)</f>
        <v>50.649589714285725</v>
      </c>
      <c r="CA16" s="13">
        <f t="shared" si="39"/>
        <v>14.781392802335258</v>
      </c>
      <c r="CB16" s="20">
        <f t="shared" si="10"/>
        <v>113.9589612164482</v>
      </c>
      <c r="CC16" s="59">
        <f t="shared" si="11"/>
        <v>386.51451677200373</v>
      </c>
      <c r="CD16" s="59">
        <f ca="1">AVERAGE(OFFSET($CC$3,0,0,'Données projet'!$E$12+1,1))-AVERAGE(OFFSET($H$3,0,0,'Données projet'!$E$12+1,1))</f>
        <v>603.61135046904178</v>
      </c>
      <c r="CE16" s="59">
        <f t="shared" si="40"/>
        <v>272.84936867513068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4.2042000000000002</v>
      </c>
      <c r="D17" s="11">
        <f t="shared" si="32"/>
        <v>1.6392254522156655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24.808929112915635</v>
      </c>
      <c r="H17" s="67">
        <f t="shared" si="1"/>
        <v>266.84396599594231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4.7435897435897427</v>
      </c>
      <c r="N17" s="13">
        <f>IF('Données projet'!$A$36&gt;35,N16+M17-V16,IF(A17&lt;'Données projet'!$A$36,$K$205^A17,IF(A17='Données projet'!$A$36,'Données projet'!$B$36,N16+M17-V16)))</f>
        <v>33.717948717948715</v>
      </c>
      <c r="O17" s="13">
        <f>N17*VLOOKUP('Données projet'!$B$9,Paramètres!$A$1:$I$89,3,0)*VLOOKUP('Données projet'!$B$9,Paramètres!$A$1:$I$89,5,0)</f>
        <v>35.242000000000004</v>
      </c>
      <c r="P17" s="13">
        <f t="shared" si="33"/>
        <v>10.72839522230381</v>
      </c>
      <c r="Q17" s="20">
        <f t="shared" si="2"/>
        <v>80.065105012179131</v>
      </c>
      <c r="R17" s="59">
        <f t="shared" si="0"/>
        <v>353.84288278995689</v>
      </c>
      <c r="S17" s="59">
        <f ca="1">AVERAGE(OFFSET($R$3,0,0,'Données projet'!$E$9+1,1))-AVERAGE(OFFSET($H$3,0,0,'Données projet'!$E$9+1,1))</f>
        <v>225.9892575177542</v>
      </c>
      <c r="T17" s="59">
        <f t="shared" si="34"/>
        <v>215.88467215650428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4.0942857142857143</v>
      </c>
      <c r="AI17" s="13">
        <f>IF('Données projet'!$A$62&gt;35,AI16+AH17-AQ16,IF(A17&lt;'Données projet'!$A$62,$AF$205^A17,IF(A17='Données projet'!$A$62,'Données projet'!$B$62,AI16+AH17-AQ16)))</f>
        <v>57.320000000000022</v>
      </c>
      <c r="AJ17" s="13">
        <f>AI17*VLOOKUP('Données projet'!$B$10,Paramètres!$A$1:$I$89,3,0)*VLOOKUP('Données projet'!$B$10,Paramètres!$A$1:$I$89,5,0)</f>
        <v>58.122480000000031</v>
      </c>
      <c r="AK17" s="13">
        <f t="shared" si="35"/>
        <v>16.692698298610935</v>
      </c>
      <c r="AL17" s="20">
        <f t="shared" si="4"/>
        <v>130.30310220341408</v>
      </c>
      <c r="AM17" s="59">
        <f t="shared" si="5"/>
        <v>404.08087998119186</v>
      </c>
      <c r="AN17" s="59">
        <f ca="1">AVERAGE(OFFSET($AM$3,0,0,'Données projet'!$E$10+1,1))-AVERAGE(OFFSET($H$3,0,0,'Données projet'!$E$10+1,1))</f>
        <v>644.15138437063933</v>
      </c>
      <c r="AO17" s="59">
        <f t="shared" si="36"/>
        <v>289.3097279858207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4.0942857142857143</v>
      </c>
      <c r="BD17" s="12">
        <f>IF('Données projet'!$A$88&gt;35,BD16+BC17-BL16,IF(A17&lt;'Données projet'!$A$88,$BA$205^A17,IF(A17='Données projet'!$A$88,'Données projet'!$B$88,BD16+BC17-BL16)))</f>
        <v>57.320000000000022</v>
      </c>
      <c r="BE17" s="13">
        <f>BD17*VLOOKUP('Données projet'!$B$11,Paramètres!$A$1:$I$89,3,0)*VLOOKUP('Données projet'!$B$11,Paramètres!$A$1:$I$89,5,0)</f>
        <v>51.863136000000019</v>
      </c>
      <c r="BF17" s="13">
        <f t="shared" si="37"/>
        <v>15.093893357630675</v>
      </c>
      <c r="BG17" s="20">
        <f t="shared" si="7"/>
        <v>116.61682613120678</v>
      </c>
      <c r="BH17" s="59">
        <f t="shared" si="8"/>
        <v>390.39460390898455</v>
      </c>
      <c r="BI17" s="59">
        <f ca="1">AVERAGE(OFFSET($BH$3,0,0,'Données projet'!$E$11+1,1))-AVERAGE(OFFSET($H$3,0,0,'Données projet'!$E$11+1,1))</f>
        <v>573.17174498173017</v>
      </c>
      <c r="BJ17" s="59">
        <f t="shared" si="38"/>
        <v>260.48854096157231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4.0942857142857143</v>
      </c>
      <c r="BY17" s="12">
        <f>IF('Données projet'!$A$114&gt;35,BY16+BX17-CG16,IF(A17&lt;'Données projet'!$A$114,$BV$205^A17,IF(A17='Données projet'!$A$114,'Données projet'!$B$114,BY16+BX17-CG16)))</f>
        <v>57.320000000000022</v>
      </c>
      <c r="BZ17" s="13">
        <f>BY17*VLOOKUP('Données projet'!$B$12,Paramètres!$A$1:$I$89,3,0)*VLOOKUP('Données projet'!$B$12,Paramètres!$A$1:$I$89,5,0)</f>
        <v>54.545712000000016</v>
      </c>
      <c r="CA17" s="13">
        <f t="shared" si="39"/>
        <v>15.781698579109328</v>
      </c>
      <c r="CB17" s="20">
        <f t="shared" si="10"/>
        <v>122.48690675861542</v>
      </c>
      <c r="CC17" s="59">
        <f t="shared" si="11"/>
        <v>396.26468453639319</v>
      </c>
      <c r="CD17" s="59">
        <f ca="1">AVERAGE(OFFSET($CC$3,0,0,'Données projet'!$E$12+1,1))-AVERAGE(OFFSET($H$3,0,0,'Données projet'!$E$12+1,1))</f>
        <v>603.61135046904178</v>
      </c>
      <c r="CE17" s="59">
        <f t="shared" si="40"/>
        <v>272.84936867513068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4.5045000000000002</v>
      </c>
      <c r="D18" s="11">
        <f t="shared" si="32"/>
        <v>1.7422649223468873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26.521352828209597</v>
      </c>
      <c r="H18" s="67">
        <f t="shared" si="1"/>
        <v>267.54644890642084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38.46153846153846</v>
      </c>
      <c r="L18" s="12">
        <f>VLOOKUP(A18,'Données projet'!$A$35:$I$55,9,0)</f>
        <v>4.7435897435897427</v>
      </c>
      <c r="M18" s="12">
        <f t="array" ref="M18">INDEX(L:L,MIN(IF(ISNUMBER(L18:L214),ROW(L18:L214),"")))</f>
        <v>4.7435897435897427</v>
      </c>
      <c r="N18" s="13">
        <f>IF('Données projet'!$A$36&gt;35,N17+M18-V17,IF(A18&lt;'Données projet'!$A$36,$K$205^A18,IF(A18='Données projet'!$A$36,'Données projet'!$B$36,N17+M18-V17)))</f>
        <v>38.46153846153846</v>
      </c>
      <c r="O18" s="13">
        <f>N18*VLOOKUP('Données projet'!$B$9,Paramètres!$A$1:$I$89,3,0)*VLOOKUP('Données projet'!$B$9,Paramètres!$A$1:$I$89,5,0)</f>
        <v>40.200000000000003</v>
      </c>
      <c r="P18" s="13">
        <f t="shared" si="33"/>
        <v>12.051641531440687</v>
      </c>
      <c r="Q18" s="20">
        <f t="shared" si="2"/>
        <v>91.004942333925854</v>
      </c>
      <c r="R18" s="59">
        <f t="shared" si="0"/>
        <v>366.00494233392584</v>
      </c>
      <c r="S18" s="59">
        <f ca="1">AVERAGE(OFFSET($R$3,0,0,'Données projet'!$E$9+1,1))-AVERAGE(OFFSET($H$3,0,0,'Données projet'!$E$9+1,1))</f>
        <v>225.9892575177542</v>
      </c>
      <c r="T18" s="59">
        <f t="shared" si="34"/>
        <v>215.88467215650428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0.215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4.0942857142857143</v>
      </c>
      <c r="AI18" s="13">
        <f>IF('Données projet'!$A$62&gt;35,AI17+AH18-AQ17,IF(A18&lt;'Données projet'!$A$62,$AF$205^A18,IF(A18='Données projet'!$A$62,'Données projet'!$B$62,AI17+AH18-AQ17)))</f>
        <v>61.414285714285739</v>
      </c>
      <c r="AJ18" s="13">
        <f>AI18*VLOOKUP('Données projet'!$B$10,Paramètres!$A$1:$I$89,3,0)*VLOOKUP('Données projet'!$B$10,Paramètres!$A$1:$I$89,5,0)</f>
        <v>62.274085714285746</v>
      </c>
      <c r="AK18" s="13">
        <f t="shared" si="35"/>
        <v>17.741978484825932</v>
      </c>
      <c r="AL18" s="20">
        <f t="shared" si="4"/>
        <v>139.36131181345283</v>
      </c>
      <c r="AM18" s="59">
        <f t="shared" si="5"/>
        <v>414.36131181345286</v>
      </c>
      <c r="AN18" s="59">
        <f ca="1">AVERAGE(OFFSET($AM$3,0,0,'Données projet'!$E$10+1,1))-AVERAGE(OFFSET($H$3,0,0,'Données projet'!$E$10+1,1))</f>
        <v>644.15138437063933</v>
      </c>
      <c r="AO18" s="59">
        <f t="shared" si="36"/>
        <v>289.3097279858207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4.0942857142857143</v>
      </c>
      <c r="BD18" s="12">
        <f>IF('Données projet'!$A$88&gt;35,BD17+BC18-BL17,IF(A18&lt;'Données projet'!$A$88,$BA$205^A18,IF(A18='Données projet'!$A$88,'Données projet'!$B$88,BD17+BC18-BL17)))</f>
        <v>61.414285714285739</v>
      </c>
      <c r="BE18" s="13">
        <f>BD18*VLOOKUP('Données projet'!$B$11,Paramètres!$A$1:$I$89,3,0)*VLOOKUP('Données projet'!$B$11,Paramètres!$A$1:$I$89,5,0)</f>
        <v>55.567645714285739</v>
      </c>
      <c r="BF18" s="13">
        <f t="shared" si="37"/>
        <v>16.042674851771864</v>
      </c>
      <c r="BG18" s="20">
        <f t="shared" si="7"/>
        <v>124.72130831921697</v>
      </c>
      <c r="BH18" s="59">
        <f t="shared" si="8"/>
        <v>399.72130831921697</v>
      </c>
      <c r="BI18" s="59">
        <f ca="1">AVERAGE(OFFSET($BH$3,0,0,'Données projet'!$E$11+1,1))-AVERAGE(OFFSET($H$3,0,0,'Données projet'!$E$11+1,1))</f>
        <v>573.17174498173017</v>
      </c>
      <c r="BJ18" s="59">
        <f t="shared" si="38"/>
        <v>260.48854096157231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4.0942857142857143</v>
      </c>
      <c r="BY18" s="12">
        <f>IF('Données projet'!$A$114&gt;35,BY17+BX18-CG17,IF(A18&lt;'Données projet'!$A$114,$BV$205^A18,IF(A18='Données projet'!$A$114,'Données projet'!$B$114,BY17+BX18-CG17)))</f>
        <v>61.414285714285739</v>
      </c>
      <c r="BZ18" s="13">
        <f>BY18*VLOOKUP('Données projet'!$B$12,Paramètres!$A$1:$I$89,3,0)*VLOOKUP('Données projet'!$B$12,Paramètres!$A$1:$I$89,5,0)</f>
        <v>58.441834285714307</v>
      </c>
      <c r="CA18" s="13">
        <f t="shared" si="39"/>
        <v>16.773714568834297</v>
      </c>
      <c r="CB18" s="20">
        <f t="shared" si="10"/>
        <v>131.0004142550055</v>
      </c>
      <c r="CC18" s="59">
        <f t="shared" si="11"/>
        <v>406.00041425500547</v>
      </c>
      <c r="CD18" s="59">
        <f ca="1">AVERAGE(OFFSET($CC$3,0,0,'Données projet'!$E$12+1,1))-AVERAGE(OFFSET($H$3,0,0,'Données projet'!$E$12+1,1))</f>
        <v>603.61135046904178</v>
      </c>
      <c r="CE18" s="59">
        <f t="shared" si="40"/>
        <v>272.84936867513068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4.8048000000000002</v>
      </c>
      <c r="D19" s="11">
        <f t="shared" si="32"/>
        <v>1.8445072775045881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28.230392300984395</v>
      </c>
      <c r="H19" s="67">
        <f t="shared" si="1"/>
        <v>268.24754350832052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6.1538461538461533</v>
      </c>
      <c r="N19" s="13">
        <f>IF('Données projet'!$A$36&gt;35,N18+M19-V18,IF(A19&lt;'Données projet'!$A$36,$K$205^A19,IF(A19='Données projet'!$A$36,'Données projet'!$B$36,N18+M19-V18)))</f>
        <v>44.615384615384613</v>
      </c>
      <c r="O19" s="13">
        <f>N19*VLOOKUP('Données projet'!$B$9,Paramètres!$A$1:$I$89,3,0)*VLOOKUP('Données projet'!$B$9,Paramètres!$A$1:$I$89,5,0)</f>
        <v>46.632000000000005</v>
      </c>
      <c r="P19" s="13">
        <f t="shared" si="33"/>
        <v>13.740460394752377</v>
      </c>
      <c r="Q19" s="20">
        <f t="shared" si="2"/>
        <v>105.14870185419373</v>
      </c>
      <c r="R19" s="59">
        <f t="shared" si="0"/>
        <v>381.37092407641597</v>
      </c>
      <c r="S19" s="59">
        <f ca="1">AVERAGE(OFFSET($R$3,0,0,'Données projet'!$E$9+1,1))-AVERAGE(OFFSET($H$3,0,0,'Données projet'!$E$9+1,1))</f>
        <v>225.9892575177542</v>
      </c>
      <c r="T19" s="59">
        <f t="shared" si="34"/>
        <v>215.88467215650428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4.0942857142857143</v>
      </c>
      <c r="AI19" s="13">
        <f>IF('Données projet'!$A$62&gt;35,AI18+AH19-AQ18,IF(A19&lt;'Données projet'!$A$62,$AF$205^A19,IF(A19='Données projet'!$A$62,'Données projet'!$B$62,AI18+AH19-AQ18)))</f>
        <v>65.508571428571457</v>
      </c>
      <c r="AJ19" s="13">
        <f>AI19*VLOOKUP('Données projet'!$B$10,Paramètres!$A$1:$I$89,3,0)*VLOOKUP('Données projet'!$B$10,Paramètres!$A$1:$I$89,5,0)</f>
        <v>66.425691428571454</v>
      </c>
      <c r="AK19" s="13">
        <f t="shared" si="35"/>
        <v>18.783141422895284</v>
      </c>
      <c r="AL19" s="20">
        <f t="shared" si="4"/>
        <v>148.40538388297122</v>
      </c>
      <c r="AM19" s="59">
        <f t="shared" si="5"/>
        <v>424.62760610519342</v>
      </c>
      <c r="AN19" s="59">
        <f ca="1">AVERAGE(OFFSET($AM$3,0,0,'Données projet'!$E$10+1,1))-AVERAGE(OFFSET($H$3,0,0,'Données projet'!$E$10+1,1))</f>
        <v>644.15138437063933</v>
      </c>
      <c r="AO19" s="59">
        <f t="shared" si="36"/>
        <v>289.3097279858207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4.0942857142857143</v>
      </c>
      <c r="BD19" s="12">
        <f>IF('Données projet'!$A$88&gt;35,BD18+BC19-BL18,IF(A19&lt;'Données projet'!$A$88,$BA$205^A19,IF(A19='Données projet'!$A$88,'Données projet'!$B$88,BD18+BC19-BL18)))</f>
        <v>65.508571428571457</v>
      </c>
      <c r="BE19" s="13">
        <f>BD19*VLOOKUP('Données projet'!$B$11,Paramètres!$A$1:$I$89,3,0)*VLOOKUP('Données projet'!$B$11,Paramètres!$A$1:$I$89,5,0)</f>
        <v>59.272155428571445</v>
      </c>
      <c r="BF19" s="13">
        <f t="shared" si="37"/>
        <v>16.984116557241595</v>
      </c>
      <c r="BG19" s="20">
        <f t="shared" si="7"/>
        <v>132.81300704195772</v>
      </c>
      <c r="BH19" s="59">
        <f t="shared" si="8"/>
        <v>409.03522926417997</v>
      </c>
      <c r="BI19" s="59">
        <f ca="1">AVERAGE(OFFSET($BH$3,0,0,'Données projet'!$E$11+1,1))-AVERAGE(OFFSET($H$3,0,0,'Données projet'!$E$11+1,1))</f>
        <v>573.17174498173017</v>
      </c>
      <c r="BJ19" s="59">
        <f t="shared" si="38"/>
        <v>260.48854096157231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4.0942857142857143</v>
      </c>
      <c r="BY19" s="12">
        <f>IF('Données projet'!$A$114&gt;35,BY18+BX19-CG18,IF(A19&lt;'Données projet'!$A$114,$BV$205^A19,IF(A19='Données projet'!$A$114,'Données projet'!$B$114,BY18+BX19-CG18)))</f>
        <v>65.508571428571457</v>
      </c>
      <c r="BZ19" s="13">
        <f>BY19*VLOOKUP('Données projet'!$B$12,Paramètres!$A$1:$I$89,3,0)*VLOOKUP('Données projet'!$B$12,Paramètres!$A$1:$I$89,5,0)</f>
        <v>62.337956571428599</v>
      </c>
      <c r="CA19" s="13">
        <f t="shared" si="39"/>
        <v>17.758056307144972</v>
      </c>
      <c r="CB19" s="20">
        <f t="shared" si="10"/>
        <v>139.50055576351562</v>
      </c>
      <c r="CC19" s="59">
        <f t="shared" si="11"/>
        <v>415.72277798573782</v>
      </c>
      <c r="CD19" s="59">
        <f ca="1">AVERAGE(OFFSET($CC$3,0,0,'Données projet'!$E$12+1,1))-AVERAGE(OFFSET($H$3,0,0,'Données projet'!$E$12+1,1))</f>
        <v>603.61135046904178</v>
      </c>
      <c r="CE19" s="59">
        <f t="shared" si="40"/>
        <v>272.84936867513068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5.1051000000000002</v>
      </c>
      <c r="D20" s="11">
        <f t="shared" si="32"/>
        <v>1.9460080090444776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29.936283126118667</v>
      </c>
      <c r="H20" s="67">
        <f t="shared" si="1"/>
        <v>268.94734644908584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6.1538461538461533</v>
      </c>
      <c r="N20" s="13">
        <f>IF('Données projet'!$A$36&gt;35,N19+M20-V19,IF(A20&lt;'Données projet'!$A$36,$K$205^A20,IF(A20='Données projet'!$A$36,'Données projet'!$B$36,N19+M20-V19)))</f>
        <v>50.769230769230766</v>
      </c>
      <c r="O20" s="13">
        <f>N20*VLOOKUP('Données projet'!$B$9,Paramètres!$A$1:$I$89,3,0)*VLOOKUP('Données projet'!$B$9,Paramètres!$A$1:$I$89,5,0)</f>
        <v>53.064000000000007</v>
      </c>
      <c r="P20" s="13">
        <f t="shared" si="33"/>
        <v>15.402291234172077</v>
      </c>
      <c r="Q20" s="20">
        <f t="shared" si="2"/>
        <v>119.24545723284972</v>
      </c>
      <c r="R20" s="59">
        <f t="shared" si="0"/>
        <v>396.68990167729419</v>
      </c>
      <c r="S20" s="59">
        <f ca="1">AVERAGE(OFFSET($R$3,0,0,'Données projet'!$E$9+1,1))-AVERAGE(OFFSET($H$3,0,0,'Données projet'!$E$9+1,1))</f>
        <v>225.9892575177542</v>
      </c>
      <c r="T20" s="59">
        <f t="shared" si="34"/>
        <v>215.88467215650428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4.0942857142857143</v>
      </c>
      <c r="AI20" s="13">
        <f>IF('Données projet'!$A$62&gt;35,AI19+AH20-AQ19,IF(A20&lt;'Données projet'!$A$62,$AF$205^A20,IF(A20='Données projet'!$A$62,'Données projet'!$B$62,AI19+AH20-AQ19)))</f>
        <v>69.602857142857175</v>
      </c>
      <c r="AJ20" s="13">
        <f>AI20*VLOOKUP('Données projet'!$B$10,Paramètres!$A$1:$I$89,3,0)*VLOOKUP('Données projet'!$B$10,Paramètres!$A$1:$I$89,5,0)</f>
        <v>70.577297142857176</v>
      </c>
      <c r="AK20" s="13">
        <f t="shared" si="35"/>
        <v>19.816752197053003</v>
      </c>
      <c r="AL20" s="20">
        <f t="shared" si="4"/>
        <v>157.43630260034357</v>
      </c>
      <c r="AM20" s="59">
        <f t="shared" si="5"/>
        <v>434.880747044788</v>
      </c>
      <c r="AN20" s="59">
        <f ca="1">AVERAGE(OFFSET($AM$3,0,0,'Données projet'!$E$10+1,1))-AVERAGE(OFFSET($H$3,0,0,'Données projet'!$E$10+1,1))</f>
        <v>644.15138437063933</v>
      </c>
      <c r="AO20" s="59">
        <f t="shared" si="36"/>
        <v>289.3097279858207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4.0942857142857143</v>
      </c>
      <c r="BD20" s="12">
        <f>IF('Données projet'!$A$88&gt;35,BD19+BC20-BL19,IF(A20&lt;'Données projet'!$A$88,$BA$205^A20,IF(A20='Données projet'!$A$88,'Données projet'!$B$88,BD19+BC20-BL19)))</f>
        <v>69.602857142857175</v>
      </c>
      <c r="BE20" s="13">
        <f>BD20*VLOOKUP('Données projet'!$B$11,Paramètres!$A$1:$I$89,3,0)*VLOOKUP('Données projet'!$B$11,Paramètres!$A$1:$I$89,5,0)</f>
        <v>62.976665142857165</v>
      </c>
      <c r="BF20" s="13">
        <f t="shared" si="37"/>
        <v>17.918729435240664</v>
      </c>
      <c r="BG20" s="20">
        <f t="shared" si="7"/>
        <v>140.89281222352039</v>
      </c>
      <c r="BH20" s="59">
        <f t="shared" si="8"/>
        <v>418.33725666796488</v>
      </c>
      <c r="BI20" s="59">
        <f ca="1">AVERAGE(OFFSET($BH$3,0,0,'Données projet'!$E$11+1,1))-AVERAGE(OFFSET($H$3,0,0,'Données projet'!$E$11+1,1))</f>
        <v>573.17174498173017</v>
      </c>
      <c r="BJ20" s="59">
        <f t="shared" si="38"/>
        <v>260.48854096157231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4.0942857142857143</v>
      </c>
      <c r="BY20" s="12">
        <f>IF('Données projet'!$A$114&gt;35,BY19+BX20-CG19,IF(A20&lt;'Données projet'!$A$114,$BV$205^A20,IF(A20='Données projet'!$A$114,'Données projet'!$B$114,BY19+BX20-CG19)))</f>
        <v>69.602857142857175</v>
      </c>
      <c r="BZ20" s="13">
        <f>BY20*VLOOKUP('Données projet'!$B$12,Paramètres!$A$1:$I$89,3,0)*VLOOKUP('Données projet'!$B$12,Paramètres!$A$1:$I$89,5,0)</f>
        <v>66.23407885714289</v>
      </c>
      <c r="CA20" s="13">
        <f t="shared" si="39"/>
        <v>18.735258038948551</v>
      </c>
      <c r="CB20" s="20">
        <f t="shared" si="10"/>
        <v>147.98826176069258</v>
      </c>
      <c r="CC20" s="59">
        <f t="shared" si="11"/>
        <v>425.43270620513704</v>
      </c>
      <c r="CD20" s="59">
        <f ca="1">AVERAGE(OFFSET($CC$3,0,0,'Données projet'!$E$12+1,1))-AVERAGE(OFFSET($H$3,0,0,'Données projet'!$E$12+1,1))</f>
        <v>603.61135046904178</v>
      </c>
      <c r="CE20" s="59">
        <f t="shared" si="40"/>
        <v>272.84936867513068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5.4054000000000002</v>
      </c>
      <c r="D21" s="11">
        <f t="shared" si="32"/>
        <v>2.0468157111336969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31.639231615690434</v>
      </c>
      <c r="H21" s="67">
        <f t="shared" si="1"/>
        <v>269.64594236355788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6.1538461538461533</v>
      </c>
      <c r="N21" s="13">
        <f>IF('Données projet'!$A$36&gt;35,N20+M21-V20,IF(A21&lt;'Données projet'!$A$36,$K$205^A21,IF(A21='Données projet'!$A$36,'Données projet'!$B$36,N20+M21-V20)))</f>
        <v>56.92307692307692</v>
      </c>
      <c r="O21" s="13">
        <f>N21*VLOOKUP('Données projet'!$B$9,Paramètres!$A$1:$I$89,3,0)*VLOOKUP('Données projet'!$B$9,Paramètres!$A$1:$I$89,5,0)</f>
        <v>59.496000000000009</v>
      </c>
      <c r="P21" s="13">
        <f t="shared" si="33"/>
        <v>17.040779507379909</v>
      </c>
      <c r="Q21" s="20">
        <f t="shared" si="2"/>
        <v>133.30155764202001</v>
      </c>
      <c r="R21" s="59">
        <f t="shared" si="0"/>
        <v>411.96822430868667</v>
      </c>
      <c r="S21" s="59">
        <f ca="1">AVERAGE(OFFSET($R$3,0,0,'Données projet'!$E$9+1,1))-AVERAGE(OFFSET($H$3,0,0,'Données projet'!$E$9+1,1))</f>
        <v>225.9892575177542</v>
      </c>
      <c r="T21" s="59">
        <f t="shared" si="34"/>
        <v>215.88467215650428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4.0942857142857143</v>
      </c>
      <c r="AI21" s="13">
        <f>IF('Données projet'!$A$62&gt;35,AI20+AH21-AQ20,IF(A21&lt;'Données projet'!$A$62,$AF$205^A21,IF(A21='Données projet'!$A$62,'Données projet'!$B$62,AI20+AH21-AQ20)))</f>
        <v>73.697142857142893</v>
      </c>
      <c r="AJ21" s="13">
        <f>AI21*VLOOKUP('Données projet'!$B$10,Paramètres!$A$1:$I$89,3,0)*VLOOKUP('Données projet'!$B$10,Paramètres!$A$1:$I$89,5,0)</f>
        <v>74.728902857142899</v>
      </c>
      <c r="AK21" s="13">
        <f t="shared" si="35"/>
        <v>20.843305655503205</v>
      </c>
      <c r="AL21" s="20">
        <f t="shared" si="4"/>
        <v>166.45492982619194</v>
      </c>
      <c r="AM21" s="59">
        <f t="shared" si="5"/>
        <v>445.12159649285866</v>
      </c>
      <c r="AN21" s="59">
        <f ca="1">AVERAGE(OFFSET($AM$3,0,0,'Données projet'!$E$10+1,1))-AVERAGE(OFFSET($H$3,0,0,'Données projet'!$E$10+1,1))</f>
        <v>644.15138437063933</v>
      </c>
      <c r="AO21" s="59">
        <f t="shared" si="36"/>
        <v>289.3097279858207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4.0942857142857143</v>
      </c>
      <c r="BD21" s="12">
        <f>IF('Données projet'!$A$88&gt;35,BD20+BC21-BL20,IF(A21&lt;'Données projet'!$A$88,$BA$205^A21,IF(A21='Données projet'!$A$88,'Données projet'!$B$88,BD20+BC21-BL20)))</f>
        <v>73.697142857142893</v>
      </c>
      <c r="BE21" s="13">
        <f>BD21*VLOOKUP('Données projet'!$B$11,Paramètres!$A$1:$I$89,3,0)*VLOOKUP('Données projet'!$B$11,Paramètres!$A$1:$I$89,5,0)</f>
        <v>66.681174857142892</v>
      </c>
      <c r="BF21" s="13">
        <f t="shared" si="37"/>
        <v>18.846960938055496</v>
      </c>
      <c r="BG21" s="20">
        <f t="shared" si="7"/>
        <v>148.96150317663719</v>
      </c>
      <c r="BH21" s="59">
        <f t="shared" si="8"/>
        <v>427.62816984330391</v>
      </c>
      <c r="BI21" s="59">
        <f ca="1">AVERAGE(OFFSET($BH$3,0,0,'Données projet'!$E$11+1,1))-AVERAGE(OFFSET($H$3,0,0,'Données projet'!$E$11+1,1))</f>
        <v>573.17174498173017</v>
      </c>
      <c r="BJ21" s="59">
        <f t="shared" si="38"/>
        <v>260.48854096157231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4.0942857142857143</v>
      </c>
      <c r="BY21" s="12">
        <f>IF('Données projet'!$A$114&gt;35,BY20+BX21-CG20,IF(A21&lt;'Données projet'!$A$114,$BV$205^A21,IF(A21='Données projet'!$A$114,'Données projet'!$B$114,BY20+BX21-CG20)))</f>
        <v>73.697142857142893</v>
      </c>
      <c r="BZ21" s="13">
        <f>BY21*VLOOKUP('Données projet'!$B$12,Paramètres!$A$1:$I$89,3,0)*VLOOKUP('Données projet'!$B$12,Paramètres!$A$1:$I$89,5,0)</f>
        <v>70.130201142857175</v>
      </c>
      <c r="CA21" s="13">
        <f t="shared" si="39"/>
        <v>19.705787606235543</v>
      </c>
      <c r="CB21" s="20">
        <f t="shared" si="10"/>
        <v>156.46434707133648</v>
      </c>
      <c r="CC21" s="59">
        <f t="shared" si="11"/>
        <v>435.13101373800316</v>
      </c>
      <c r="CD21" s="59">
        <f ca="1">AVERAGE(OFFSET($CC$3,0,0,'Données projet'!$E$12+1,1))-AVERAGE(OFFSET($H$3,0,0,'Données projet'!$E$12+1,1))</f>
        <v>603.61135046904178</v>
      </c>
      <c r="CE21" s="59">
        <f t="shared" si="40"/>
        <v>272.84936867513068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5.7057000000000002</v>
      </c>
      <c r="D22" s="11">
        <f t="shared" si="32"/>
        <v>2.1469732736377769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33.339419863514777</v>
      </c>
      <c r="H22" s="67">
        <f t="shared" si="1"/>
        <v>270.34340595158579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6.1538461538461533</v>
      </c>
      <c r="N22" s="13">
        <f>IF('Données projet'!$A$36&gt;35,N21+M22-V21,IF(A22&lt;'Données projet'!$A$36,$K$205^A22,IF(A22='Données projet'!$A$36,'Données projet'!$B$36,N21+M22-V21)))</f>
        <v>63.076923076923073</v>
      </c>
      <c r="O22" s="13">
        <f>N22*VLOOKUP('Données projet'!$B$9,Paramètres!$A$1:$I$89,3,0)*VLOOKUP('Données projet'!$B$9,Paramètres!$A$1:$I$89,5,0)</f>
        <v>65.928000000000011</v>
      </c>
      <c r="P22" s="13">
        <f t="shared" si="33"/>
        <v>18.658736410003279</v>
      </c>
      <c r="Q22" s="20">
        <f t="shared" si="2"/>
        <v>147.32189924742238</v>
      </c>
      <c r="R22" s="59">
        <f t="shared" si="0"/>
        <v>427.21078813631124</v>
      </c>
      <c r="S22" s="59">
        <f ca="1">AVERAGE(OFFSET($R$3,0,0,'Données projet'!$E$9+1,1))-AVERAGE(OFFSET($H$3,0,0,'Données projet'!$E$9+1,1))</f>
        <v>225.9892575177542</v>
      </c>
      <c r="T22" s="59">
        <f t="shared" si="34"/>
        <v>215.88467215650428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4.0942857142857143</v>
      </c>
      <c r="AI22" s="13">
        <f>IF('Données projet'!$A$62&gt;35,AI21+AH22-AQ21,IF(A22&lt;'Données projet'!$A$62,$AF$205^A22,IF(A22='Données projet'!$A$62,'Données projet'!$B$62,AI21+AH22-AQ21)))</f>
        <v>77.791428571428611</v>
      </c>
      <c r="AJ22" s="13">
        <f>AI22*VLOOKUP('Données projet'!$B$10,Paramètres!$A$1:$I$89,3,0)*VLOOKUP('Données projet'!$B$10,Paramètres!$A$1:$I$89,5,0)</f>
        <v>78.880508571428621</v>
      </c>
      <c r="AK22" s="13">
        <f t="shared" si="35"/>
        <v>21.863238557926771</v>
      </c>
      <c r="AL22" s="20">
        <f t="shared" si="4"/>
        <v>175.462026250294</v>
      </c>
      <c r="AM22" s="59">
        <f t="shared" si="5"/>
        <v>455.35091513918286</v>
      </c>
      <c r="AN22" s="59">
        <f ca="1">AVERAGE(OFFSET($AM$3,0,0,'Données projet'!$E$10+1,1))-AVERAGE(OFFSET($H$3,0,0,'Données projet'!$E$10+1,1))</f>
        <v>644.15138437063933</v>
      </c>
      <c r="AO22" s="59">
        <f t="shared" si="36"/>
        <v>289.3097279858207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4.0942857142857143</v>
      </c>
      <c r="BD22" s="12">
        <f>IF('Données projet'!$A$88&gt;35,BD21+BC22-BL21,IF(A22&lt;'Données projet'!$A$88,$BA$205^A22,IF(A22='Données projet'!$A$88,'Données projet'!$B$88,BD21+BC22-BL21)))</f>
        <v>77.791428571428611</v>
      </c>
      <c r="BE22" s="13">
        <f>BD22*VLOOKUP('Données projet'!$B$11,Paramètres!$A$1:$I$89,3,0)*VLOOKUP('Données projet'!$B$11,Paramètres!$A$1:$I$89,5,0)</f>
        <v>70.385684571428612</v>
      </c>
      <c r="BF22" s="13">
        <f t="shared" si="37"/>
        <v>19.769205993092573</v>
      </c>
      <c r="BG22" s="20">
        <f t="shared" si="7"/>
        <v>157.01976773320771</v>
      </c>
      <c r="BH22" s="59">
        <f t="shared" si="8"/>
        <v>436.9086566220966</v>
      </c>
      <c r="BI22" s="59">
        <f ca="1">AVERAGE(OFFSET($BH$3,0,0,'Données projet'!$E$11+1,1))-AVERAGE(OFFSET($H$3,0,0,'Données projet'!$E$11+1,1))</f>
        <v>573.17174498173017</v>
      </c>
      <c r="BJ22" s="59">
        <f t="shared" si="38"/>
        <v>260.48854096157231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4.0942857142857143</v>
      </c>
      <c r="BY22" s="12">
        <f>IF('Données projet'!$A$114&gt;35,BY21+BX22-CG21,IF(A22&lt;'Données projet'!$A$114,$BV$205^A22,IF(A22='Données projet'!$A$114,'Données projet'!$B$114,BY21+BX22-CG21)))</f>
        <v>77.791428571428611</v>
      </c>
      <c r="BZ22" s="13">
        <f>BY22*VLOOKUP('Données projet'!$B$12,Paramètres!$A$1:$I$89,3,0)*VLOOKUP('Données projet'!$B$12,Paramètres!$A$1:$I$89,5,0)</f>
        <v>74.026323428571473</v>
      </c>
      <c r="CA22" s="13">
        <f t="shared" si="39"/>
        <v>20.670057932639512</v>
      </c>
      <c r="CB22" s="20">
        <f t="shared" si="10"/>
        <v>164.92953087077578</v>
      </c>
      <c r="CC22" s="59">
        <f t="shared" si="11"/>
        <v>444.81841975966461</v>
      </c>
      <c r="CD22" s="59">
        <f ca="1">AVERAGE(OFFSET($CC$3,0,0,'Données projet'!$E$12+1,1))-AVERAGE(OFFSET($H$3,0,0,'Données projet'!$E$12+1,1))</f>
        <v>603.61135046904178</v>
      </c>
      <c r="CE22" s="59">
        <f t="shared" si="40"/>
        <v>272.84936867513068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6.0060000000000002</v>
      </c>
      <c r="D23" s="11">
        <f t="shared" si="32"/>
        <v>2.2465188167092132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35.037009713046139</v>
      </c>
      <c r="H23" s="67">
        <f t="shared" si="1"/>
        <v>271.03980360576855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69.230769230769226</v>
      </c>
      <c r="L23" s="12">
        <f>VLOOKUP(A23,'Données projet'!$A$35:$I$55,9,0)</f>
        <v>6.1538461538461533</v>
      </c>
      <c r="M23" s="12">
        <f t="array" ref="M23">INDEX(L:L,MIN(IF(ISNUMBER(L23:L219),ROW(L23:L219),"")))</f>
        <v>6.1538461538461533</v>
      </c>
      <c r="N23" s="13">
        <f>IF('Données projet'!$A$36&gt;35,N22+M23-V22,IF(A23&lt;'Données projet'!$A$36,$K$205^A23,IF(A23='Données projet'!$A$36,'Données projet'!$B$36,N22+M23-V22)))</f>
        <v>69.230769230769226</v>
      </c>
      <c r="O23" s="13">
        <f>N23*VLOOKUP('Données projet'!$B$9,Paramètres!$A$1:$I$89,3,0)*VLOOKUP('Données projet'!$B$9,Paramètres!$A$1:$I$89,5,0)</f>
        <v>72.36</v>
      </c>
      <c r="P23" s="13">
        <f t="shared" si="33"/>
        <v>20.258392951825481</v>
      </c>
      <c r="Q23" s="20">
        <f t="shared" si="2"/>
        <v>161.31036772442937</v>
      </c>
      <c r="R23" s="59">
        <f t="shared" si="0"/>
        <v>442.42147883554048</v>
      </c>
      <c r="S23" s="59">
        <f ca="1">AVERAGE(OFFSET($R$3,0,0,'Données projet'!$E$9+1,1))-AVERAGE(OFFSET($H$3,0,0,'Données projet'!$E$9+1,1))</f>
        <v>225.9892575177542</v>
      </c>
      <c r="T23" s="59">
        <f t="shared" si="34"/>
        <v>215.88467215650428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26.282051282051281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0.215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6.5032563186604611</v>
      </c>
      <c r="AB23" s="21">
        <f>EXP(-LN(2)/2)*AB22+(1-EXP(-LN(2)/2))/(LN(2)/2)*V23*Y23*VLOOKUP('Données projet'!$B$9,Paramètres!$A$1:$I$89,3,0)*0.475*44/12</f>
        <v>0</v>
      </c>
      <c r="AC23" s="22">
        <f t="shared" si="3"/>
        <v>6.5032563186604611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4.0942857142857143</v>
      </c>
      <c r="AI23" s="13">
        <f>IF('Données projet'!$A$62&gt;35,AI22+AH23-AQ22,IF(A23&lt;'Données projet'!$A$62,$AF$205^A23,IF(A23='Données projet'!$A$62,'Données projet'!$B$62,AI22+AH23-AQ22)))</f>
        <v>81.885714285714329</v>
      </c>
      <c r="AJ23" s="13">
        <f>AI23*VLOOKUP('Données projet'!$B$10,Paramètres!$A$1:$I$89,3,0)*VLOOKUP('Données projet'!$B$10,Paramètres!$A$1:$I$89,5,0)</f>
        <v>83.032114285714343</v>
      </c>
      <c r="AK23" s="13">
        <f t="shared" si="35"/>
        <v>22.876939092662138</v>
      </c>
      <c r="AL23" s="20">
        <f t="shared" si="4"/>
        <v>184.45826796733903</v>
      </c>
      <c r="AM23" s="59">
        <f t="shared" si="5"/>
        <v>465.5693790784502</v>
      </c>
      <c r="AN23" s="59">
        <f ca="1">AVERAGE(OFFSET($AM$3,0,0,'Données projet'!$E$10+1,1))-AVERAGE(OFFSET($H$3,0,0,'Données projet'!$E$10+1,1))</f>
        <v>644.15138437063933</v>
      </c>
      <c r="AO23" s="59">
        <f t="shared" si="36"/>
        <v>289.3097279858207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4.0942857142857143</v>
      </c>
      <c r="BD23" s="12">
        <f>IF('Données projet'!$A$88&gt;35,BD22+BC23-BL22,IF(A23&lt;'Données projet'!$A$88,$BA$205^A23,IF(A23='Données projet'!$A$88,'Données projet'!$B$88,BD22+BC23-BL22)))</f>
        <v>81.885714285714329</v>
      </c>
      <c r="BE23" s="13">
        <f>BD23*VLOOKUP('Données projet'!$B$11,Paramètres!$A$1:$I$89,3,0)*VLOOKUP('Données projet'!$B$11,Paramètres!$A$1:$I$89,5,0)</f>
        <v>74.090194285714318</v>
      </c>
      <c r="BF23" s="13">
        <f t="shared" si="37"/>
        <v>20.685815608516002</v>
      </c>
      <c r="BG23" s="20">
        <f t="shared" si="7"/>
        <v>165.06821723245113</v>
      </c>
      <c r="BH23" s="59">
        <f t="shared" si="8"/>
        <v>446.17932834356225</v>
      </c>
      <c r="BI23" s="59">
        <f ca="1">AVERAGE(OFFSET($BH$3,0,0,'Données projet'!$E$11+1,1))-AVERAGE(OFFSET($H$3,0,0,'Données projet'!$E$11+1,1))</f>
        <v>573.17174498173017</v>
      </c>
      <c r="BJ23" s="59">
        <f t="shared" si="38"/>
        <v>260.48854096157231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4.0942857142857143</v>
      </c>
      <c r="BY23" s="12">
        <f>IF('Données projet'!$A$114&gt;35,BY22+BX23-CG22,IF(A23&lt;'Données projet'!$A$114,$BV$205^A23,IF(A23='Données projet'!$A$114,'Données projet'!$B$114,BY22+BX23-CG22)))</f>
        <v>81.885714285714329</v>
      </c>
      <c r="BZ23" s="13">
        <f>BY23*VLOOKUP('Données projet'!$B$12,Paramètres!$A$1:$I$89,3,0)*VLOOKUP('Données projet'!$B$12,Paramètres!$A$1:$I$89,5,0)</f>
        <v>77.922445714285757</v>
      </c>
      <c r="CA23" s="13">
        <f t="shared" si="39"/>
        <v>21.628436021220121</v>
      </c>
      <c r="CB23" s="20">
        <f t="shared" si="10"/>
        <v>173.38445235600605</v>
      </c>
      <c r="CC23" s="59">
        <f t="shared" si="11"/>
        <v>454.49556346711722</v>
      </c>
      <c r="CD23" s="59">
        <f ca="1">AVERAGE(OFFSET($CC$3,0,0,'Données projet'!$E$12+1,1))-AVERAGE(OFFSET($H$3,0,0,'Données projet'!$E$12+1,1))</f>
        <v>603.61135046904178</v>
      </c>
      <c r="CE23" s="59">
        <f t="shared" si="40"/>
        <v>272.84936867513068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6.3063000000000002</v>
      </c>
      <c r="D24" s="11">
        <f t="shared" si="32"/>
        <v>2.345486433146434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36.732145909148024</v>
      </c>
      <c r="H24" s="67">
        <f t="shared" si="1"/>
        <v>271.73519470439675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5.8974358974358978</v>
      </c>
      <c r="N24" s="13">
        <f>IF('Données projet'!$A$36&gt;35,N23+M24-V23,IF(A24&lt;'Données projet'!$A$36,$K$205^A24,IF(A24='Données projet'!$A$36,'Données projet'!$B$36,N23+M24-V23)))</f>
        <v>48.84615384615384</v>
      </c>
      <c r="O24" s="13">
        <f>N24*VLOOKUP('Données projet'!$B$9,Paramètres!$A$1:$I$89,3,0)*VLOOKUP('Données projet'!$B$9,Paramètres!$A$1:$I$89,5,0)</f>
        <v>51.053999999999995</v>
      </c>
      <c r="P24" s="13">
        <f t="shared" si="33"/>
        <v>14.885628400243496</v>
      </c>
      <c r="Q24" s="20">
        <f t="shared" si="2"/>
        <v>114.84485279709075</v>
      </c>
      <c r="R24" s="59">
        <f t="shared" si="0"/>
        <v>397.17818613042408</v>
      </c>
      <c r="S24" s="59">
        <f ca="1">AVERAGE(OFFSET($R$3,0,0,'Données projet'!$E$9+1,1))-AVERAGE(OFFSET($H$3,0,0,'Données projet'!$E$9+1,1))</f>
        <v>225.9892575177542</v>
      </c>
      <c r="T24" s="59">
        <f t="shared" si="34"/>
        <v>215.88467215650428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6.3254244326353044</v>
      </c>
      <c r="AB24" s="21">
        <f>EXP(-LN(2)/2)*AB23+(1-EXP(-LN(2)/2))/(LN(2)/2)*V24*Y24*VLOOKUP('Données projet'!$B$9,Paramètres!$A$1:$I$89,3,0)*0.475*44/12</f>
        <v>0</v>
      </c>
      <c r="AC24" s="22">
        <f t="shared" si="3"/>
        <v>6.3254244326353044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4.0942857142857143</v>
      </c>
      <c r="AI24" s="13">
        <f>IF('Données projet'!$A$62&gt;35,AI23+AH24-AQ23,IF(A24&lt;'Données projet'!$A$62,$AF$205^A24,IF(A24='Données projet'!$A$62,'Données projet'!$B$62,AI23+AH24-AQ23)))</f>
        <v>85.980000000000047</v>
      </c>
      <c r="AJ24" s="13">
        <f>AI24*VLOOKUP('Données projet'!$B$10,Paramètres!$A$1:$I$89,3,0)*VLOOKUP('Données projet'!$B$10,Paramètres!$A$1:$I$89,5,0)</f>
        <v>87.183720000000051</v>
      </c>
      <c r="AK24" s="13">
        <f t="shared" si="35"/>
        <v>23.884754436357664</v>
      </c>
      <c r="AL24" s="20">
        <f t="shared" si="4"/>
        <v>193.44425964332299</v>
      </c>
      <c r="AM24" s="59">
        <f t="shared" si="5"/>
        <v>475.77759297665631</v>
      </c>
      <c r="AN24" s="59">
        <f ca="1">AVERAGE(OFFSET($AM$3,0,0,'Données projet'!$E$10+1,1))-AVERAGE(OFFSET($H$3,0,0,'Données projet'!$E$10+1,1))</f>
        <v>644.15138437063933</v>
      </c>
      <c r="AO24" s="59">
        <f t="shared" si="36"/>
        <v>289.3097279858207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4.0942857142857143</v>
      </c>
      <c r="BD24" s="12">
        <f>IF('Données projet'!$A$88&gt;35,BD23+BC24-BL23,IF(A24&lt;'Données projet'!$A$88,$BA$205^A24,IF(A24='Données projet'!$A$88,'Données projet'!$B$88,BD23+BC24-BL23)))</f>
        <v>85.980000000000047</v>
      </c>
      <c r="BE24" s="13">
        <f>BD24*VLOOKUP('Données projet'!$B$11,Paramètres!$A$1:$I$89,3,0)*VLOOKUP('Données projet'!$B$11,Paramètres!$A$1:$I$89,5,0)</f>
        <v>77.794704000000038</v>
      </c>
      <c r="BF24" s="13">
        <f t="shared" si="37"/>
        <v>21.597103708846074</v>
      </c>
      <c r="BG24" s="20">
        <f t="shared" si="7"/>
        <v>173.10739842624028</v>
      </c>
      <c r="BH24" s="59">
        <f t="shared" si="8"/>
        <v>455.44073175957362</v>
      </c>
      <c r="BI24" s="59">
        <f ca="1">AVERAGE(OFFSET($BH$3,0,0,'Données projet'!$E$11+1,1))-AVERAGE(OFFSET($H$3,0,0,'Données projet'!$E$11+1,1))</f>
        <v>573.17174498173017</v>
      </c>
      <c r="BJ24" s="59">
        <f t="shared" si="38"/>
        <v>260.48854096157231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4.0942857142857143</v>
      </c>
      <c r="BY24" s="12">
        <f>IF('Données projet'!$A$114&gt;35,BY23+BX24-CG23,IF(A24&lt;'Données projet'!$A$114,$BV$205^A24,IF(A24='Données projet'!$A$114,'Données projet'!$B$114,BY23+BX24-CG23)))</f>
        <v>85.980000000000047</v>
      </c>
      <c r="BZ24" s="13">
        <f>BY24*VLOOKUP('Données projet'!$B$12,Paramètres!$A$1:$I$89,3,0)*VLOOKUP('Données projet'!$B$12,Paramètres!$A$1:$I$89,5,0)</f>
        <v>81.818568000000042</v>
      </c>
      <c r="CA24" s="13">
        <f t="shared" si="39"/>
        <v>22.581250101549351</v>
      </c>
      <c r="CB24" s="20">
        <f t="shared" si="10"/>
        <v>181.82968319353185</v>
      </c>
      <c r="CC24" s="59">
        <f t="shared" si="11"/>
        <v>464.16301652686514</v>
      </c>
      <c r="CD24" s="59">
        <f ca="1">AVERAGE(OFFSET($CC$3,0,0,'Données projet'!$E$12+1,1))-AVERAGE(OFFSET($H$3,0,0,'Données projet'!$E$12+1,1))</f>
        <v>603.61135046904178</v>
      </c>
      <c r="CE24" s="59">
        <f t="shared" si="40"/>
        <v>272.84936867513068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6.6066000000000003</v>
      </c>
      <c r="D25" s="11">
        <f t="shared" si="32"/>
        <v>2.4439067853446761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38.424958632516002</v>
      </c>
      <c r="H25" s="67">
        <f t="shared" si="1"/>
        <v>272.42963265114201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5.8974358974358978</v>
      </c>
      <c r="N25" s="13">
        <f>IF('Données projet'!$A$36&gt;35,N24+M25-V24,IF(A25&lt;'Données projet'!$A$36,$K$205^A25,IF(A25='Données projet'!$A$36,'Données projet'!$B$36,N24+M25-V24)))</f>
        <v>54.743589743589737</v>
      </c>
      <c r="O25" s="13">
        <f>N25*VLOOKUP('Données projet'!$B$9,Paramètres!$A$1:$I$89,3,0)*VLOOKUP('Données projet'!$B$9,Paramètres!$A$1:$I$89,5,0)</f>
        <v>57.218000000000004</v>
      </c>
      <c r="P25" s="13">
        <f t="shared" si="33"/>
        <v>16.462960458406368</v>
      </c>
      <c r="Q25" s="20">
        <f t="shared" si="2"/>
        <v>128.32767279839109</v>
      </c>
      <c r="R25" s="59">
        <f t="shared" si="0"/>
        <v>411.88322835394661</v>
      </c>
      <c r="S25" s="59">
        <f ca="1">AVERAGE(OFFSET($R$3,0,0,'Données projet'!$E$9+1,1))-AVERAGE(OFFSET($H$3,0,0,'Données projet'!$E$9+1,1))</f>
        <v>225.9892575177542</v>
      </c>
      <c r="T25" s="59">
        <f t="shared" si="34"/>
        <v>215.88467215650428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6.1524553688852777</v>
      </c>
      <c r="AB25" s="21">
        <f>EXP(-LN(2)/2)*AB24+(1-EXP(-LN(2)/2))/(LN(2)/2)*V25*Y25*VLOOKUP('Données projet'!$B$9,Paramètres!$A$1:$I$89,3,0)*0.475*44/12</f>
        <v>0</v>
      </c>
      <c r="AC25" s="22">
        <f t="shared" si="3"/>
        <v>6.1524553688852777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4.0942857142857143</v>
      </c>
      <c r="AI25" s="13">
        <f>IF('Données projet'!$A$62&gt;35,AI24+AH25-AQ24,IF(A25&lt;'Données projet'!$A$62,$AF$205^A25,IF(A25='Données projet'!$A$62,'Données projet'!$B$62,AI24+AH25-AQ24)))</f>
        <v>90.074285714285764</v>
      </c>
      <c r="AJ25" s="13">
        <f>AI25*VLOOKUP('Données projet'!$B$10,Paramètres!$A$1:$I$89,3,0)*VLOOKUP('Données projet'!$B$10,Paramètres!$A$1:$I$89,5,0)</f>
        <v>91.335325714285773</v>
      </c>
      <c r="AK25" s="13">
        <f t="shared" si="35"/>
        <v>24.886996832891736</v>
      </c>
      <c r="AL25" s="20">
        <f t="shared" si="4"/>
        <v>202.42054510300082</v>
      </c>
      <c r="AM25" s="59">
        <f t="shared" si="5"/>
        <v>485.97610065855633</v>
      </c>
      <c r="AN25" s="59">
        <f ca="1">AVERAGE(OFFSET($AM$3,0,0,'Données projet'!$E$10+1,1))-AVERAGE(OFFSET($H$3,0,0,'Données projet'!$E$10+1,1))</f>
        <v>644.15138437063933</v>
      </c>
      <c r="AO25" s="59">
        <f t="shared" si="36"/>
        <v>289.3097279858207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4.0942857142857143</v>
      </c>
      <c r="BD25" s="12">
        <f>IF('Données projet'!$A$88&gt;35,BD24+BC25-BL24,IF(A25&lt;'Données projet'!$A$88,$BA$205^A25,IF(A25='Données projet'!$A$88,'Données projet'!$B$88,BD24+BC25-BL24)))</f>
        <v>90.074285714285764</v>
      </c>
      <c r="BE25" s="13">
        <f>BD25*VLOOKUP('Données projet'!$B$11,Paramètres!$A$1:$I$89,3,0)*VLOOKUP('Données projet'!$B$11,Paramètres!$A$1:$I$89,5,0)</f>
        <v>81.499213714285759</v>
      </c>
      <c r="BF25" s="13">
        <f t="shared" si="37"/>
        <v>22.503352631648468</v>
      </c>
      <c r="BG25" s="20">
        <f t="shared" si="7"/>
        <v>181.13780305250211</v>
      </c>
      <c r="BH25" s="59">
        <f t="shared" si="8"/>
        <v>464.69335860805768</v>
      </c>
      <c r="BI25" s="59">
        <f ca="1">AVERAGE(OFFSET($BH$3,0,0,'Données projet'!$E$11+1,1))-AVERAGE(OFFSET($H$3,0,0,'Données projet'!$E$11+1,1))</f>
        <v>573.17174498173017</v>
      </c>
      <c r="BJ25" s="59">
        <f t="shared" si="38"/>
        <v>260.48854096157231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4.0942857142857143</v>
      </c>
      <c r="BY25" s="12">
        <f>IF('Données projet'!$A$114&gt;35,BY24+BX25-CG24,IF(A25&lt;'Données projet'!$A$114,$BV$205^A25,IF(A25='Données projet'!$A$114,'Données projet'!$B$114,BY24+BX25-CG24)))</f>
        <v>90.074285714285764</v>
      </c>
      <c r="BZ25" s="13">
        <f>BY25*VLOOKUP('Données projet'!$B$12,Paramètres!$A$1:$I$89,3,0)*VLOOKUP('Données projet'!$B$12,Paramètres!$A$1:$I$89,5,0)</f>
        <v>85.71469028571434</v>
      </c>
      <c r="CA25" s="13">
        <f t="shared" si="39"/>
        <v>23.528795376876193</v>
      </c>
      <c r="CB25" s="20">
        <f t="shared" si="10"/>
        <v>190.26573752901183</v>
      </c>
      <c r="CC25" s="59">
        <f t="shared" si="11"/>
        <v>473.8212930845674</v>
      </c>
      <c r="CD25" s="59">
        <f ca="1">AVERAGE(OFFSET($CC$3,0,0,'Données projet'!$E$12+1,1))-AVERAGE(OFFSET($H$3,0,0,'Données projet'!$E$12+1,1))</f>
        <v>603.61135046904178</v>
      </c>
      <c r="CE25" s="59">
        <f t="shared" si="40"/>
        <v>272.84936867513068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6.9069000000000003</v>
      </c>
      <c r="D26" s="11">
        <f t="shared" si="32"/>
        <v>2.5418075906422537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40.115565560270632</v>
      </c>
      <c r="H26" s="67">
        <f t="shared" si="1"/>
        <v>273.1231657203686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5.8974358974358978</v>
      </c>
      <c r="N26" s="13">
        <f>IF('Données projet'!$A$36&gt;35,N25+M26-V25,IF(A26&lt;'Données projet'!$A$36,$K$205^A26,IF(A26='Données projet'!$A$36,'Données projet'!$B$36,N25+M26-V25)))</f>
        <v>60.641025641025635</v>
      </c>
      <c r="O26" s="13">
        <f>N26*VLOOKUP('Données projet'!$B$9,Paramètres!$A$1:$I$89,3,0)*VLOOKUP('Données projet'!$B$9,Paramètres!$A$1:$I$89,5,0)</f>
        <v>63.381999999999998</v>
      </c>
      <c r="P26" s="13">
        <f t="shared" si="33"/>
        <v>18.020596756944578</v>
      </c>
      <c r="Q26" s="20">
        <f t="shared" si="2"/>
        <v>141.77618935167845</v>
      </c>
      <c r="R26" s="59">
        <f t="shared" si="0"/>
        <v>426.55396712945623</v>
      </c>
      <c r="S26" s="59">
        <f ca="1">AVERAGE(OFFSET($R$3,0,0,'Données projet'!$E$9+1,1))-AVERAGE(OFFSET($H$3,0,0,'Données projet'!$E$9+1,1))</f>
        <v>225.9892575177542</v>
      </c>
      <c r="T26" s="59">
        <f t="shared" si="34"/>
        <v>215.88467215650428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5.9842161532795437</v>
      </c>
      <c r="AB26" s="21">
        <f>EXP(-LN(2)/2)*AB25+(1-EXP(-LN(2)/2))/(LN(2)/2)*V26*Y26*VLOOKUP('Données projet'!$B$9,Paramètres!$A$1:$I$89,3,0)*0.475*44/12</f>
        <v>0</v>
      </c>
      <c r="AC26" s="22">
        <f t="shared" si="3"/>
        <v>5.9842161532795437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4.0942857142857143</v>
      </c>
      <c r="AI26" s="13">
        <f>IF('Données projet'!$A$62&gt;35,AI25+AH26-AQ25,IF(A26&lt;'Données projet'!$A$62,$AF$205^A26,IF(A26='Données projet'!$A$62,'Données projet'!$B$62,AI25+AH26-AQ25)))</f>
        <v>94.168571428571482</v>
      </c>
      <c r="AJ26" s="13">
        <f>AI26*VLOOKUP('Données projet'!$B$10,Paramètres!$A$1:$I$89,3,0)*VLOOKUP('Données projet'!$B$10,Paramètres!$A$1:$I$89,5,0)</f>
        <v>95.486931428571495</v>
      </c>
      <c r="AK26" s="13">
        <f t="shared" si="35"/>
        <v>25.883948535791781</v>
      </c>
      <c r="AL26" s="20">
        <f t="shared" si="4"/>
        <v>211.38761593793268</v>
      </c>
      <c r="AM26" s="59">
        <f t="shared" si="5"/>
        <v>496.16539371571048</v>
      </c>
      <c r="AN26" s="59">
        <f ca="1">AVERAGE(OFFSET($AM$3,0,0,'Données projet'!$E$10+1,1))-AVERAGE(OFFSET($H$3,0,0,'Données projet'!$E$10+1,1))</f>
        <v>644.15138437063933</v>
      </c>
      <c r="AO26" s="59">
        <f t="shared" si="36"/>
        <v>289.3097279858207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4.0942857142857143</v>
      </c>
      <c r="BD26" s="12">
        <f>IF('Données projet'!$A$88&gt;35,BD25+BC26-BL25,IF(A26&lt;'Données projet'!$A$88,$BA$205^A26,IF(A26='Données projet'!$A$88,'Données projet'!$B$88,BD25+BC26-BL25)))</f>
        <v>94.168571428571482</v>
      </c>
      <c r="BE26" s="13">
        <f>BD26*VLOOKUP('Données projet'!$B$11,Paramètres!$A$1:$I$89,3,0)*VLOOKUP('Données projet'!$B$11,Paramètres!$A$1:$I$89,5,0)</f>
        <v>85.203723428571479</v>
      </c>
      <c r="BF26" s="13">
        <f t="shared" si="37"/>
        <v>23.404817596574706</v>
      </c>
      <c r="BG26" s="20">
        <f t="shared" si="7"/>
        <v>189.15987561879626</v>
      </c>
      <c r="BH26" s="59">
        <f t="shared" si="8"/>
        <v>473.93765339657404</v>
      </c>
      <c r="BI26" s="59">
        <f ca="1">AVERAGE(OFFSET($BH$3,0,0,'Données projet'!$E$11+1,1))-AVERAGE(OFFSET($H$3,0,0,'Données projet'!$E$11+1,1))</f>
        <v>573.17174498173017</v>
      </c>
      <c r="BJ26" s="59">
        <f t="shared" si="38"/>
        <v>260.48854096157231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4.0942857142857143</v>
      </c>
      <c r="BY26" s="12">
        <f>IF('Données projet'!$A$114&gt;35,BY25+BX26-CG25,IF(A26&lt;'Données projet'!$A$114,$BV$205^A26,IF(A26='Données projet'!$A$114,'Données projet'!$B$114,BY25+BX26-CG25)))</f>
        <v>94.168571428571482</v>
      </c>
      <c r="BZ26" s="13">
        <f>BY26*VLOOKUP('Données projet'!$B$12,Paramètres!$A$1:$I$89,3,0)*VLOOKUP('Données projet'!$B$12,Paramètres!$A$1:$I$89,5,0)</f>
        <v>89.610812571428625</v>
      </c>
      <c r="CA26" s="13">
        <f t="shared" si="39"/>
        <v>24.471338696814321</v>
      </c>
      <c r="CB26" s="20">
        <f t="shared" si="10"/>
        <v>198.69308012552312</v>
      </c>
      <c r="CC26" s="59">
        <f t="shared" si="11"/>
        <v>483.4708579033009</v>
      </c>
      <c r="CD26" s="59">
        <f ca="1">AVERAGE(OFFSET($CC$3,0,0,'Données projet'!$E$12+1,1))-AVERAGE(OFFSET($H$3,0,0,'Données projet'!$E$12+1,1))</f>
        <v>603.61135046904178</v>
      </c>
      <c r="CE26" s="59">
        <f t="shared" si="40"/>
        <v>272.84936867513068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7.2072000000000003</v>
      </c>
      <c r="D27" s="11">
        <f t="shared" si="32"/>
        <v>2.6392140198770462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41.804073558074485</v>
      </c>
      <c r="H27" s="67">
        <f t="shared" si="1"/>
        <v>273.81583775128587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5.8974358974358978</v>
      </c>
      <c r="N27" s="13">
        <f>IF('Données projet'!$A$36&gt;35,N26+M27-V26,IF(A27&lt;'Données projet'!$A$36,$K$205^A27,IF(A27='Données projet'!$A$36,'Données projet'!$B$36,N26+M27-V26)))</f>
        <v>66.538461538461533</v>
      </c>
      <c r="O27" s="13">
        <f>N27*VLOOKUP('Données projet'!$B$9,Paramètres!$A$1:$I$89,3,0)*VLOOKUP('Données projet'!$B$9,Paramètres!$A$1:$I$89,5,0)</f>
        <v>69.545999999999992</v>
      </c>
      <c r="P27" s="13">
        <f t="shared" si="33"/>
        <v>19.560670709947196</v>
      </c>
      <c r="Q27" s="20">
        <f t="shared" si="2"/>
        <v>155.19411815315803</v>
      </c>
      <c r="R27" s="59">
        <f t="shared" si="0"/>
        <v>441.194118153158</v>
      </c>
      <c r="S27" s="59">
        <f ca="1">AVERAGE(OFFSET($R$3,0,0,'Données projet'!$E$9+1,1))-AVERAGE(OFFSET($H$3,0,0,'Données projet'!$E$9+1,1))</f>
        <v>225.9892575177542</v>
      </c>
      <c r="T27" s="59">
        <f t="shared" si="34"/>
        <v>215.88467215650428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5.8205774478718642</v>
      </c>
      <c r="AB27" s="21">
        <f>EXP(-LN(2)/2)*AB26+(1-EXP(-LN(2)/2))/(LN(2)/2)*V27*Y27*VLOOKUP('Données projet'!$B$9,Paramètres!$A$1:$I$89,3,0)*0.475*44/12</f>
        <v>0</v>
      </c>
      <c r="AC27" s="22">
        <f t="shared" si="3"/>
        <v>5.8205774478718642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4.0942857142857143</v>
      </c>
      <c r="AI27" s="13">
        <f>IF('Données projet'!$A$62&gt;35,AI26+AH27-AQ26,IF(A27&lt;'Données projet'!$A$62,$AF$205^A27,IF(A27='Données projet'!$A$62,'Données projet'!$B$62,AI26+AH27-AQ26)))</f>
        <v>98.2628571428572</v>
      </c>
      <c r="AJ27" s="13">
        <f>AI27*VLOOKUP('Données projet'!$B$10,Paramètres!$A$1:$I$89,3,0)*VLOOKUP('Données projet'!$B$10,Paramètres!$A$1:$I$89,5,0)</f>
        <v>99.638537142857203</v>
      </c>
      <c r="AK27" s="13">
        <f t="shared" si="35"/>
        <v>26.875865866848134</v>
      </c>
      <c r="AL27" s="20">
        <f t="shared" si="4"/>
        <v>220.34591857523677</v>
      </c>
      <c r="AM27" s="59">
        <f t="shared" si="5"/>
        <v>506.34591857523674</v>
      </c>
      <c r="AN27" s="59">
        <f ca="1">AVERAGE(OFFSET($AM$3,0,0,'Données projet'!$E$10+1,1))-AVERAGE(OFFSET($H$3,0,0,'Données projet'!$E$10+1,1))</f>
        <v>644.15138437063933</v>
      </c>
      <c r="AO27" s="59">
        <f t="shared" si="36"/>
        <v>289.3097279858207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4.0942857142857143</v>
      </c>
      <c r="BD27" s="12">
        <f>IF('Données projet'!$A$88&gt;35,BD26+BC27-BL26,IF(A27&lt;'Données projet'!$A$88,$BA$205^A27,IF(A27='Données projet'!$A$88,'Données projet'!$B$88,BD26+BC27-BL26)))</f>
        <v>98.2628571428572</v>
      </c>
      <c r="BE27" s="13">
        <f>BD27*VLOOKUP('Données projet'!$B$11,Paramètres!$A$1:$I$89,3,0)*VLOOKUP('Données projet'!$B$11,Paramètres!$A$1:$I$89,5,0)</f>
        <v>88.908233142857185</v>
      </c>
      <c r="BF27" s="13">
        <f t="shared" si="37"/>
        <v>24.301730375247274</v>
      </c>
      <c r="BG27" s="20">
        <f t="shared" si="7"/>
        <v>197.17401979403192</v>
      </c>
      <c r="BH27" s="59">
        <f t="shared" si="8"/>
        <v>483.17401979403189</v>
      </c>
      <c r="BI27" s="59">
        <f ca="1">AVERAGE(OFFSET($BH$3,0,0,'Données projet'!$E$11+1,1))-AVERAGE(OFFSET($H$3,0,0,'Données projet'!$E$11+1,1))</f>
        <v>573.17174498173017</v>
      </c>
      <c r="BJ27" s="59">
        <f t="shared" si="38"/>
        <v>260.48854096157231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4.0942857142857143</v>
      </c>
      <c r="BY27" s="12">
        <f>IF('Données projet'!$A$114&gt;35,BY26+BX27-CG26,IF(A27&lt;'Données projet'!$A$114,$BV$205^A27,IF(A27='Données projet'!$A$114,'Données projet'!$B$114,BY26+BX27-CG26)))</f>
        <v>98.2628571428572</v>
      </c>
      <c r="BZ27" s="13">
        <f>BY27*VLOOKUP('Données projet'!$B$12,Paramètres!$A$1:$I$89,3,0)*VLOOKUP('Données projet'!$B$12,Paramètres!$A$1:$I$89,5,0)</f>
        <v>93.506934857142909</v>
      </c>
      <c r="CA27" s="13">
        <f t="shared" si="39"/>
        <v>25.409122394458233</v>
      </c>
      <c r="CB27" s="20">
        <f t="shared" si="10"/>
        <v>207.11213304653862</v>
      </c>
      <c r="CC27" s="59">
        <f t="shared" si="11"/>
        <v>493.11213304653859</v>
      </c>
      <c r="CD27" s="59">
        <f ca="1">AVERAGE(OFFSET($CC$3,0,0,'Données projet'!$E$12+1,1))-AVERAGE(OFFSET($H$3,0,0,'Données projet'!$E$12+1,1))</f>
        <v>603.61135046904178</v>
      </c>
      <c r="CE27" s="59">
        <f t="shared" si="40"/>
        <v>272.84936867513068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7.5075000000000003</v>
      </c>
      <c r="D28" s="11">
        <f t="shared" si="32"/>
        <v>2.7361490276451397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43.490580082282889</v>
      </c>
      <c r="H28" s="67">
        <f t="shared" si="1"/>
        <v>274.50768872314865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72.435897435897431</v>
      </c>
      <c r="L28" s="12">
        <f>VLOOKUP(A28,'Données projet'!$A$35:$I$55,9,0)</f>
        <v>5.8974358974358978</v>
      </c>
      <c r="M28" s="12">
        <f t="array" ref="M28">INDEX(L:L,MIN(IF(ISNUMBER(L28:L224),ROW(L28:L224),"")))</f>
        <v>5.8974358974358978</v>
      </c>
      <c r="N28" s="13">
        <f>IF('Données projet'!$A$36&gt;35,N27+M28-V27,IF(A28&lt;'Données projet'!$A$36,$K$205^A28,IF(A28='Données projet'!$A$36,'Données projet'!$B$36,N27+M28-V27)))</f>
        <v>72.435897435897431</v>
      </c>
      <c r="O28" s="13">
        <f>N28*VLOOKUP('Données projet'!$B$9,Paramètres!$A$1:$I$89,3,0)*VLOOKUP('Données projet'!$B$9,Paramètres!$A$1:$I$89,5,0)</f>
        <v>75.710000000000008</v>
      </c>
      <c r="P28" s="13">
        <f t="shared" si="33"/>
        <v>21.084915904131307</v>
      </c>
      <c r="Q28" s="20">
        <f t="shared" si="2"/>
        <v>168.58447853302872</v>
      </c>
      <c r="R28" s="59">
        <f t="shared" si="0"/>
        <v>455.80670075525097</v>
      </c>
      <c r="S28" s="59">
        <f ca="1">AVERAGE(OFFSET($R$3,0,0,'Données projet'!$E$9+1,1))-AVERAGE(OFFSET($H$3,0,0,'Données projet'!$E$9+1,1))</f>
        <v>225.9892575177542</v>
      </c>
      <c r="T28" s="59">
        <f t="shared" si="34"/>
        <v>215.88467215650428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14.743589743589743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0.215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9.3095816302296903</v>
      </c>
      <c r="AB28" s="21">
        <f>EXP(-LN(2)/2)*AB27+(1-EXP(-LN(2)/2))/(LN(2)/2)*V28*Y28*VLOOKUP('Données projet'!$B$9,Paramètres!$A$1:$I$89,3,0)*0.475*44/12</f>
        <v>0</v>
      </c>
      <c r="AC28" s="22">
        <f t="shared" si="3"/>
        <v>9.3095816302296903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4.0942857142857143</v>
      </c>
      <c r="AI28" s="13">
        <f>IF('Données projet'!$A$62&gt;35,AI27+AH28-AQ27,IF(A28&lt;'Données projet'!$A$62,$AF$205^A28,IF(A28='Données projet'!$A$62,'Données projet'!$B$62,AI27+AH28-AQ27)))</f>
        <v>102.35714285714292</v>
      </c>
      <c r="AJ28" s="13">
        <f>AI28*VLOOKUP('Données projet'!$B$10,Paramètres!$A$1:$I$89,3,0)*VLOOKUP('Données projet'!$B$10,Paramètres!$A$1:$I$89,5,0)</f>
        <v>103.79014285714292</v>
      </c>
      <c r="AK28" s="13">
        <f t="shared" si="35"/>
        <v>27.862982579231517</v>
      </c>
      <c r="AL28" s="20">
        <f t="shared" si="4"/>
        <v>229.29586013501878</v>
      </c>
      <c r="AM28" s="59">
        <f t="shared" si="5"/>
        <v>516.51808235724104</v>
      </c>
      <c r="AN28" s="59">
        <f ca="1">AVERAGE(OFFSET($AM$3,0,0,'Données projet'!$E$10+1,1))-AVERAGE(OFFSET($H$3,0,0,'Données projet'!$E$10+1,1))</f>
        <v>644.15138437063933</v>
      </c>
      <c r="AO28" s="59">
        <f t="shared" si="36"/>
        <v>289.3097279858207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4.0942857142857143</v>
      </c>
      <c r="BD28" s="12">
        <f>IF('Données projet'!$A$88&gt;35,BD27+BC28-BL27,IF(A28&lt;'Données projet'!$A$88,$BA$205^A28,IF(A28='Données projet'!$A$88,'Données projet'!$B$88,BD27+BC28-BL27)))</f>
        <v>102.35714285714292</v>
      </c>
      <c r="BE28" s="13">
        <f>BD28*VLOOKUP('Données projet'!$B$11,Paramètres!$A$1:$I$89,3,0)*VLOOKUP('Données projet'!$B$11,Paramètres!$A$1:$I$89,5,0)</f>
        <v>92.612742857142905</v>
      </c>
      <c r="BF28" s="13">
        <f t="shared" si="37"/>
        <v>25.194302332262133</v>
      </c>
      <c r="BG28" s="20">
        <f t="shared" si="7"/>
        <v>205.18060370488044</v>
      </c>
      <c r="BH28" s="59">
        <f t="shared" si="8"/>
        <v>492.40282592710264</v>
      </c>
      <c r="BI28" s="59">
        <f ca="1">AVERAGE(OFFSET($BH$3,0,0,'Données projet'!$E$11+1,1))-AVERAGE(OFFSET($H$3,0,0,'Données projet'!$E$11+1,1))</f>
        <v>573.17174498173017</v>
      </c>
      <c r="BJ28" s="59">
        <f t="shared" si="38"/>
        <v>260.48854096157231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4.0942857142857143</v>
      </c>
      <c r="BY28" s="12">
        <f>IF('Données projet'!$A$114&gt;35,BY27+BX28-CG27,IF(A28&lt;'Données projet'!$A$114,$BV$205^A28,IF(A28='Données projet'!$A$114,'Données projet'!$B$114,BY27+BX28-CG27)))</f>
        <v>102.35714285714292</v>
      </c>
      <c r="BZ28" s="13">
        <f>BY28*VLOOKUP('Données projet'!$B$12,Paramètres!$A$1:$I$89,3,0)*VLOOKUP('Données projet'!$B$12,Paramètres!$A$1:$I$89,5,0)</f>
        <v>97.403057142857193</v>
      </c>
      <c r="CA28" s="13">
        <f t="shared" si="39"/>
        <v>26.342367465959477</v>
      </c>
      <c r="CB28" s="20">
        <f t="shared" si="10"/>
        <v>215.52328119368903</v>
      </c>
      <c r="CC28" s="59">
        <f t="shared" si="11"/>
        <v>502.74550341591123</v>
      </c>
      <c r="CD28" s="59">
        <f ca="1">AVERAGE(OFFSET($CC$3,0,0,'Données projet'!$E$12+1,1))-AVERAGE(OFFSET($H$3,0,0,'Données projet'!$E$12+1,1))</f>
        <v>603.61135046904178</v>
      </c>
      <c r="CE28" s="59">
        <f t="shared" si="40"/>
        <v>272.84936867513068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7.8078000000000003</v>
      </c>
      <c r="D29" s="11">
        <f t="shared" si="32"/>
        <v>2.8326336282306603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45.175174351435437</v>
      </c>
      <c r="H29" s="67">
        <f t="shared" si="1"/>
        <v>275.19875523583511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5.7692307692307692</v>
      </c>
      <c r="N29" s="13">
        <f>IF('Données projet'!$A$36&gt;35,N28+M29-V28,IF(A29&lt;'Données projet'!$A$36,$K$205^A29,IF(A29='Données projet'!$A$36,'Données projet'!$B$36,N28+M29-V28)))</f>
        <v>63.46153846153846</v>
      </c>
      <c r="O29" s="13">
        <f>N29*VLOOKUP('Données projet'!$B$9,Paramètres!$A$1:$I$89,3,0)*VLOOKUP('Données projet'!$B$9,Paramètres!$A$1:$I$89,5,0)</f>
        <v>66.330000000000013</v>
      </c>
      <c r="P29" s="13">
        <f t="shared" si="33"/>
        <v>18.759230445983899</v>
      </c>
      <c r="Q29" s="20">
        <f t="shared" si="2"/>
        <v>148.19707636008866</v>
      </c>
      <c r="R29" s="59">
        <f t="shared" si="0"/>
        <v>436.64152080453312</v>
      </c>
      <c r="S29" s="59">
        <f ca="1">AVERAGE(OFFSET($R$3,0,0,'Données projet'!$E$9+1,1))-AVERAGE(OFFSET($H$3,0,0,'Données projet'!$E$9+1,1))</f>
        <v>225.9892575177542</v>
      </c>
      <c r="T29" s="59">
        <f t="shared" si="34"/>
        <v>215.88467215650428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9.0550106309814389</v>
      </c>
      <c r="AB29" s="21">
        <f>EXP(-LN(2)/2)*AB28+(1-EXP(-LN(2)/2))/(LN(2)/2)*V29*Y29*VLOOKUP('Données projet'!$B$9,Paramètres!$A$1:$I$89,3,0)*0.475*44/12</f>
        <v>0</v>
      </c>
      <c r="AC29" s="22">
        <f t="shared" si="3"/>
        <v>9.0550106309814389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4.0942857142857143</v>
      </c>
      <c r="AI29" s="13">
        <f>IF('Données projet'!$A$62&gt;35,AI28+AH29-AQ28,IF(A29&lt;'Données projet'!$A$62,$AF$205^A29,IF(A29='Données projet'!$A$62,'Données projet'!$B$62,AI28+AH29-AQ28)))</f>
        <v>106.45142857142864</v>
      </c>
      <c r="AJ29" s="13">
        <f>AI29*VLOOKUP('Données projet'!$B$10,Paramètres!$A$1:$I$89,3,0)*VLOOKUP('Données projet'!$B$10,Paramètres!$A$1:$I$89,5,0)</f>
        <v>107.94174857142863</v>
      </c>
      <c r="AK29" s="13">
        <f t="shared" si="35"/>
        <v>28.845512667364968</v>
      </c>
      <c r="AL29" s="20">
        <f t="shared" si="4"/>
        <v>238.23781332423221</v>
      </c>
      <c r="AM29" s="59">
        <f t="shared" si="5"/>
        <v>526.68225776867666</v>
      </c>
      <c r="AN29" s="59">
        <f ca="1">AVERAGE(OFFSET($AM$3,0,0,'Données projet'!$E$10+1,1))-AVERAGE(OFFSET($H$3,0,0,'Données projet'!$E$10+1,1))</f>
        <v>644.15138437063933</v>
      </c>
      <c r="AO29" s="59">
        <f t="shared" si="36"/>
        <v>289.3097279858207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4.0942857142857143</v>
      </c>
      <c r="BD29" s="12">
        <f>IF('Données projet'!$A$88&gt;35,BD28+BC29-BL28,IF(A29&lt;'Données projet'!$A$88,$BA$205^A29,IF(A29='Données projet'!$A$88,'Données projet'!$B$88,BD28+BC29-BL28)))</f>
        <v>106.45142857142864</v>
      </c>
      <c r="BE29" s="13">
        <f>BD29*VLOOKUP('Données projet'!$B$11,Paramètres!$A$1:$I$89,3,0)*VLOOKUP('Données projet'!$B$11,Paramètres!$A$1:$I$89,5,0)</f>
        <v>96.317252571428625</v>
      </c>
      <c r="BF29" s="13">
        <f t="shared" si="37"/>
        <v>26.082726965934707</v>
      </c>
      <c r="BG29" s="20">
        <f t="shared" si="7"/>
        <v>213.1799643609078</v>
      </c>
      <c r="BH29" s="59">
        <f t="shared" si="8"/>
        <v>501.62440880535223</v>
      </c>
      <c r="BI29" s="59">
        <f ca="1">AVERAGE(OFFSET($BH$3,0,0,'Données projet'!$E$11+1,1))-AVERAGE(OFFSET($H$3,0,0,'Données projet'!$E$11+1,1))</f>
        <v>573.17174498173017</v>
      </c>
      <c r="BJ29" s="59">
        <f t="shared" si="38"/>
        <v>260.48854096157231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4.0942857142857143</v>
      </c>
      <c r="BY29" s="12">
        <f>IF('Données projet'!$A$114&gt;35,BY28+BX29-CG28,IF(A29&lt;'Données projet'!$A$114,$BV$205^A29,IF(A29='Données projet'!$A$114,'Données projet'!$B$114,BY28+BX29-CG28)))</f>
        <v>106.45142857142864</v>
      </c>
      <c r="BZ29" s="13">
        <f>BY29*VLOOKUP('Données projet'!$B$12,Paramètres!$A$1:$I$89,3,0)*VLOOKUP('Données projet'!$B$12,Paramètres!$A$1:$I$89,5,0)</f>
        <v>101.29917942857151</v>
      </c>
      <c r="CA29" s="13">
        <f t="shared" si="39"/>
        <v>27.271276227050439</v>
      </c>
      <c r="CB29" s="20">
        <f t="shared" si="10"/>
        <v>223.92687693354154</v>
      </c>
      <c r="CC29" s="59">
        <f t="shared" si="11"/>
        <v>512.37132137798596</v>
      </c>
      <c r="CD29" s="59">
        <f ca="1">AVERAGE(OFFSET($CC$3,0,0,'Données projet'!$E$12+1,1))-AVERAGE(OFFSET($H$3,0,0,'Données projet'!$E$12+1,1))</f>
        <v>603.61135046904178</v>
      </c>
      <c r="CE29" s="59">
        <f t="shared" si="40"/>
        <v>272.84936867513068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8.1081000000000003</v>
      </c>
      <c r="D30" s="11">
        <f t="shared" si="32"/>
        <v>2.9286871278908375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46.857938332448832</v>
      </c>
      <c r="H30" s="67">
        <f t="shared" si="1"/>
        <v>275.8890709144099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5.7692307692307692</v>
      </c>
      <c r="N30" s="13">
        <f>IF('Données projet'!$A$36&gt;35,N29+M30-V29,IF(A30&lt;'Données projet'!$A$36,$K$205^A30,IF(A30='Données projet'!$A$36,'Données projet'!$B$36,N29+M30-V29)))</f>
        <v>69.230769230769226</v>
      </c>
      <c r="O30" s="13">
        <f>N30*VLOOKUP('Données projet'!$B$9,Paramètres!$A$1:$I$89,3,0)*VLOOKUP('Données projet'!$B$9,Paramètres!$A$1:$I$89,5,0)</f>
        <v>72.36</v>
      </c>
      <c r="P30" s="13">
        <f t="shared" si="33"/>
        <v>20.258392951825481</v>
      </c>
      <c r="Q30" s="20">
        <f t="shared" si="2"/>
        <v>161.31036772442937</v>
      </c>
      <c r="R30" s="59">
        <f t="shared" si="0"/>
        <v>450.97703439109603</v>
      </c>
      <c r="S30" s="59">
        <f ca="1">AVERAGE(OFFSET($R$3,0,0,'Données projet'!$E$9+1,1))-AVERAGE(OFFSET($H$3,0,0,'Données projet'!$E$9+1,1))</f>
        <v>225.9892575177542</v>
      </c>
      <c r="T30" s="59">
        <f t="shared" si="34"/>
        <v>215.88467215650428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8.8074008890949376</v>
      </c>
      <c r="AB30" s="21">
        <f>EXP(-LN(2)/2)*AB29+(1-EXP(-LN(2)/2))/(LN(2)/2)*V30*Y30*VLOOKUP('Données projet'!$B$9,Paramètres!$A$1:$I$89,3,0)*0.475*44/12</f>
        <v>0</v>
      </c>
      <c r="AC30" s="22">
        <f t="shared" si="3"/>
        <v>8.8074008890949376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4.0942857142857143</v>
      </c>
      <c r="AI30" s="13">
        <f>IF('Données projet'!$A$62&gt;35,AI29+AH30-AQ29,IF(A30&lt;'Données projet'!$A$62,$AF$205^A30,IF(A30='Données projet'!$A$62,'Données projet'!$B$62,AI29+AH30-AQ29)))</f>
        <v>110.54571428571435</v>
      </c>
      <c r="AJ30" s="13">
        <f>AI30*VLOOKUP('Données projet'!$B$10,Paramètres!$A$1:$I$89,3,0)*VLOOKUP('Données projet'!$B$10,Paramètres!$A$1:$I$89,5,0)</f>
        <v>112.09335428571437</v>
      </c>
      <c r="AK30" s="13">
        <f t="shared" si="35"/>
        <v>29.823652732348606</v>
      </c>
      <c r="AL30" s="20">
        <f t="shared" si="4"/>
        <v>247.17212055645965</v>
      </c>
      <c r="AM30" s="59">
        <f t="shared" si="5"/>
        <v>536.83878722312636</v>
      </c>
      <c r="AN30" s="59">
        <f ca="1">AVERAGE(OFFSET($AM$3,0,0,'Données projet'!$E$10+1,1))-AVERAGE(OFFSET($H$3,0,0,'Données projet'!$E$10+1,1))</f>
        <v>644.15138437063933</v>
      </c>
      <c r="AO30" s="59">
        <f t="shared" si="36"/>
        <v>289.3097279858207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4.0942857142857143</v>
      </c>
      <c r="BD30" s="12">
        <f>IF('Données projet'!$A$88&gt;35,BD29+BC30-BL29,IF(A30&lt;'Données projet'!$A$88,$BA$205^A30,IF(A30='Données projet'!$A$88,'Données projet'!$B$88,BD29+BC30-BL29)))</f>
        <v>110.54571428571435</v>
      </c>
      <c r="BE30" s="13">
        <f>BD30*VLOOKUP('Données projet'!$B$11,Paramètres!$A$1:$I$89,3,0)*VLOOKUP('Données projet'!$B$11,Paramètres!$A$1:$I$89,5,0)</f>
        <v>100.02176228571433</v>
      </c>
      <c r="BF30" s="13">
        <f t="shared" si="37"/>
        <v>26.967182047167292</v>
      </c>
      <c r="BG30" s="20">
        <f t="shared" si="7"/>
        <v>221.17241137976885</v>
      </c>
      <c r="BH30" s="59">
        <f t="shared" si="8"/>
        <v>510.83907804643553</v>
      </c>
      <c r="BI30" s="59">
        <f ca="1">AVERAGE(OFFSET($BH$3,0,0,'Données projet'!$E$11+1,1))-AVERAGE(OFFSET($H$3,0,0,'Données projet'!$E$11+1,1))</f>
        <v>573.17174498173017</v>
      </c>
      <c r="BJ30" s="59">
        <f t="shared" si="38"/>
        <v>260.48854096157231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4.0942857142857143</v>
      </c>
      <c r="BY30" s="12">
        <f>IF('Données projet'!$A$114&gt;35,BY29+BX30-CG29,IF(A30&lt;'Données projet'!$A$114,$BV$205^A30,IF(A30='Données projet'!$A$114,'Données projet'!$B$114,BY29+BX30-CG29)))</f>
        <v>110.54571428571435</v>
      </c>
      <c r="BZ30" s="13">
        <f>BY30*VLOOKUP('Données projet'!$B$12,Paramètres!$A$1:$I$89,3,0)*VLOOKUP('Données projet'!$B$12,Paramètres!$A$1:$I$89,5,0)</f>
        <v>105.19530171428579</v>
      </c>
      <c r="CA30" s="13">
        <f t="shared" si="39"/>
        <v>28.196034549376744</v>
      </c>
      <c r="CB30" s="20">
        <f t="shared" si="10"/>
        <v>232.32324399254557</v>
      </c>
      <c r="CC30" s="59">
        <f t="shared" si="11"/>
        <v>521.98991065921223</v>
      </c>
      <c r="CD30" s="59">
        <f ca="1">AVERAGE(OFFSET($CC$3,0,0,'Données projet'!$E$12+1,1))-AVERAGE(OFFSET($H$3,0,0,'Données projet'!$E$12+1,1))</f>
        <v>603.61135046904178</v>
      </c>
      <c r="CE30" s="59">
        <f t="shared" si="40"/>
        <v>272.84936867513068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8.4084000000000003</v>
      </c>
      <c r="D31" s="11">
        <f t="shared" si="32"/>
        <v>3.0243273217610809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48.538947576599689</v>
      </c>
      <c r="H31" s="67">
        <f t="shared" si="1"/>
        <v>276.57866675206725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5.7692307692307692</v>
      </c>
      <c r="N31" s="13">
        <f>IF('Données projet'!$A$36&gt;35,N30+M31-V30,IF(A31&lt;'Données projet'!$A$36,$K$205^A31,IF(A31='Données projet'!$A$36,'Données projet'!$B$36,N30+M31-V30)))</f>
        <v>75</v>
      </c>
      <c r="O31" s="13">
        <f>N31*VLOOKUP('Données projet'!$B$9,Paramètres!$A$1:$I$89,3,0)*VLOOKUP('Données projet'!$B$9,Paramètres!$A$1:$I$89,5,0)</f>
        <v>78.39</v>
      </c>
      <c r="P31" s="13">
        <f t="shared" si="33"/>
        <v>21.743066192079873</v>
      </c>
      <c r="Q31" s="20">
        <f t="shared" si="2"/>
        <v>174.3984236178724</v>
      </c>
      <c r="R31" s="59">
        <f t="shared" si="0"/>
        <v>465.28731250676128</v>
      </c>
      <c r="S31" s="59">
        <f ca="1">AVERAGE(OFFSET($R$3,0,0,'Données projet'!$E$9+1,1))-AVERAGE(OFFSET($H$3,0,0,'Données projet'!$E$9+1,1))</f>
        <v>225.9892575177542</v>
      </c>
      <c r="T31" s="59">
        <f t="shared" si="34"/>
        <v>215.88467215650428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8.5665620486215541</v>
      </c>
      <c r="AB31" s="21">
        <f>EXP(-LN(2)/2)*AB30+(1-EXP(-LN(2)/2))/(LN(2)/2)*V31*Y31*VLOOKUP('Données projet'!$B$9,Paramètres!$A$1:$I$89,3,0)*0.475*44/12</f>
        <v>0</v>
      </c>
      <c r="AC31" s="22">
        <f t="shared" si="3"/>
        <v>8.5665620486215541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4.0942857142857143</v>
      </c>
      <c r="AI31" s="13">
        <f>IF('Données projet'!$A$62&gt;35,AI30+AH31-AQ30,IF(A31&lt;'Données projet'!$A$62,$AF$205^A31,IF(A31='Données projet'!$A$62,'Données projet'!$B$62,AI30+AH31-AQ30)))</f>
        <v>114.64000000000007</v>
      </c>
      <c r="AJ31" s="13">
        <f>AI31*VLOOKUP('Données projet'!$B$10,Paramètres!$A$1:$I$89,3,0)*VLOOKUP('Données projet'!$B$10,Paramètres!$A$1:$I$89,5,0)</f>
        <v>116.24496000000008</v>
      </c>
      <c r="AK31" s="13">
        <f t="shared" si="35"/>
        <v>30.797583987099902</v>
      </c>
      <c r="AL31" s="20">
        <f t="shared" si="4"/>
        <v>256.09909744419912</v>
      </c>
      <c r="AM31" s="59">
        <f t="shared" si="5"/>
        <v>546.98798633308797</v>
      </c>
      <c r="AN31" s="59">
        <f ca="1">AVERAGE(OFFSET($AM$3,0,0,'Données projet'!$E$10+1,1))-AVERAGE(OFFSET($H$3,0,0,'Données projet'!$E$10+1,1))</f>
        <v>644.15138437063933</v>
      </c>
      <c r="AO31" s="59">
        <f t="shared" si="36"/>
        <v>289.3097279858207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4.0942857142857143</v>
      </c>
      <c r="BD31" s="12">
        <f>IF('Données projet'!$A$88&gt;35,BD30+BC31-BL30,IF(A31&lt;'Données projet'!$A$88,$BA$205^A31,IF(A31='Données projet'!$A$88,'Données projet'!$B$88,BD30+BC31-BL30)))</f>
        <v>114.64000000000007</v>
      </c>
      <c r="BE31" s="13">
        <f>BD31*VLOOKUP('Données projet'!$B$11,Paramètres!$A$1:$I$89,3,0)*VLOOKUP('Données projet'!$B$11,Paramètres!$A$1:$I$89,5,0)</f>
        <v>103.72627200000005</v>
      </c>
      <c r="BF31" s="13">
        <f t="shared" si="37"/>
        <v>27.847831432539717</v>
      </c>
      <c r="BG31" s="20">
        <f t="shared" si="7"/>
        <v>229.15823014500677</v>
      </c>
      <c r="BH31" s="59">
        <f t="shared" si="8"/>
        <v>520.04711903389557</v>
      </c>
      <c r="BI31" s="59">
        <f ca="1">AVERAGE(OFFSET($BH$3,0,0,'Données projet'!$E$11+1,1))-AVERAGE(OFFSET($H$3,0,0,'Données projet'!$E$11+1,1))</f>
        <v>573.17174498173017</v>
      </c>
      <c r="BJ31" s="59">
        <f t="shared" si="38"/>
        <v>260.48854096157231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4.0942857142857143</v>
      </c>
      <c r="BY31" s="12">
        <f>IF('Données projet'!$A$114&gt;35,BY30+BX31-CG30,IF(A31&lt;'Données projet'!$A$114,$BV$205^A31,IF(A31='Données projet'!$A$114,'Données projet'!$B$114,BY30+BX31-CG30)))</f>
        <v>114.64000000000007</v>
      </c>
      <c r="BZ31" s="13">
        <f>BY31*VLOOKUP('Données projet'!$B$12,Paramètres!$A$1:$I$89,3,0)*VLOOKUP('Données projet'!$B$12,Paramètres!$A$1:$I$89,5,0)</f>
        <v>109.09142400000007</v>
      </c>
      <c r="CA31" s="13">
        <f t="shared" si="39"/>
        <v>29.116813756207414</v>
      </c>
      <c r="CB31" s="20">
        <f t="shared" si="10"/>
        <v>240.71268075872808</v>
      </c>
      <c r="CC31" s="59">
        <f t="shared" si="11"/>
        <v>531.601569647617</v>
      </c>
      <c r="CD31" s="59">
        <f ca="1">AVERAGE(OFFSET($CC$3,0,0,'Données projet'!$E$12+1,1))-AVERAGE(OFFSET($H$3,0,0,'Données projet'!$E$12+1,1))</f>
        <v>603.61135046904178</v>
      </c>
      <c r="CE31" s="59">
        <f t="shared" si="40"/>
        <v>272.84936867513068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8.7087000000000003</v>
      </c>
      <c r="D32" s="11">
        <f t="shared" si="32"/>
        <v>3.1195706618402834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50.218271932725422</v>
      </c>
      <c r="H32" s="67">
        <f t="shared" si="1"/>
        <v>277.26757140270519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5.7692307692307692</v>
      </c>
      <c r="N32" s="13">
        <f>IF('Données projet'!$A$36&gt;35,N31+M32-V31,IF(A32&lt;'Données projet'!$A$36,$K$205^A32,IF(A32='Données projet'!$A$36,'Données projet'!$B$36,N31+M32-V31)))</f>
        <v>80.769230769230774</v>
      </c>
      <c r="O32" s="13">
        <f>N32*VLOOKUP('Données projet'!$B$9,Paramètres!$A$1:$I$89,3,0)*VLOOKUP('Données projet'!$B$9,Paramètres!$A$1:$I$89,5,0)</f>
        <v>84.420000000000016</v>
      </c>
      <c r="P32" s="13">
        <f t="shared" si="33"/>
        <v>23.214491450008364</v>
      </c>
      <c r="Q32" s="20">
        <f t="shared" si="2"/>
        <v>187.46340594209792</v>
      </c>
      <c r="R32" s="59">
        <f t="shared" si="0"/>
        <v>479.57451705320909</v>
      </c>
      <c r="S32" s="59">
        <f ca="1">AVERAGE(OFFSET($R$3,0,0,'Données projet'!$E$9+1,1))-AVERAGE(OFFSET($H$3,0,0,'Données projet'!$E$9+1,1))</f>
        <v>225.9892575177542</v>
      </c>
      <c r="T32" s="59">
        <f t="shared" si="34"/>
        <v>215.88467215650428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8.3323089589060793</v>
      </c>
      <c r="AB32" s="21">
        <f>EXP(-LN(2)/2)*AB31+(1-EXP(-LN(2)/2))/(LN(2)/2)*V32*Y32*VLOOKUP('Données projet'!$B$9,Paramètres!$A$1:$I$89,3,0)*0.475*44/12</f>
        <v>0</v>
      </c>
      <c r="AC32" s="22">
        <f t="shared" si="3"/>
        <v>8.3323089589060793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4.0942857142857143</v>
      </c>
      <c r="AI32" s="13">
        <f>IF('Données projet'!$A$62&gt;35,AI31+AH32-AQ31,IF(A32&lt;'Données projet'!$A$62,$AF$205^A32,IF(A32='Données projet'!$A$62,'Données projet'!$B$62,AI31+AH32-AQ31)))</f>
        <v>118.73428571428579</v>
      </c>
      <c r="AJ32" s="13">
        <f>AI32*VLOOKUP('Données projet'!$B$10,Paramètres!$A$1:$I$89,3,0)*VLOOKUP('Données projet'!$B$10,Paramètres!$A$1:$I$89,5,0)</f>
        <v>120.39656571428579</v>
      </c>
      <c r="AK32" s="13">
        <f t="shared" si="35"/>
        <v>31.767473966995706</v>
      </c>
      <c r="AL32" s="20">
        <f t="shared" si="4"/>
        <v>265.01903577823191</v>
      </c>
      <c r="AM32" s="59">
        <f t="shared" si="5"/>
        <v>557.130146889343</v>
      </c>
      <c r="AN32" s="59">
        <f ca="1">AVERAGE(OFFSET($AM$3,0,0,'Données projet'!$E$10+1,1))-AVERAGE(OFFSET($H$3,0,0,'Données projet'!$E$10+1,1))</f>
        <v>644.15138437063933</v>
      </c>
      <c r="AO32" s="59">
        <f t="shared" si="36"/>
        <v>289.3097279858207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4.0942857142857143</v>
      </c>
      <c r="BD32" s="12">
        <f>IF('Données projet'!$A$88&gt;35,BD31+BC32-BL31,IF(A32&lt;'Données projet'!$A$88,$BA$205^A32,IF(A32='Données projet'!$A$88,'Données projet'!$B$88,BD31+BC32-BL31)))</f>
        <v>118.73428571428579</v>
      </c>
      <c r="BE32" s="13">
        <f>BD32*VLOOKUP('Données projet'!$B$11,Paramètres!$A$1:$I$89,3,0)*VLOOKUP('Données projet'!$B$11,Paramètres!$A$1:$I$89,5,0)</f>
        <v>107.43078171428577</v>
      </c>
      <c r="BF32" s="13">
        <f t="shared" si="37"/>
        <v>28.724826611108305</v>
      </c>
      <c r="BG32" s="20">
        <f t="shared" si="7"/>
        <v>237.13768450006134</v>
      </c>
      <c r="BH32" s="59">
        <f t="shared" si="8"/>
        <v>529.24879561117245</v>
      </c>
      <c r="BI32" s="59">
        <f ca="1">AVERAGE(OFFSET($BH$3,0,0,'Données projet'!$E$11+1,1))-AVERAGE(OFFSET($H$3,0,0,'Données projet'!$E$11+1,1))</f>
        <v>573.17174498173017</v>
      </c>
      <c r="BJ32" s="59">
        <f t="shared" si="38"/>
        <v>260.48854096157231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4.0942857142857143</v>
      </c>
      <c r="BY32" s="12">
        <f>IF('Données projet'!$A$114&gt;35,BY31+BX32-CG31,IF(A32&lt;'Données projet'!$A$114,$BV$205^A32,IF(A32='Données projet'!$A$114,'Données projet'!$B$114,BY31+BX32-CG31)))</f>
        <v>118.73428571428579</v>
      </c>
      <c r="BZ32" s="13">
        <f>BY32*VLOOKUP('Données projet'!$B$12,Paramètres!$A$1:$I$89,3,0)*VLOOKUP('Données projet'!$B$12,Paramètres!$A$1:$I$89,5,0)</f>
        <v>112.98754628571437</v>
      </c>
      <c r="CA32" s="13">
        <f t="shared" si="39"/>
        <v>30.03377223971917</v>
      </c>
      <c r="CB32" s="20">
        <f t="shared" si="10"/>
        <v>249.0954630984634</v>
      </c>
      <c r="CC32" s="59">
        <f t="shared" si="11"/>
        <v>541.20657420957457</v>
      </c>
      <c r="CD32" s="59">
        <f ca="1">AVERAGE(OFFSET($CC$3,0,0,'Données projet'!$E$12+1,1))-AVERAGE(OFFSET($H$3,0,0,'Données projet'!$E$12+1,1))</f>
        <v>603.61135046904178</v>
      </c>
      <c r="CE32" s="59">
        <f t="shared" si="40"/>
        <v>272.84936867513068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9.0090000000000003</v>
      </c>
      <c r="D33" s="11">
        <f t="shared" si="32"/>
        <v>3.2144324011547849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51.895976159288743</v>
      </c>
      <c r="H33" s="67">
        <f t="shared" si="1"/>
        <v>277.95581143201127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86.538461538461533</v>
      </c>
      <c r="L33" s="12">
        <f>VLOOKUP(A33,'Données projet'!$A$35:$I$55,9,0)</f>
        <v>5.7692307692307692</v>
      </c>
      <c r="M33" s="12">
        <f t="array" ref="M33">INDEX(L:L,MIN(IF(ISNUMBER(L33:L229),ROW(L33:L229),"")))</f>
        <v>5.7692307692307692</v>
      </c>
      <c r="N33" s="13">
        <f>IF('Données projet'!$A$36&gt;35,N32+M33-V32,IF(A33&lt;'Données projet'!$A$36,$K$205^A33,IF(A33='Données projet'!$A$36,'Données projet'!$B$36,N32+M33-V32)))</f>
        <v>86.538461538461547</v>
      </c>
      <c r="O33" s="13">
        <f>N33*VLOOKUP('Données projet'!$B$9,Paramètres!$A$1:$I$89,3,0)*VLOOKUP('Données projet'!$B$9,Paramètres!$A$1:$I$89,5,0)</f>
        <v>90.450000000000017</v>
      </c>
      <c r="P33" s="13">
        <f t="shared" si="33"/>
        <v>24.673722634554377</v>
      </c>
      <c r="Q33" s="20">
        <f t="shared" si="2"/>
        <v>200.50715025518221</v>
      </c>
      <c r="R33" s="59">
        <f t="shared" si="0"/>
        <v>493.84048358851555</v>
      </c>
      <c r="S33" s="59">
        <f ca="1">AVERAGE(OFFSET($R$3,0,0,'Données projet'!$E$9+1,1))-AVERAGE(OFFSET($H$3,0,0,'Données projet'!$E$9+1,1))</f>
        <v>225.9892575177542</v>
      </c>
      <c r="T33" s="59">
        <f t="shared" si="34"/>
        <v>215.88467215650428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15.384615384615383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0.215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11.911245718780661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11.911245718780661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4.0942857142857143</v>
      </c>
      <c r="AI33" s="13">
        <f>IF('Données projet'!$A$62&gt;35,AI32+AH33-AQ32,IF(A33&lt;'Données projet'!$A$62,$AF$205^A33,IF(A33='Données projet'!$A$62,'Données projet'!$B$62,AI32+AH33-AQ32)))</f>
        <v>122.82857142857151</v>
      </c>
      <c r="AJ33" s="13">
        <f>AI33*VLOOKUP('Données projet'!$B$10,Paramètres!$A$1:$I$89,3,0)*VLOOKUP('Données projet'!$B$10,Paramètres!$A$1:$I$89,5,0)</f>
        <v>124.54817142857152</v>
      </c>
      <c r="AK33" s="13">
        <f t="shared" si="35"/>
        <v>32.733477997934884</v>
      </c>
      <c r="AL33" s="20">
        <f t="shared" si="4"/>
        <v>273.93220608449866</v>
      </c>
      <c r="AM33" s="59">
        <f t="shared" si="5"/>
        <v>567.26553941783197</v>
      </c>
      <c r="AN33" s="59">
        <f ca="1">AVERAGE(OFFSET($AM$3,0,0,'Données projet'!$E$10+1,1))-AVERAGE(OFFSET($H$3,0,0,'Données projet'!$E$10+1,1))</f>
        <v>644.15138437063933</v>
      </c>
      <c r="AO33" s="59">
        <f t="shared" si="36"/>
        <v>289.3097279858207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4.0942857142857143</v>
      </c>
      <c r="BD33" s="12">
        <f>IF('Données projet'!$A$88&gt;35,BD32+BC33-BL32,IF(A33&lt;'Données projet'!$A$88,$BA$205^A33,IF(A33='Données projet'!$A$88,'Données projet'!$B$88,BD32+BC33-BL32)))</f>
        <v>122.82857142857151</v>
      </c>
      <c r="BE33" s="13">
        <f>BD33*VLOOKUP('Données projet'!$B$11,Paramètres!$A$1:$I$89,3,0)*VLOOKUP('Données projet'!$B$11,Paramètres!$A$1:$I$89,5,0)</f>
        <v>111.13529142857149</v>
      </c>
      <c r="BF33" s="13">
        <f t="shared" si="37"/>
        <v>29.598308031859261</v>
      </c>
      <c r="BG33" s="20">
        <f t="shared" si="7"/>
        <v>245.11101906025024</v>
      </c>
      <c r="BH33" s="59">
        <f t="shared" si="8"/>
        <v>538.44435239358359</v>
      </c>
      <c r="BI33" s="59">
        <f ca="1">AVERAGE(OFFSET($BH$3,0,0,'Données projet'!$E$11+1,1))-AVERAGE(OFFSET($H$3,0,0,'Données projet'!$E$11+1,1))</f>
        <v>573.17174498173017</v>
      </c>
      <c r="BJ33" s="59">
        <f t="shared" si="38"/>
        <v>260.48854096157231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4.0942857142857143</v>
      </c>
      <c r="BY33" s="12">
        <f>IF('Données projet'!$A$114&gt;35,BY32+BX33-CG32,IF(A33&lt;'Données projet'!$A$114,$BV$205^A33,IF(A33='Données projet'!$A$114,'Données projet'!$B$114,BY32+BX33-CG32)))</f>
        <v>122.82857142857151</v>
      </c>
      <c r="BZ33" s="13">
        <f>BY33*VLOOKUP('Données projet'!$B$12,Paramètres!$A$1:$I$89,3,0)*VLOOKUP('Données projet'!$B$12,Paramètres!$A$1:$I$89,5,0)</f>
        <v>116.88366857142864</v>
      </c>
      <c r="CA33" s="13">
        <f t="shared" si="39"/>
        <v>30.947056848939916</v>
      </c>
      <c r="CB33" s="20">
        <f t="shared" si="10"/>
        <v>257.47184677380858</v>
      </c>
      <c r="CC33" s="59">
        <f t="shared" si="11"/>
        <v>550.80518010714195</v>
      </c>
      <c r="CD33" s="59">
        <f ca="1">AVERAGE(OFFSET($CC$3,0,0,'Données projet'!$E$12+1,1))-AVERAGE(OFFSET($H$3,0,0,'Données projet'!$E$12+1,1))</f>
        <v>603.61135046904178</v>
      </c>
      <c r="CE33" s="59">
        <f t="shared" si="40"/>
        <v>272.84936867513068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9.3093000000000004</v>
      </c>
      <c r="D34" s="11">
        <f t="shared" si="32"/>
        <v>3.308926718160492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53.57212045254105</v>
      </c>
      <c r="H34" s="67">
        <f t="shared" si="1"/>
        <v>278.64341153412954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5.3846153846153868</v>
      </c>
      <c r="N34" s="13">
        <f>IF('Données projet'!$A$36&gt;35,N33+M34-V33,IF(A34&lt;'Données projet'!$A$36,$K$205^A34,IF(A34='Données projet'!$A$36,'Données projet'!$B$36,N33+M34-V33)))</f>
        <v>76.538461538461547</v>
      </c>
      <c r="O34" s="13">
        <f>N34*VLOOKUP('Données projet'!$B$9,Paramètres!$A$1:$I$89,3,0)*VLOOKUP('Données projet'!$B$9,Paramètres!$A$1:$I$89,5,0)</f>
        <v>79.998000000000019</v>
      </c>
      <c r="P34" s="13">
        <f t="shared" si="33"/>
        <v>22.136695117552431</v>
      </c>
      <c r="Q34" s="20">
        <f t="shared" si="2"/>
        <v>177.88459399640385</v>
      </c>
      <c r="R34" s="59">
        <f t="shared" si="0"/>
        <v>471.21792732973717</v>
      </c>
      <c r="S34" s="59">
        <f ca="1">AVERAGE(OFFSET($R$3,0,0,'Données projet'!$E$9+1,1))-AVERAGE(OFFSET($H$3,0,0,'Données projet'!$E$9+1,1))</f>
        <v>225.9892575177542</v>
      </c>
      <c r="T34" s="59">
        <f t="shared" si="34"/>
        <v>215.88467215650428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11.585532078215415</v>
      </c>
      <c r="AB34" s="21">
        <f>EXP(-LN(2)/2)*AB33+(1-EXP(-LN(2)/2))/(LN(2)/2)*V34*Y34*VLOOKUP('Données projet'!$B$9,Paramètres!$A$1:$I$89,3,0)*0.475*44/12</f>
        <v>0</v>
      </c>
      <c r="AC34" s="22">
        <f t="shared" si="3"/>
        <v>11.585532078215415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4.0942857142857143</v>
      </c>
      <c r="AI34" s="13">
        <f>IF('Données projet'!$A$62&gt;35,AI33+AH34-AQ33,IF(A34&lt;'Données projet'!$A$62,$AF$205^A34,IF(A34='Données projet'!$A$62,'Données projet'!$B$62,AI33+AH34-AQ33)))</f>
        <v>126.92285714285723</v>
      </c>
      <c r="AJ34" s="13">
        <f>AI34*VLOOKUP('Données projet'!$B$10,Paramètres!$A$1:$I$89,3,0)*VLOOKUP('Données projet'!$B$10,Paramètres!$A$1:$I$89,5,0)</f>
        <v>128.69977714285722</v>
      </c>
      <c r="AK34" s="13">
        <f t="shared" si="35"/>
        <v>33.69574046316044</v>
      </c>
      <c r="AL34" s="20">
        <f t="shared" si="4"/>
        <v>282.83885983048071</v>
      </c>
      <c r="AM34" s="59">
        <f t="shared" si="5"/>
        <v>576.17219316381397</v>
      </c>
      <c r="AN34" s="59">
        <f ca="1">AVERAGE(OFFSET($AM$3,0,0,'Données projet'!$E$10+1,1))-AVERAGE(OFFSET($H$3,0,0,'Données projet'!$E$10+1,1))</f>
        <v>644.15138437063933</v>
      </c>
      <c r="AO34" s="59">
        <f t="shared" si="36"/>
        <v>289.3097279858207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4.0942857142857143</v>
      </c>
      <c r="BD34" s="12">
        <f>IF('Données projet'!$A$88&gt;35,BD33+BC34-BL33,IF(A34&lt;'Données projet'!$A$88,$BA$205^A34,IF(A34='Données projet'!$A$88,'Données projet'!$B$88,BD33+BC34-BL33)))</f>
        <v>126.92285714285723</v>
      </c>
      <c r="BE34" s="13">
        <f>BD34*VLOOKUP('Données projet'!$B$11,Paramètres!$A$1:$I$89,3,0)*VLOOKUP('Données projet'!$B$11,Paramètres!$A$1:$I$89,5,0)</f>
        <v>114.83980114285721</v>
      </c>
      <c r="BF34" s="13">
        <f t="shared" si="37"/>
        <v>30.468406249196239</v>
      </c>
      <c r="BG34" s="20">
        <f t="shared" si="7"/>
        <v>253.07846120782642</v>
      </c>
      <c r="BH34" s="59">
        <f t="shared" si="8"/>
        <v>546.41179454115968</v>
      </c>
      <c r="BI34" s="59">
        <f ca="1">AVERAGE(OFFSET($BH$3,0,0,'Données projet'!$E$11+1,1))-AVERAGE(OFFSET($H$3,0,0,'Données projet'!$E$11+1,1))</f>
        <v>573.17174498173017</v>
      </c>
      <c r="BJ34" s="59">
        <f t="shared" si="38"/>
        <v>260.48854096157231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4.0942857142857143</v>
      </c>
      <c r="BY34" s="12">
        <f>IF('Données projet'!$A$114&gt;35,BY33+BX34-CG33,IF(A34&lt;'Données projet'!$A$114,$BV$205^A34,IF(A34='Données projet'!$A$114,'Données projet'!$B$114,BY33+BX34-CG33)))</f>
        <v>126.92285714285723</v>
      </c>
      <c r="BZ34" s="13">
        <f>BY34*VLOOKUP('Données projet'!$B$12,Paramètres!$A$1:$I$89,3,0)*VLOOKUP('Données projet'!$B$12,Paramètres!$A$1:$I$89,5,0)</f>
        <v>120.77979085714293</v>
      </c>
      <c r="CA34" s="13">
        <f t="shared" si="39"/>
        <v>31.856804087434281</v>
      </c>
      <c r="CB34" s="20">
        <f t="shared" si="10"/>
        <v>265.842069528472</v>
      </c>
      <c r="CC34" s="59">
        <f t="shared" si="11"/>
        <v>559.17540286180531</v>
      </c>
      <c r="CD34" s="59">
        <f ca="1">AVERAGE(OFFSET($CC$3,0,0,'Données projet'!$E$12+1,1))-AVERAGE(OFFSET($H$3,0,0,'Données projet'!$E$12+1,1))</f>
        <v>603.61135046904178</v>
      </c>
      <c r="CE34" s="59">
        <f t="shared" si="40"/>
        <v>272.84936867513068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9.6096000000000004</v>
      </c>
      <c r="D35" s="11">
        <f t="shared" si="32"/>
        <v>3.4030668246422207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55.246760904621368</v>
      </c>
      <c r="H35" s="67">
        <f t="shared" si="1"/>
        <v>279.33039471958523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5.3846153846153868</v>
      </c>
      <c r="N35" s="13">
        <f>IF('Données projet'!$A$36&gt;35,N34+M35-V34,IF(A35&lt;'Données projet'!$A$36,$K$205^A35,IF(A35='Données projet'!$A$36,'Données projet'!$B$36,N34+M35-V34)))</f>
        <v>81.923076923076934</v>
      </c>
      <c r="O35" s="13">
        <f>N35*VLOOKUP('Données projet'!$B$9,Paramètres!$A$1:$I$89,3,0)*VLOOKUP('Données projet'!$B$9,Paramètres!$A$1:$I$89,5,0)</f>
        <v>85.626000000000019</v>
      </c>
      <c r="P35" s="13">
        <f t="shared" si="33"/>
        <v>23.507282308556086</v>
      </c>
      <c r="Q35" s="20">
        <f t="shared" ref="Q35:Q66" si="53">(O35+P35)*0.475*44/12</f>
        <v>190.07380002073521</v>
      </c>
      <c r="R35" s="59">
        <f t="shared" si="0"/>
        <v>483.40713335406849</v>
      </c>
      <c r="S35" s="59">
        <f ca="1">AVERAGE(OFFSET($R$3,0,0,'Données projet'!$E$9+1,1))-AVERAGE(OFFSET($H$3,0,0,'Données projet'!$E$9+1,1))</f>
        <v>225.9892575177542</v>
      </c>
      <c r="T35" s="59">
        <f t="shared" si="34"/>
        <v>215.88467215650428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11.268725094279961</v>
      </c>
      <c r="AB35" s="21">
        <f>EXP(-LN(2)/2)*AB34+(1-EXP(-LN(2)/2))/(LN(2)/2)*V35*Y35*VLOOKUP('Données projet'!$B$9,Paramètres!$A$1:$I$89,3,0)*0.475*44/12</f>
        <v>0</v>
      </c>
      <c r="AC35" s="22">
        <f t="shared" si="3"/>
        <v>11.268725094279961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4.0942857142857143</v>
      </c>
      <c r="AI35" s="13">
        <f>IF('Données projet'!$A$62&gt;35,AI34+AH35-AQ34,IF(A35&lt;'Données projet'!$A$62,$AF$205^A35,IF(A35='Données projet'!$A$62,'Données projet'!$B$62,AI34+AH35-AQ34)))</f>
        <v>131.01714285714294</v>
      </c>
      <c r="AJ35" s="13">
        <f>AI35*VLOOKUP('Données projet'!$B$10,Paramètres!$A$1:$I$89,3,0)*VLOOKUP('Données projet'!$B$10,Paramètres!$A$1:$I$89,5,0)</f>
        <v>132.85138285714297</v>
      </c>
      <c r="AK35" s="13">
        <f t="shared" si="35"/>
        <v>34.654395902029187</v>
      </c>
      <c r="AL35" s="20">
        <f t="shared" si="4"/>
        <v>291.73923133889144</v>
      </c>
      <c r="AM35" s="59">
        <f t="shared" si="5"/>
        <v>585.07256467222476</v>
      </c>
      <c r="AN35" s="59">
        <f ca="1">AVERAGE(OFFSET($AM$3,0,0,'Données projet'!$E$10+1,1))-AVERAGE(OFFSET($H$3,0,0,'Données projet'!$E$10+1,1))</f>
        <v>644.15138437063933</v>
      </c>
      <c r="AO35" s="59">
        <f t="shared" si="36"/>
        <v>289.3097279858207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4.0942857142857143</v>
      </c>
      <c r="BD35" s="12">
        <f>IF('Données projet'!$A$88&gt;35,BD34+BC35-BL34,IF(A35&lt;'Données projet'!$A$88,$BA$205^A35,IF(A35='Données projet'!$A$88,'Données projet'!$B$88,BD34+BC35-BL34)))</f>
        <v>131.01714285714294</v>
      </c>
      <c r="BE35" s="13">
        <f>BD35*VLOOKUP('Données projet'!$B$11,Paramètres!$A$1:$I$89,3,0)*VLOOKUP('Données projet'!$B$11,Paramètres!$A$1:$I$89,5,0)</f>
        <v>118.54431085714293</v>
      </c>
      <c r="BF35" s="13">
        <f t="shared" si="37"/>
        <v>31.335242916471387</v>
      </c>
      <c r="BG35" s="20">
        <f t="shared" si="7"/>
        <v>261.04022282237821</v>
      </c>
      <c r="BH35" s="59">
        <f t="shared" si="8"/>
        <v>554.37355615571153</v>
      </c>
      <c r="BI35" s="59">
        <f ca="1">AVERAGE(OFFSET($BH$3,0,0,'Données projet'!$E$11+1,1))-AVERAGE(OFFSET($H$3,0,0,'Données projet'!$E$11+1,1))</f>
        <v>573.17174498173017</v>
      </c>
      <c r="BJ35" s="59">
        <f t="shared" si="38"/>
        <v>260.48854096157231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4.0942857142857143</v>
      </c>
      <c r="BY35" s="12">
        <f>IF('Données projet'!$A$114&gt;35,BY34+BX35-CG34,IF(A35&lt;'Données projet'!$A$114,$BV$205^A35,IF(A35='Données projet'!$A$114,'Données projet'!$B$114,BY34+BX35-CG34)))</f>
        <v>131.01714285714294</v>
      </c>
      <c r="BZ35" s="13">
        <f>BY35*VLOOKUP('Données projet'!$B$12,Paramètres!$A$1:$I$89,3,0)*VLOOKUP('Données projet'!$B$12,Paramètres!$A$1:$I$89,5,0)</f>
        <v>124.67591314285721</v>
      </c>
      <c r="CA35" s="13">
        <f t="shared" si="39"/>
        <v>32.763141152108169</v>
      </c>
      <c r="CB35" s="20">
        <f t="shared" si="10"/>
        <v>274.20635289706468</v>
      </c>
      <c r="CC35" s="59">
        <f t="shared" si="11"/>
        <v>567.53968623039805</v>
      </c>
      <c r="CD35" s="59">
        <f ca="1">AVERAGE(OFFSET($CC$3,0,0,'Données projet'!$E$12+1,1))-AVERAGE(OFFSET($H$3,0,0,'Données projet'!$E$12+1,1))</f>
        <v>603.61135046904178</v>
      </c>
      <c r="CE35" s="59">
        <f t="shared" si="40"/>
        <v>272.84936867513068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9.9099000000000004</v>
      </c>
      <c r="D36" s="11">
        <f t="shared" si="32"/>
        <v>3.4968650597467055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56.919949902784261</v>
      </c>
      <c r="H36" s="67">
        <f t="shared" si="1"/>
        <v>280.01678247905886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5.3846153846153868</v>
      </c>
      <c r="N36" s="13">
        <f>IF('Données projet'!$A$36&gt;35,N35+M36-V35,IF(A36&lt;'Données projet'!$A$36,$K$205^A36,IF(A36='Données projet'!$A$36,'Données projet'!$B$36,N35+M36-V35)))</f>
        <v>87.307692307692321</v>
      </c>
      <c r="O36" s="13">
        <f>N36*VLOOKUP('Données projet'!$B$9,Paramètres!$A$1:$I$89,3,0)*VLOOKUP('Données projet'!$B$9,Paramètres!$A$1:$I$89,5,0)</f>
        <v>91.254000000000019</v>
      </c>
      <c r="P36" s="13">
        <f t="shared" si="33"/>
        <v>24.867415609727725</v>
      </c>
      <c r="Q36" s="20">
        <f t="shared" si="53"/>
        <v>202.24479885360915</v>
      </c>
      <c r="R36" s="59">
        <f t="shared" si="0"/>
        <v>495.57813218694247</v>
      </c>
      <c r="S36" s="59">
        <f ca="1">AVERAGE(OFFSET($R$3,0,0,'Données projet'!$E$9+1,1))-AVERAGE(OFFSET($H$3,0,0,'Données projet'!$E$9+1,1))</f>
        <v>225.9892575177542</v>
      </c>
      <c r="T36" s="59">
        <f t="shared" si="34"/>
        <v>215.88467215650428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10.960581213980378</v>
      </c>
      <c r="AB36" s="21">
        <f>EXP(-LN(2)/2)*AB35+(1-EXP(-LN(2)/2))/(LN(2)/2)*V36*Y36*VLOOKUP('Données projet'!$B$9,Paramètres!$A$1:$I$89,3,0)*0.475*44/12</f>
        <v>0</v>
      </c>
      <c r="AC36" s="22">
        <f t="shared" si="3"/>
        <v>10.960581213980378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4.0942857142857143</v>
      </c>
      <c r="AI36" s="13">
        <f>IF('Données projet'!$A$62&gt;35,AI35+AH36-AQ35,IF(A36&lt;'Données projet'!$A$62,$AF$205^A36,IF(A36='Données projet'!$A$62,'Données projet'!$B$62,AI35+AH36-AQ35)))</f>
        <v>135.11142857142866</v>
      </c>
      <c r="AJ36" s="13">
        <f>AI36*VLOOKUP('Données projet'!$B$10,Paramètres!$A$1:$I$89,3,0)*VLOOKUP('Données projet'!$B$10,Paramètres!$A$1:$I$89,5,0)</f>
        <v>137.00298857142866</v>
      </c>
      <c r="AK36" s="13">
        <f t="shared" si="35"/>
        <v>35.609569967576427</v>
      </c>
      <c r="AL36" s="20">
        <f t="shared" si="4"/>
        <v>300.63353945543383</v>
      </c>
      <c r="AM36" s="59">
        <f t="shared" si="5"/>
        <v>593.9668727887672</v>
      </c>
      <c r="AN36" s="59">
        <f ca="1">AVERAGE(OFFSET($AM$3,0,0,'Données projet'!$E$10+1,1))-AVERAGE(OFFSET($H$3,0,0,'Données projet'!$E$10+1,1))</f>
        <v>644.15138437063933</v>
      </c>
      <c r="AO36" s="59">
        <f t="shared" si="36"/>
        <v>289.3097279858207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4.0942857142857143</v>
      </c>
      <c r="BD36" s="12">
        <f>IF('Données projet'!$A$88&gt;35,BD35+BC36-BL35,IF(A36&lt;'Données projet'!$A$88,$BA$205^A36,IF(A36='Données projet'!$A$88,'Données projet'!$B$88,BD35+BC36-BL35)))</f>
        <v>135.11142857142866</v>
      </c>
      <c r="BE36" s="13">
        <f>BD36*VLOOKUP('Données projet'!$B$11,Paramètres!$A$1:$I$89,3,0)*VLOOKUP('Données projet'!$B$11,Paramètres!$A$1:$I$89,5,0)</f>
        <v>122.24882057142865</v>
      </c>
      <c r="BF36" s="13">
        <f t="shared" si="37"/>
        <v>32.198931651835657</v>
      </c>
      <c r="BG36" s="20">
        <f t="shared" si="7"/>
        <v>268.99650178885196</v>
      </c>
      <c r="BH36" s="59">
        <f t="shared" si="8"/>
        <v>562.32983512218527</v>
      </c>
      <c r="BI36" s="59">
        <f ca="1">AVERAGE(OFFSET($BH$3,0,0,'Données projet'!$E$11+1,1))-AVERAGE(OFFSET($H$3,0,0,'Données projet'!$E$11+1,1))</f>
        <v>573.17174498173017</v>
      </c>
      <c r="BJ36" s="59">
        <f t="shared" si="38"/>
        <v>260.48854096157231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4.0942857142857143</v>
      </c>
      <c r="BY36" s="12">
        <f>IF('Données projet'!$A$114&gt;35,BY35+BX36-CG35,IF(A36&lt;'Données projet'!$A$114,$BV$205^A36,IF(A36='Données projet'!$A$114,'Données projet'!$B$114,BY35+BX36-CG35)))</f>
        <v>135.11142857142866</v>
      </c>
      <c r="BZ36" s="13">
        <f>BY36*VLOOKUP('Données projet'!$B$12,Paramètres!$A$1:$I$89,3,0)*VLOOKUP('Données projet'!$B$12,Paramètres!$A$1:$I$89,5,0)</f>
        <v>128.5720354285715</v>
      </c>
      <c r="CA36" s="13">
        <f t="shared" si="39"/>
        <v>33.666186838514868</v>
      </c>
      <c r="CB36" s="20">
        <f t="shared" si="10"/>
        <v>282.56490378184208</v>
      </c>
      <c r="CC36" s="59">
        <f t="shared" si="11"/>
        <v>575.89823711517533</v>
      </c>
      <c r="CD36" s="59">
        <f ca="1">AVERAGE(OFFSET($CC$3,0,0,'Données projet'!$E$12+1,1))-AVERAGE(OFFSET($H$3,0,0,'Données projet'!$E$12+1,1))</f>
        <v>603.61135046904178</v>
      </c>
      <c r="CE36" s="59">
        <f t="shared" si="40"/>
        <v>272.84936867513068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10.2102</v>
      </c>
      <c r="D37" s="11">
        <f t="shared" si="32"/>
        <v>3.5903329722974471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58.591736478876875</v>
      </c>
      <c r="H37" s="67">
        <f t="shared" si="1"/>
        <v>280.70259492675143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5.3846153846153868</v>
      </c>
      <c r="N37" s="13">
        <f>IF('Données projet'!$A$36&gt;35,N36+M37-V36,IF(A37&lt;'Données projet'!$A$36,$K$205^A37,IF(A37='Données projet'!$A$36,'Données projet'!$B$36,N36+M37-V36)))</f>
        <v>92.692307692307708</v>
      </c>
      <c r="O37" s="13">
        <f>N37*VLOOKUP('Données projet'!$B$9,Paramètres!$A$1:$I$89,3,0)*VLOOKUP('Données projet'!$B$9,Paramètres!$A$1:$I$89,5,0)</f>
        <v>96.882000000000033</v>
      </c>
      <c r="P37" s="13">
        <f t="shared" si="33"/>
        <v>26.21781316207062</v>
      </c>
      <c r="Q37" s="20">
        <f t="shared" si="53"/>
        <v>214.39884125727303</v>
      </c>
      <c r="R37" s="59">
        <f t="shared" si="0"/>
        <v>507.73217459060635</v>
      </c>
      <c r="S37" s="59">
        <f ca="1">AVERAGE(OFFSET($R$3,0,0,'Données projet'!$E$9+1,1))-AVERAGE(OFFSET($H$3,0,0,'Données projet'!$E$9+1,1))</f>
        <v>225.9892575177542</v>
      </c>
      <c r="T37" s="59">
        <f t="shared" si="34"/>
        <v>215.88467215650428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10.66086354429217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10.66086354429217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4.0942857142857143</v>
      </c>
      <c r="AI37" s="13">
        <f>IF('Données projet'!$A$62&gt;35,AI36+AH37-AQ36,IF(A37&lt;'Données projet'!$A$62,$AF$205^A37,IF(A37='Données projet'!$A$62,'Données projet'!$B$62,AI36+AH37-AQ36)))</f>
        <v>139.20571428571438</v>
      </c>
      <c r="AJ37" s="13">
        <f>AI37*VLOOKUP('Données projet'!$B$10,Paramètres!$A$1:$I$89,3,0)*VLOOKUP('Données projet'!$B$10,Paramètres!$A$1:$I$89,5,0)</f>
        <v>141.15459428571441</v>
      </c>
      <c r="AK37" s="13">
        <f t="shared" si="35"/>
        <v>36.561380264751591</v>
      </c>
      <c r="AL37" s="20">
        <f t="shared" si="4"/>
        <v>309.52198900872827</v>
      </c>
      <c r="AM37" s="59">
        <f t="shared" si="5"/>
        <v>602.85532234206153</v>
      </c>
      <c r="AN37" s="59">
        <f ca="1">AVERAGE(OFFSET($AM$3,0,0,'Données projet'!$E$10+1,1))-AVERAGE(OFFSET($H$3,0,0,'Données projet'!$E$10+1,1))</f>
        <v>644.15138437063933</v>
      </c>
      <c r="AO37" s="59">
        <f t="shared" si="36"/>
        <v>289.3097279858207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4.0942857142857143</v>
      </c>
      <c r="BD37" s="12">
        <f>IF('Données projet'!$A$88&gt;35,BD36+BC37-BL36,IF(A37&lt;'Données projet'!$A$88,$BA$205^A37,IF(A37='Données projet'!$A$88,'Données projet'!$B$88,BD36+BC37-BL36)))</f>
        <v>139.20571428571438</v>
      </c>
      <c r="BE37" s="13">
        <f>BD37*VLOOKUP('Données projet'!$B$11,Paramètres!$A$1:$I$89,3,0)*VLOOKUP('Données projet'!$B$11,Paramètres!$A$1:$I$89,5,0)</f>
        <v>125.95333028571436</v>
      </c>
      <c r="BF37" s="13">
        <f t="shared" si="37"/>
        <v>33.059578796189285</v>
      </c>
      <c r="BG37" s="20">
        <f t="shared" si="7"/>
        <v>276.94748331764885</v>
      </c>
      <c r="BH37" s="59">
        <f t="shared" si="8"/>
        <v>570.28081665098216</v>
      </c>
      <c r="BI37" s="59">
        <f ca="1">AVERAGE(OFFSET($BH$3,0,0,'Données projet'!$E$11+1,1))-AVERAGE(OFFSET($H$3,0,0,'Données projet'!$E$11+1,1))</f>
        <v>573.17174498173017</v>
      </c>
      <c r="BJ37" s="59">
        <f t="shared" si="38"/>
        <v>260.48854096157231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4.0942857142857143</v>
      </c>
      <c r="BY37" s="12">
        <f>IF('Données projet'!$A$114&gt;35,BY36+BX37-CG36,IF(A37&lt;'Données projet'!$A$114,$BV$205^A37,IF(A37='Données projet'!$A$114,'Données projet'!$B$114,BY36+BX37-CG36)))</f>
        <v>139.20571428571438</v>
      </c>
      <c r="BZ37" s="13">
        <f>BY37*VLOOKUP('Données projet'!$B$12,Paramètres!$A$1:$I$89,3,0)*VLOOKUP('Données projet'!$B$12,Paramètres!$A$1:$I$89,5,0)</f>
        <v>132.46815771428581</v>
      </c>
      <c r="CA37" s="13">
        <f t="shared" si="39"/>
        <v>34.566052333343904</v>
      </c>
      <c r="CB37" s="20">
        <f t="shared" si="10"/>
        <v>290.91791583295509</v>
      </c>
      <c r="CC37" s="59">
        <f t="shared" si="11"/>
        <v>584.2512491662884</v>
      </c>
      <c r="CD37" s="59">
        <f ca="1">AVERAGE(OFFSET($CC$3,0,0,'Données projet'!$E$12+1,1))-AVERAGE(OFFSET($H$3,0,0,'Données projet'!$E$12+1,1))</f>
        <v>603.61135046904178</v>
      </c>
      <c r="CE37" s="59">
        <f t="shared" si="40"/>
        <v>272.84936867513068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10.5105</v>
      </c>
      <c r="D38" s="11">
        <f t="shared" si="32"/>
        <v>3.683481393153325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60.262166616545699</v>
      </c>
      <c r="H38" s="67">
        <f t="shared" si="1"/>
        <v>281.3878509264087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98.07692307692308</v>
      </c>
      <c r="L38" s="12">
        <f>VLOOKUP(A38,'Données projet'!$A$35:$I$55,9,0)</f>
        <v>5.3846153846153868</v>
      </c>
      <c r="M38" s="12">
        <f t="array" ref="M38">INDEX(L:L,MIN(IF(ISNUMBER(L38:L234),ROW(L38:L234),"")))</f>
        <v>5.3846153846153868</v>
      </c>
      <c r="N38" s="13">
        <f>IF('Données projet'!$A$36&gt;35,N37+M38-V37,IF(A38&lt;'Données projet'!$A$36,$K$205^A38,IF(A38='Données projet'!$A$36,'Données projet'!$B$36,N37+M38-V37)))</f>
        <v>98.076923076923094</v>
      </c>
      <c r="O38" s="13">
        <f>N38*VLOOKUP('Données projet'!$B$9,Paramètres!$A$1:$I$89,3,0)*VLOOKUP('Données projet'!$B$9,Paramètres!$A$1:$I$89,5,0)</f>
        <v>102.51000000000003</v>
      </c>
      <c r="P38" s="13">
        <f t="shared" si="33"/>
        <v>27.55910495810631</v>
      </c>
      <c r="Q38" s="20">
        <f t="shared" si="53"/>
        <v>226.5370244687019</v>
      </c>
      <c r="R38" s="59">
        <f t="shared" si="0"/>
        <v>519.87035780203519</v>
      </c>
      <c r="S38" s="59">
        <f ca="1">AVERAGE(OFFSET($R$3,0,0,'Données projet'!$E$9+1,1))-AVERAGE(OFFSET($H$3,0,0,'Données projet'!$E$9+1,1))</f>
        <v>225.9892575177542</v>
      </c>
      <c r="T38" s="59">
        <f t="shared" si="34"/>
        <v>215.88467215650428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15.384615384615383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0.215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14.176125856576006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14.176125856576006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4.0942857142857143</v>
      </c>
      <c r="AI38" s="13">
        <f>IF('Données projet'!$A$62&gt;35,AI37+AH38-AQ37,IF(A38&lt;'Données projet'!$A$62,$AF$205^A38,IF(A38='Données projet'!$A$62,'Données projet'!$B$62,AI37+AH38-AQ37)))</f>
        <v>143.3000000000001</v>
      </c>
      <c r="AJ38" s="13">
        <f>AI38*VLOOKUP('Données projet'!$B$10,Paramètres!$A$1:$I$89,3,0)*VLOOKUP('Données projet'!$B$10,Paramètres!$A$1:$I$89,5,0)</f>
        <v>145.3062000000001</v>
      </c>
      <c r="AK38" s="13">
        <f t="shared" si="35"/>
        <v>37.509937087266451</v>
      </c>
      <c r="AL38" s="20">
        <f t="shared" si="4"/>
        <v>318.40477209365588</v>
      </c>
      <c r="AM38" s="59">
        <f t="shared" si="5"/>
        <v>611.73810542698925</v>
      </c>
      <c r="AN38" s="59">
        <f ca="1">AVERAGE(OFFSET($AM$3,0,0,'Données projet'!$E$10+1,1))-AVERAGE(OFFSET($H$3,0,0,'Données projet'!$E$10+1,1))</f>
        <v>644.15138437063933</v>
      </c>
      <c r="AO38" s="59">
        <f t="shared" si="36"/>
        <v>289.3097279858207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4.0942857142857143</v>
      </c>
      <c r="BD38" s="12">
        <f>IF('Données projet'!$A$88&gt;35,BD37+BC38-BL37,IF(A38&lt;'Données projet'!$A$88,$BA$205^A38,IF(A38='Données projet'!$A$88,'Données projet'!$B$88,BD37+BC38-BL37)))</f>
        <v>143.3000000000001</v>
      </c>
      <c r="BE38" s="13">
        <f>BD38*VLOOKUP('Données projet'!$B$11,Paramètres!$A$1:$I$89,3,0)*VLOOKUP('Données projet'!$B$11,Paramètres!$A$1:$I$89,5,0)</f>
        <v>129.65784000000008</v>
      </c>
      <c r="BF38" s="13">
        <f t="shared" si="37"/>
        <v>33.917284079455818</v>
      </c>
      <c r="BG38" s="20">
        <f t="shared" si="7"/>
        <v>284.89334110505234</v>
      </c>
      <c r="BH38" s="59">
        <f t="shared" si="8"/>
        <v>578.22667443838566</v>
      </c>
      <c r="BI38" s="59">
        <f ca="1">AVERAGE(OFFSET($BH$3,0,0,'Données projet'!$E$11+1,1))-AVERAGE(OFFSET($H$3,0,0,'Données projet'!$E$11+1,1))</f>
        <v>573.17174498173017</v>
      </c>
      <c r="BJ38" s="59">
        <f t="shared" si="38"/>
        <v>260.48854096157231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4.0942857142857143</v>
      </c>
      <c r="BY38" s="12">
        <f>IF('Données projet'!$A$114&gt;35,BY37+BX38-CG37,IF(A38&lt;'Données projet'!$A$114,$BV$205^A38,IF(A38='Données projet'!$A$114,'Données projet'!$B$114,BY37+BX38-CG37)))</f>
        <v>143.3000000000001</v>
      </c>
      <c r="BZ38" s="13">
        <f>BY38*VLOOKUP('Données projet'!$B$12,Paramètres!$A$1:$I$89,3,0)*VLOOKUP('Données projet'!$B$12,Paramètres!$A$1:$I$89,5,0)</f>
        <v>136.36428000000009</v>
      </c>
      <c r="CA38" s="13">
        <f t="shared" si="39"/>
        <v>35.462841911056067</v>
      </c>
      <c r="CB38" s="20">
        <f t="shared" si="10"/>
        <v>299.26557066175616</v>
      </c>
      <c r="CC38" s="59">
        <f t="shared" si="11"/>
        <v>592.59890399508947</v>
      </c>
      <c r="CD38" s="59">
        <f ca="1">AVERAGE(OFFSET($CC$3,0,0,'Données projet'!$E$12+1,1))-AVERAGE(OFFSET($H$3,0,0,'Données projet'!$E$12+1,1))</f>
        <v>603.61135046904178</v>
      </c>
      <c r="CE38" s="59">
        <f t="shared" si="40"/>
        <v>272.84936867513068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10.8108</v>
      </c>
      <c r="D39" s="11">
        <f t="shared" si="32"/>
        <v>3.7763204990652208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61.931283522347087</v>
      </c>
      <c r="H39" s="67">
        <f t="shared" si="1"/>
        <v>282.0725682025386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4.9999999999999973</v>
      </c>
      <c r="N39" s="13">
        <f>IF('Données projet'!$A$36&gt;35,N38+M39-V38,IF(A39&lt;'Données projet'!$A$36,$K$205^A39,IF(A39='Données projet'!$A$36,'Données projet'!$B$36,N38+M39-V38)))</f>
        <v>87.692307692307708</v>
      </c>
      <c r="O39" s="13">
        <f>N39*VLOOKUP('Données projet'!$B$9,Paramètres!$A$1:$I$89,3,0)*VLOOKUP('Données projet'!$B$9,Paramètres!$A$1:$I$89,5,0)</f>
        <v>91.65600000000002</v>
      </c>
      <c r="P39" s="13">
        <f t="shared" si="33"/>
        <v>24.964187521971738</v>
      </c>
      <c r="Q39" s="20">
        <f t="shared" si="53"/>
        <v>203.11349326743414</v>
      </c>
      <c r="R39" s="59">
        <f t="shared" si="0"/>
        <v>496.44682660076745</v>
      </c>
      <c r="S39" s="59">
        <f ca="1">AVERAGE(OFFSET($R$3,0,0,'Données projet'!$E$9+1,1))-AVERAGE(OFFSET($H$3,0,0,'Données projet'!$E$9+1,1))</f>
        <v>225.9892575177542</v>
      </c>
      <c r="T39" s="59">
        <f t="shared" si="34"/>
        <v>215.88467215650428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13.788478949537875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13.788478949537875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4.0942857142857143</v>
      </c>
      <c r="AI39" s="13">
        <f>IF('Données projet'!$A$62&gt;35,AI38+AH39-AQ38,IF(A39&lt;'Données projet'!$A$62,$AF$205^A39,IF(A39='Données projet'!$A$62,'Données projet'!$B$62,AI38+AH39-AQ38)))</f>
        <v>147.39428571428581</v>
      </c>
      <c r="AJ39" s="13">
        <f>AI39*VLOOKUP('Données projet'!$B$10,Paramètres!$A$1:$I$89,3,0)*VLOOKUP('Données projet'!$B$10,Paramètres!$A$1:$I$89,5,0)</f>
        <v>149.45780571428583</v>
      </c>
      <c r="AK39" s="13">
        <f t="shared" si="35"/>
        <v>38.455344067865383</v>
      </c>
      <c r="AL39" s="20">
        <f t="shared" si="4"/>
        <v>327.2820692039133</v>
      </c>
      <c r="AM39" s="59">
        <f t="shared" si="5"/>
        <v>620.61540253724661</v>
      </c>
      <c r="AN39" s="59">
        <f ca="1">AVERAGE(OFFSET($AM$3,0,0,'Données projet'!$E$10+1,1))-AVERAGE(OFFSET($H$3,0,0,'Données projet'!$E$10+1,1))</f>
        <v>644.15138437063933</v>
      </c>
      <c r="AO39" s="59">
        <f t="shared" si="36"/>
        <v>289.3097279858207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4.0942857142857143</v>
      </c>
      <c r="BD39" s="12">
        <f>IF('Données projet'!$A$88&gt;35,BD38+BC39-BL38,IF(A39&lt;'Données projet'!$A$88,$BA$205^A39,IF(A39='Données projet'!$A$88,'Données projet'!$B$88,BD38+BC39-BL38)))</f>
        <v>147.39428571428581</v>
      </c>
      <c r="BE39" s="13">
        <f>BD39*VLOOKUP('Données projet'!$B$11,Paramètres!$A$1:$I$89,3,0)*VLOOKUP('Données projet'!$B$11,Paramètres!$A$1:$I$89,5,0)</f>
        <v>133.36234971428578</v>
      </c>
      <c r="BF39" s="13">
        <f t="shared" si="37"/>
        <v>34.772141208569977</v>
      </c>
      <c r="BG39" s="20">
        <f t="shared" si="7"/>
        <v>292.83423835730713</v>
      </c>
      <c r="BH39" s="59">
        <f t="shared" si="8"/>
        <v>586.16757169064044</v>
      </c>
      <c r="BI39" s="59">
        <f ca="1">AVERAGE(OFFSET($BH$3,0,0,'Données projet'!$E$11+1,1))-AVERAGE(OFFSET($H$3,0,0,'Données projet'!$E$11+1,1))</f>
        <v>573.17174498173017</v>
      </c>
      <c r="BJ39" s="59">
        <f t="shared" si="38"/>
        <v>260.48854096157231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4.0942857142857143</v>
      </c>
      <c r="BY39" s="12">
        <f>IF('Données projet'!$A$114&gt;35,BY38+BX39-CG38,IF(A39&lt;'Données projet'!$A$114,$BV$205^A39,IF(A39='Données projet'!$A$114,'Données projet'!$B$114,BY38+BX39-CG38)))</f>
        <v>147.39428571428581</v>
      </c>
      <c r="BZ39" s="13">
        <f>BY39*VLOOKUP('Données projet'!$B$12,Paramètres!$A$1:$I$89,3,0)*VLOOKUP('Données projet'!$B$12,Paramètres!$A$1:$I$89,5,0)</f>
        <v>140.26040228571438</v>
      </c>
      <c r="CA39" s="13">
        <f t="shared" si="39"/>
        <v>36.356653548665221</v>
      </c>
      <c r="CB39" s="20">
        <f t="shared" si="10"/>
        <v>307.60803891154438</v>
      </c>
      <c r="CC39" s="59">
        <f t="shared" si="11"/>
        <v>600.9413722448777</v>
      </c>
      <c r="CD39" s="59">
        <f ca="1">AVERAGE(OFFSET($CC$3,0,0,'Données projet'!$E$12+1,1))-AVERAGE(OFFSET($H$3,0,0,'Données projet'!$E$12+1,1))</f>
        <v>603.61135046904178</v>
      </c>
      <c r="CE39" s="59">
        <f t="shared" si="40"/>
        <v>272.84936867513068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11.1111</v>
      </c>
      <c r="D40" s="11">
        <f t="shared" si="32"/>
        <v>3.8688598692379923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63.599127865887624</v>
      </c>
      <c r="H40" s="67">
        <f t="shared" si="1"/>
        <v>282.75676343892286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4.9999999999999973</v>
      </c>
      <c r="N40" s="13">
        <f>IF('Données projet'!$A$36&gt;35,N39+M40-V39,IF(A40&lt;'Données projet'!$A$36,$K$205^A40,IF(A40='Données projet'!$A$36,'Données projet'!$B$36,N39+M40-V39)))</f>
        <v>92.692307692307708</v>
      </c>
      <c r="O40" s="13">
        <f>N40*VLOOKUP('Données projet'!$B$9,Paramètres!$A$1:$I$89,3,0)*VLOOKUP('Données projet'!$B$9,Paramètres!$A$1:$I$89,5,0)</f>
        <v>96.882000000000033</v>
      </c>
      <c r="P40" s="13">
        <f t="shared" si="33"/>
        <v>26.21781316207062</v>
      </c>
      <c r="Q40" s="20">
        <f t="shared" si="53"/>
        <v>214.39884125727303</v>
      </c>
      <c r="R40" s="59">
        <f t="shared" si="0"/>
        <v>507.73217459060635</v>
      </c>
      <c r="S40" s="59">
        <f ca="1">AVERAGE(OFFSET($R$3,0,0,'Données projet'!$E$9+1,1))-AVERAGE(OFFSET($H$3,0,0,'Données projet'!$E$9+1,1))</f>
        <v>225.9892575177542</v>
      </c>
      <c r="T40" s="59">
        <f t="shared" si="34"/>
        <v>215.88467215650428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13.411432267558169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13.411432267558169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4.0942857142857143</v>
      </c>
      <c r="AI40" s="13">
        <f>IF('Données projet'!$A$62&gt;35,AI39+AH40-AQ39,IF(A40&lt;'Données projet'!$A$62,$AF$205^A40,IF(A40='Données projet'!$A$62,'Données projet'!$B$62,AI39+AH40-AQ39)))</f>
        <v>151.48857142857153</v>
      </c>
      <c r="AJ40" s="13">
        <f>AI40*VLOOKUP('Données projet'!$B$10,Paramètres!$A$1:$I$89,3,0)*VLOOKUP('Données projet'!$B$10,Paramètres!$A$1:$I$89,5,0)</f>
        <v>153.60941142857155</v>
      </c>
      <c r="AK40" s="13">
        <f t="shared" si="35"/>
        <v>39.397698754311712</v>
      </c>
      <c r="AL40" s="20">
        <f t="shared" si="4"/>
        <v>336.15405023518832</v>
      </c>
      <c r="AM40" s="59">
        <f t="shared" si="5"/>
        <v>629.48738356852164</v>
      </c>
      <c r="AN40" s="59">
        <f ca="1">AVERAGE(OFFSET($AM$3,0,0,'Données projet'!$E$10+1,1))-AVERAGE(OFFSET($H$3,0,0,'Données projet'!$E$10+1,1))</f>
        <v>644.15138437063933</v>
      </c>
      <c r="AO40" s="59">
        <f t="shared" si="36"/>
        <v>289.3097279858207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4.0942857142857143</v>
      </c>
      <c r="BD40" s="12">
        <f>IF('Données projet'!$A$88&gt;35,BD39+BC40-BL39,IF(A40&lt;'Données projet'!$A$88,$BA$205^A40,IF(A40='Données projet'!$A$88,'Données projet'!$B$88,BD39+BC40-BL39)))</f>
        <v>151.48857142857153</v>
      </c>
      <c r="BE40" s="13">
        <f>BD40*VLOOKUP('Données projet'!$B$11,Paramètres!$A$1:$I$89,3,0)*VLOOKUP('Données projet'!$B$11,Paramètres!$A$1:$I$89,5,0)</f>
        <v>137.06685942857152</v>
      </c>
      <c r="BF40" s="13">
        <f t="shared" si="37"/>
        <v>35.624238388297236</v>
      </c>
      <c r="BG40" s="20">
        <f t="shared" si="7"/>
        <v>300.77032869771307</v>
      </c>
      <c r="BH40" s="59">
        <f t="shared" si="8"/>
        <v>594.10366203104638</v>
      </c>
      <c r="BI40" s="59">
        <f ca="1">AVERAGE(OFFSET($BH$3,0,0,'Données projet'!$E$11+1,1))-AVERAGE(OFFSET($H$3,0,0,'Données projet'!$E$11+1,1))</f>
        <v>573.17174498173017</v>
      </c>
      <c r="BJ40" s="59">
        <f t="shared" si="38"/>
        <v>260.48854096157231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4.0942857142857143</v>
      </c>
      <c r="BY40" s="12">
        <f>IF('Données projet'!$A$114&gt;35,BY39+BX40-CG39,IF(A40&lt;'Données projet'!$A$114,$BV$205^A40,IF(A40='Données projet'!$A$114,'Données projet'!$B$114,BY39+BX40-CG39)))</f>
        <v>151.48857142857153</v>
      </c>
      <c r="BZ40" s="13">
        <f>BY40*VLOOKUP('Données projet'!$B$12,Paramètres!$A$1:$I$89,3,0)*VLOOKUP('Données projet'!$B$12,Paramètres!$A$1:$I$89,5,0)</f>
        <v>144.15652457142866</v>
      </c>
      <c r="CA40" s="13">
        <f t="shared" si="39"/>
        <v>37.247579470290766</v>
      </c>
      <c r="CB40" s="20">
        <f t="shared" si="10"/>
        <v>315.94548120599461</v>
      </c>
      <c r="CC40" s="59">
        <f t="shared" si="11"/>
        <v>609.27881453932787</v>
      </c>
      <c r="CD40" s="59">
        <f ca="1">AVERAGE(OFFSET($CC$3,0,0,'Données projet'!$E$12+1,1))-AVERAGE(OFFSET($H$3,0,0,'Données projet'!$E$12+1,1))</f>
        <v>603.61135046904178</v>
      </c>
      <c r="CE40" s="59">
        <f t="shared" si="40"/>
        <v>272.84936867513068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11.4114</v>
      </c>
      <c r="D41" s="11">
        <f t="shared" si="32"/>
        <v>3.9611085356056823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65.265737993273248</v>
      </c>
      <c r="H41" s="67">
        <f t="shared" si="1"/>
        <v>283.4404523661799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4.9999999999999973</v>
      </c>
      <c r="N41" s="13">
        <f>IF('Données projet'!$A$36&gt;35,N40+M41-V40,IF(A41&lt;'Données projet'!$A$36,$K$205^A41,IF(A41='Données projet'!$A$36,'Données projet'!$B$36,N40+M41-V40)))</f>
        <v>97.692307692307708</v>
      </c>
      <c r="O41" s="13">
        <f>N41*VLOOKUP('Données projet'!$B$9,Paramètres!$A$1:$I$89,3,0)*VLOOKUP('Données projet'!$B$9,Paramètres!$A$1:$I$89,5,0)</f>
        <v>102.10800000000003</v>
      </c>
      <c r="P41" s="13">
        <f t="shared" si="33"/>
        <v>27.463588130350807</v>
      </c>
      <c r="Q41" s="20">
        <f t="shared" si="53"/>
        <v>225.67051599369438</v>
      </c>
      <c r="R41" s="59">
        <f t="shared" si="0"/>
        <v>519.00384932702764</v>
      </c>
      <c r="S41" s="59">
        <f ca="1">AVERAGE(OFFSET($R$3,0,0,'Données projet'!$E$9+1,1))-AVERAGE(OFFSET($H$3,0,0,'Données projet'!$E$9+1,1))</f>
        <v>225.9892575177542</v>
      </c>
      <c r="T41" s="59">
        <f t="shared" si="34"/>
        <v>215.88467215650428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13.04469594692522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13.04469594692522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4.0942857142857143</v>
      </c>
      <c r="AI41" s="13">
        <f>IF('Données projet'!$A$62&gt;35,AI40+AH41-AQ40,IF(A41&lt;'Données projet'!$A$62,$AF$205^A41,IF(A41='Données projet'!$A$62,'Données projet'!$B$62,AI40+AH41-AQ40)))</f>
        <v>155.58285714285725</v>
      </c>
      <c r="AJ41" s="13">
        <f>AI41*VLOOKUP('Données projet'!$B$10,Paramètres!$A$1:$I$89,3,0)*VLOOKUP('Données projet'!$B$10,Paramètres!$A$1:$I$89,5,0)</f>
        <v>157.76101714285727</v>
      </c>
      <c r="AK41" s="13">
        <f t="shared" si="35"/>
        <v>40.337093121354812</v>
      </c>
      <c r="AL41" s="20">
        <f t="shared" si="4"/>
        <v>345.02087537683605</v>
      </c>
      <c r="AM41" s="59">
        <f t="shared" si="5"/>
        <v>638.35420871016936</v>
      </c>
      <c r="AN41" s="59">
        <f ca="1">AVERAGE(OFFSET($AM$3,0,0,'Données projet'!$E$10+1,1))-AVERAGE(OFFSET($H$3,0,0,'Données projet'!$E$10+1,1))</f>
        <v>644.15138437063933</v>
      </c>
      <c r="AO41" s="59">
        <f t="shared" si="36"/>
        <v>289.3097279858207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4.0942857142857143</v>
      </c>
      <c r="BD41" s="12">
        <f>IF('Données projet'!$A$88&gt;35,BD40+BC41-BL40,IF(A41&lt;'Données projet'!$A$88,$BA$205^A41,IF(A41='Données projet'!$A$88,'Données projet'!$B$88,BD40+BC41-BL40)))</f>
        <v>155.58285714285725</v>
      </c>
      <c r="BE41" s="13">
        <f>BD41*VLOOKUP('Données projet'!$B$11,Paramètres!$A$1:$I$89,3,0)*VLOOKUP('Données projet'!$B$11,Paramètres!$A$1:$I$89,5,0)</f>
        <v>140.77136914285722</v>
      </c>
      <c r="BF41" s="13">
        <f t="shared" si="37"/>
        <v>36.473658784165018</v>
      </c>
      <c r="BG41" s="20">
        <f t="shared" si="7"/>
        <v>308.70175697289704</v>
      </c>
      <c r="BH41" s="59">
        <f t="shared" si="8"/>
        <v>602.03509030623036</v>
      </c>
      <c r="BI41" s="59">
        <f ca="1">AVERAGE(OFFSET($BH$3,0,0,'Données projet'!$E$11+1,1))-AVERAGE(OFFSET($H$3,0,0,'Données projet'!$E$11+1,1))</f>
        <v>573.17174498173017</v>
      </c>
      <c r="BJ41" s="59">
        <f t="shared" si="38"/>
        <v>260.48854096157231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4.0942857142857143</v>
      </c>
      <c r="BY41" s="12">
        <f>IF('Données projet'!$A$114&gt;35,BY40+BX41-CG40,IF(A41&lt;'Données projet'!$A$114,$BV$205^A41,IF(A41='Données projet'!$A$114,'Données projet'!$B$114,BY40+BX41-CG40)))</f>
        <v>155.58285714285725</v>
      </c>
      <c r="BZ41" s="13">
        <f>BY41*VLOOKUP('Données projet'!$B$12,Paramètres!$A$1:$I$89,3,0)*VLOOKUP('Données projet'!$B$12,Paramètres!$A$1:$I$89,5,0)</f>
        <v>148.05264685714295</v>
      </c>
      <c r="CA41" s="13">
        <f t="shared" si="39"/>
        <v>38.135706631183687</v>
      </c>
      <c r="CB41" s="20">
        <f t="shared" si="10"/>
        <v>324.27804899216886</v>
      </c>
      <c r="CC41" s="59">
        <f t="shared" si="11"/>
        <v>617.61138232550218</v>
      </c>
      <c r="CD41" s="59">
        <f ca="1">AVERAGE(OFFSET($CC$3,0,0,'Données projet'!$E$12+1,1))-AVERAGE(OFFSET($H$3,0,0,'Données projet'!$E$12+1,1))</f>
        <v>603.61135046904178</v>
      </c>
      <c r="CE41" s="59">
        <f t="shared" si="40"/>
        <v>272.84936867513068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11.7117</v>
      </c>
      <c r="D42" s="11">
        <f t="shared" si="32"/>
        <v>4.0530750276657255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66.931150117458003</v>
      </c>
      <c r="H42" s="67">
        <f t="shared" si="1"/>
        <v>284.12364983985117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4.9999999999999973</v>
      </c>
      <c r="N42" s="13">
        <f>IF('Données projet'!$A$36&gt;35,N41+M42-V41,IF(A42&lt;'Données projet'!$A$36,$K$205^A42,IF(A42='Données projet'!$A$36,'Données projet'!$B$36,N41+M42-V41)))</f>
        <v>102.69230769230771</v>
      </c>
      <c r="O42" s="13">
        <f>N42*VLOOKUP('Données projet'!$B$9,Paramètres!$A$1:$I$89,3,0)*VLOOKUP('Données projet'!$B$9,Paramètres!$A$1:$I$89,5,0)</f>
        <v>107.33400000000002</v>
      </c>
      <c r="P42" s="13">
        <f t="shared" si="33"/>
        <v>28.701960070060018</v>
      </c>
      <c r="Q42" s="20">
        <f t="shared" si="53"/>
        <v>236.92929712202124</v>
      </c>
      <c r="R42" s="59">
        <f t="shared" si="0"/>
        <v>530.26263045535461</v>
      </c>
      <c r="S42" s="59">
        <f ca="1">AVERAGE(OFFSET($R$3,0,0,'Données projet'!$E$9+1,1))-AVERAGE(OFFSET($H$3,0,0,'Données projet'!$E$9+1,1))</f>
        <v>225.9892575177542</v>
      </c>
      <c r="T42" s="59">
        <f t="shared" si="34"/>
        <v>215.88467215650428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12.687988050265805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12.687988050265805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4.0942857142857143</v>
      </c>
      <c r="AI42" s="13">
        <f>IF('Données projet'!$A$62&gt;35,AI41+AH42-AQ41,IF(A42&lt;'Données projet'!$A$62,$AF$205^A42,IF(A42='Données projet'!$A$62,'Données projet'!$B$62,AI41+AH42-AQ41)))</f>
        <v>159.67714285714297</v>
      </c>
      <c r="AJ42" s="13">
        <f>AI42*VLOOKUP('Données projet'!$B$10,Paramètres!$A$1:$I$89,3,0)*VLOOKUP('Données projet'!$B$10,Paramètres!$A$1:$I$89,5,0)</f>
        <v>161.91262285714299</v>
      </c>
      <c r="AK42" s="13">
        <f t="shared" si="35"/>
        <v>41.273614027289312</v>
      </c>
      <c r="AL42" s="20">
        <f t="shared" si="4"/>
        <v>353.88269590705289</v>
      </c>
      <c r="AM42" s="59">
        <f t="shared" si="5"/>
        <v>647.21602924038621</v>
      </c>
      <c r="AN42" s="59">
        <f ca="1">AVERAGE(OFFSET($AM$3,0,0,'Données projet'!$E$10+1,1))-AVERAGE(OFFSET($H$3,0,0,'Données projet'!$E$10+1,1))</f>
        <v>644.15138437063933</v>
      </c>
      <c r="AO42" s="59">
        <f t="shared" si="36"/>
        <v>289.3097279858207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4.0942857142857143</v>
      </c>
      <c r="BD42" s="12">
        <f>IF('Données projet'!$A$88&gt;35,BD41+BC42-BL41,IF(A42&lt;'Données projet'!$A$88,$BA$205^A42,IF(A42='Données projet'!$A$88,'Données projet'!$B$88,BD41+BC42-BL41)))</f>
        <v>159.67714285714297</v>
      </c>
      <c r="BE42" s="13">
        <f>BD42*VLOOKUP('Données projet'!$B$11,Paramètres!$A$1:$I$89,3,0)*VLOOKUP('Données projet'!$B$11,Paramètres!$A$1:$I$89,5,0)</f>
        <v>144.47587885714296</v>
      </c>
      <c r="BF42" s="13">
        <f t="shared" si="37"/>
        <v>37.320480935293446</v>
      </c>
      <c r="BG42" s="20">
        <f t="shared" si="7"/>
        <v>316.62865997182678</v>
      </c>
      <c r="BH42" s="59">
        <f t="shared" si="8"/>
        <v>609.96199330516015</v>
      </c>
      <c r="BI42" s="59">
        <f ca="1">AVERAGE(OFFSET($BH$3,0,0,'Données projet'!$E$11+1,1))-AVERAGE(OFFSET($H$3,0,0,'Données projet'!$E$11+1,1))</f>
        <v>573.17174498173017</v>
      </c>
      <c r="BJ42" s="59">
        <f t="shared" si="38"/>
        <v>260.48854096157231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4.0942857142857143</v>
      </c>
      <c r="BY42" s="12">
        <f>IF('Données projet'!$A$114&gt;35,BY41+BX42-CG41,IF(A42&lt;'Données projet'!$A$114,$BV$205^A42,IF(A42='Données projet'!$A$114,'Données projet'!$B$114,BY41+BX42-CG41)))</f>
        <v>159.67714285714297</v>
      </c>
      <c r="BZ42" s="13">
        <f>BY42*VLOOKUP('Données projet'!$B$12,Paramètres!$A$1:$I$89,3,0)*VLOOKUP('Données projet'!$B$12,Paramètres!$A$1:$I$89,5,0)</f>
        <v>151.94876914285726</v>
      </c>
      <c r="CA42" s="13">
        <f t="shared" si="39"/>
        <v>39.021117149369502</v>
      </c>
      <c r="CB42" s="20">
        <f t="shared" si="10"/>
        <v>332.60588529229494</v>
      </c>
      <c r="CC42" s="59">
        <f t="shared" si="11"/>
        <v>625.9392186256282</v>
      </c>
      <c r="CD42" s="59">
        <f ca="1">AVERAGE(OFFSET($CC$3,0,0,'Données projet'!$E$12+1,1))-AVERAGE(OFFSET($H$3,0,0,'Données projet'!$E$12+1,1))</f>
        <v>603.61135046904178</v>
      </c>
      <c r="CE42" s="59">
        <f t="shared" si="40"/>
        <v>272.84936867513068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12.012</v>
      </c>
      <c r="D43" s="11">
        <f t="shared" si="32"/>
        <v>4.1447674125853933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68.595398488520445</v>
      </c>
      <c r="H43" s="67">
        <f t="shared" si="1"/>
        <v>284.8063699102529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107.69230769230768</v>
      </c>
      <c r="L43" s="12">
        <f>VLOOKUP(A43,'Données projet'!$A$35:$I$55,9,0)</f>
        <v>4.9999999999999973</v>
      </c>
      <c r="M43" s="12">
        <f t="array" ref="M43">INDEX(L:L,MIN(IF(ISNUMBER(L43:L239),ROW(L43:L239),"")))</f>
        <v>4.9999999999999973</v>
      </c>
      <c r="N43" s="13">
        <f>IF('Données projet'!$A$36&gt;35,N42+M43-V42,IF(A43&lt;'Données projet'!$A$36,$K$205^A43,IF(A43='Données projet'!$A$36,'Données projet'!$B$36,N42+M43-V42)))</f>
        <v>107.69230769230771</v>
      </c>
      <c r="O43" s="13">
        <f>N43*VLOOKUP('Données projet'!$B$9,Paramètres!$A$1:$I$89,3,0)*VLOOKUP('Données projet'!$B$9,Paramètres!$A$1:$I$89,5,0)</f>
        <v>112.56000000000003</v>
      </c>
      <c r="P43" s="13">
        <f t="shared" si="33"/>
        <v>29.933330570949426</v>
      </c>
      <c r="Q43" s="20">
        <f t="shared" si="53"/>
        <v>248.17588407773692</v>
      </c>
      <c r="R43" s="59">
        <f t="shared" si="0"/>
        <v>541.50921741107027</v>
      </c>
      <c r="S43" s="59">
        <f ca="1">AVERAGE(OFFSET($R$3,0,0,'Données projet'!$E$9+1,1))-AVERAGE(OFFSET($H$3,0,0,'Données projet'!$E$9+1,1))</f>
        <v>225.9892575177542</v>
      </c>
      <c r="T43" s="59">
        <f t="shared" si="34"/>
        <v>215.88467215650428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14.743589743589743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0.215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15.989202528559741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15.989202528559741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4.0942857142857143</v>
      </c>
      <c r="AI43" s="13">
        <f>IF('Données projet'!$A$62&gt;35,AI42+AH43-AQ42,IF(A43&lt;'Données projet'!$A$62,$AF$205^A43,IF(A43='Données projet'!$A$62,'Données projet'!$B$62,AI42+AH43-AQ42)))</f>
        <v>163.77142857142869</v>
      </c>
      <c r="AJ43" s="13">
        <f>AI43*VLOOKUP('Données projet'!$B$10,Paramètres!$A$1:$I$89,3,0)*VLOOKUP('Données projet'!$B$10,Paramètres!$A$1:$I$89,5,0)</f>
        <v>166.06422857142869</v>
      </c>
      <c r="AK43" s="13">
        <f t="shared" si="35"/>
        <v>42.20734362237048</v>
      </c>
      <c r="AL43" s="20">
        <f t="shared" si="4"/>
        <v>362.73965490420022</v>
      </c>
      <c r="AM43" s="59">
        <f t="shared" si="5"/>
        <v>656.07298823753354</v>
      </c>
      <c r="AN43" s="59">
        <f ca="1">AVERAGE(OFFSET($AM$3,0,0,'Données projet'!$E$10+1,1))-AVERAGE(OFFSET($H$3,0,0,'Données projet'!$E$10+1,1))</f>
        <v>644.15138437063933</v>
      </c>
      <c r="AO43" s="59">
        <f t="shared" si="36"/>
        <v>289.3097279858207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4.0942857142857143</v>
      </c>
      <c r="BD43" s="12">
        <f>IF('Données projet'!$A$88&gt;35,BD42+BC43-BL42,IF(A43&lt;'Données projet'!$A$88,$BA$205^A43,IF(A43='Données projet'!$A$88,'Données projet'!$B$88,BD42+BC43-BL42)))</f>
        <v>163.77142857142869</v>
      </c>
      <c r="BE43" s="13">
        <f>BD43*VLOOKUP('Données projet'!$B$11,Paramètres!$A$1:$I$89,3,0)*VLOOKUP('Données projet'!$B$11,Paramètres!$A$1:$I$89,5,0)</f>
        <v>148.18038857142867</v>
      </c>
      <c r="BF43" s="13">
        <f t="shared" si="37"/>
        <v>38.16477912369308</v>
      </c>
      <c r="BG43" s="20">
        <f t="shared" si="7"/>
        <v>324.55116706900372</v>
      </c>
      <c r="BH43" s="59">
        <f t="shared" si="8"/>
        <v>617.88450040233704</v>
      </c>
      <c r="BI43" s="59">
        <f ca="1">AVERAGE(OFFSET($BH$3,0,0,'Données projet'!$E$11+1,1))-AVERAGE(OFFSET($H$3,0,0,'Données projet'!$E$11+1,1))</f>
        <v>573.17174498173017</v>
      </c>
      <c r="BJ43" s="59">
        <f t="shared" si="38"/>
        <v>260.48854096157231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4.0942857142857143</v>
      </c>
      <c r="BY43" s="12">
        <f>IF('Données projet'!$A$114&gt;35,BY42+BX43-CG42,IF(A43&lt;'Données projet'!$A$114,$BV$205^A43,IF(A43='Données projet'!$A$114,'Données projet'!$B$114,BY42+BX43-CG42)))</f>
        <v>163.77142857142869</v>
      </c>
      <c r="BZ43" s="13">
        <f>BY43*VLOOKUP('Données projet'!$B$12,Paramètres!$A$1:$I$89,3,0)*VLOOKUP('Données projet'!$B$12,Paramètres!$A$1:$I$89,5,0)</f>
        <v>155.84489142857154</v>
      </c>
      <c r="CA43" s="13">
        <f t="shared" si="39"/>
        <v>39.903888691774469</v>
      </c>
      <c r="CB43" s="20">
        <f t="shared" si="10"/>
        <v>340.92912537626927</v>
      </c>
      <c r="CC43" s="59">
        <f t="shared" si="11"/>
        <v>634.26245870960258</v>
      </c>
      <c r="CD43" s="59">
        <f ca="1">AVERAGE(OFFSET($CC$3,0,0,'Données projet'!$E$12+1,1))-AVERAGE(OFFSET($H$3,0,0,'Données projet'!$E$12+1,1))</f>
        <v>603.61135046904178</v>
      </c>
      <c r="CE43" s="59">
        <f t="shared" si="40"/>
        <v>272.84936867513068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12.3123</v>
      </c>
      <c r="D44" s="11">
        <f t="shared" si="32"/>
        <v>4.2361933311846869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70.258515546433244</v>
      </c>
      <c r="H44" s="67">
        <f t="shared" si="1"/>
        <v>285.48862588514669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4.487179487179489</v>
      </c>
      <c r="N44" s="13">
        <f>IF('Données projet'!$A$36&gt;35,N43+M44-V43,IF(A44&lt;'Données projet'!$A$36,$K$205^A44,IF(A44='Données projet'!$A$36,'Données projet'!$B$36,N43+M44-V43)))</f>
        <v>97.435897435897459</v>
      </c>
      <c r="O44" s="13">
        <f>N44*VLOOKUP('Données projet'!$B$9,Paramètres!$A$1:$I$89,3,0)*VLOOKUP('Données projet'!$B$9,Paramètres!$A$1:$I$89,5,0)</f>
        <v>101.84000000000003</v>
      </c>
      <c r="P44" s="13">
        <f t="shared" si="33"/>
        <v>27.399885933503842</v>
      </c>
      <c r="Q44" s="20">
        <f t="shared" si="53"/>
        <v>225.09280133418588</v>
      </c>
      <c r="R44" s="59">
        <f t="shared" si="0"/>
        <v>518.42613466751914</v>
      </c>
      <c r="S44" s="59">
        <f ca="1">AVERAGE(OFFSET($R$3,0,0,'Données projet'!$E$9+1,1))-AVERAGE(OFFSET($H$3,0,0,'Données projet'!$E$9+1,1))</f>
        <v>225.9892575177542</v>
      </c>
      <c r="T44" s="59">
        <f t="shared" si="34"/>
        <v>215.88467215650428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15.551976944580657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15.551976944580657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4.0942857142857143</v>
      </c>
      <c r="AI44" s="13">
        <f>IF('Données projet'!$A$62&gt;35,AI43+AH44-AQ43,IF(A44&lt;'Données projet'!$A$62,$AF$205^A44,IF(A44='Données projet'!$A$62,'Données projet'!$B$62,AI43+AH44-AQ43)))</f>
        <v>167.8657142857144</v>
      </c>
      <c r="AJ44" s="13">
        <f>AI44*VLOOKUP('Données projet'!$B$10,Paramètres!$A$1:$I$89,3,0)*VLOOKUP('Données projet'!$B$10,Paramètres!$A$1:$I$89,5,0)</f>
        <v>170.21583428571441</v>
      </c>
      <c r="AK44" s="13">
        <f t="shared" si="35"/>
        <v>43.138359715238352</v>
      </c>
      <c r="AL44" s="20">
        <f t="shared" si="4"/>
        <v>371.59188788499273</v>
      </c>
      <c r="AM44" s="59">
        <f t="shared" si="5"/>
        <v>664.92522121832599</v>
      </c>
      <c r="AN44" s="59">
        <f ca="1">AVERAGE(OFFSET($AM$3,0,0,'Données projet'!$E$10+1,1))-AVERAGE(OFFSET($H$3,0,0,'Données projet'!$E$10+1,1))</f>
        <v>644.15138437063933</v>
      </c>
      <c r="AO44" s="59">
        <f t="shared" si="36"/>
        <v>289.3097279858207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4.0942857142857143</v>
      </c>
      <c r="BD44" s="12">
        <f>IF('Données projet'!$A$88&gt;35,BD43+BC44-BL43,IF(A44&lt;'Données projet'!$A$88,$BA$205^A44,IF(A44='Données projet'!$A$88,'Données projet'!$B$88,BD43+BC44-BL43)))</f>
        <v>167.8657142857144</v>
      </c>
      <c r="BE44" s="13">
        <f>BD44*VLOOKUP('Données projet'!$B$11,Paramètres!$A$1:$I$89,3,0)*VLOOKUP('Données projet'!$B$11,Paramètres!$A$1:$I$89,5,0)</f>
        <v>151.88489828571437</v>
      </c>
      <c r="BF44" s="13">
        <f t="shared" si="37"/>
        <v>39.006623705593562</v>
      </c>
      <c r="BG44" s="20">
        <f t="shared" si="7"/>
        <v>332.46940080152797</v>
      </c>
      <c r="BH44" s="59">
        <f t="shared" si="8"/>
        <v>625.80273413486134</v>
      </c>
      <c r="BI44" s="59">
        <f ca="1">AVERAGE(OFFSET($BH$3,0,0,'Données projet'!$E$11+1,1))-AVERAGE(OFFSET($H$3,0,0,'Données projet'!$E$11+1,1))</f>
        <v>573.17174498173017</v>
      </c>
      <c r="BJ44" s="59">
        <f t="shared" si="38"/>
        <v>260.48854096157231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4.0942857142857143</v>
      </c>
      <c r="BY44" s="12">
        <f>IF('Données projet'!$A$114&gt;35,BY43+BX44-CG43,IF(A44&lt;'Données projet'!$A$114,$BV$205^A44,IF(A44='Données projet'!$A$114,'Données projet'!$B$114,BY43+BX44-CG43)))</f>
        <v>167.8657142857144</v>
      </c>
      <c r="BZ44" s="13">
        <f>BY44*VLOOKUP('Données projet'!$B$12,Paramètres!$A$1:$I$89,3,0)*VLOOKUP('Données projet'!$B$12,Paramètres!$A$1:$I$89,5,0)</f>
        <v>159.74101371428583</v>
      </c>
      <c r="CA44" s="13">
        <f t="shared" si="39"/>
        <v>40.784094820651994</v>
      </c>
      <c r="CB44" s="20">
        <f t="shared" si="10"/>
        <v>349.24789736501674</v>
      </c>
      <c r="CC44" s="59">
        <f t="shared" si="11"/>
        <v>642.58123069835005</v>
      </c>
      <c r="CD44" s="59">
        <f ca="1">AVERAGE(OFFSET($CC$3,0,0,'Données projet'!$E$12+1,1))-AVERAGE(OFFSET($H$3,0,0,'Données projet'!$E$12+1,1))</f>
        <v>603.61135046904178</v>
      </c>
      <c r="CE44" s="59">
        <f t="shared" si="40"/>
        <v>272.84936867513068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12.6126</v>
      </c>
      <c r="D45" s="11">
        <f t="shared" si="32"/>
        <v>4.327360030309876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71.920532058508613</v>
      </c>
      <c r="H45" s="67">
        <f t="shared" si="1"/>
        <v>286.17043038612303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4.487179487179489</v>
      </c>
      <c r="N45" s="13">
        <f>IF('Données projet'!$A$36&gt;35,N44+M45-V44,IF(A45&lt;'Données projet'!$A$36,$K$205^A45,IF(A45='Données projet'!$A$36,'Données projet'!$B$36,N44+M45-V44)))</f>
        <v>101.92307692307695</v>
      </c>
      <c r="O45" s="13">
        <f>N45*VLOOKUP('Données projet'!$B$9,Paramètres!$A$1:$I$89,3,0)*VLOOKUP('Données projet'!$B$9,Paramètres!$A$1:$I$89,5,0)</f>
        <v>106.53000000000004</v>
      </c>
      <c r="P45" s="13">
        <f t="shared" si="33"/>
        <v>28.511906593363467</v>
      </c>
      <c r="Q45" s="20">
        <f t="shared" si="53"/>
        <v>235.19798731677477</v>
      </c>
      <c r="R45" s="59">
        <f t="shared" si="0"/>
        <v>528.53132065010811</v>
      </c>
      <c r="S45" s="59">
        <f ca="1">AVERAGE(OFFSET($R$3,0,0,'Données projet'!$E$9+1,1))-AVERAGE(OFFSET($H$3,0,0,'Données projet'!$E$9+1,1))</f>
        <v>225.9892575177542</v>
      </c>
      <c r="T45" s="59">
        <f t="shared" si="34"/>
        <v>215.88467215650428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15.126707317188176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15.126707317188176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4.0942857142857143</v>
      </c>
      <c r="AH45" s="12">
        <f t="array" ref="AH45">INDEX(AG:AG,MIN(IF(ISNUMBER(AG45:AG241),ROW(AG45:AG241),"")))</f>
        <v>4.0942857142857143</v>
      </c>
      <c r="AI45" s="13">
        <f>IF('Données projet'!$A$62&gt;35,AI44+AH45-AQ44,IF(A45&lt;'Données projet'!$A$62,$AF$205^A45,IF(A45='Données projet'!$A$62,'Données projet'!$B$62,AI44+AH45-AQ44)))</f>
        <v>171.96000000000012</v>
      </c>
      <c r="AJ45" s="13">
        <f>AI45*VLOOKUP('Données projet'!$B$10,Paramètres!$A$1:$I$89,3,0)*VLOOKUP('Données projet'!$B$10,Paramètres!$A$1:$I$89,5,0)</f>
        <v>174.36744000000013</v>
      </c>
      <c r="AK45" s="13">
        <f t="shared" si="35"/>
        <v>44.066736102586425</v>
      </c>
      <c r="AL45" s="20">
        <f t="shared" si="4"/>
        <v>380.43952337867154</v>
      </c>
      <c r="AM45" s="59">
        <f t="shared" si="5"/>
        <v>673.7728567120048</v>
      </c>
      <c r="AN45" s="59">
        <f ca="1">AVERAGE(OFFSET($AM$3,0,0,'Données projet'!$E$10+1,1))-AVERAGE(OFFSET($H$3,0,0,'Données projet'!$E$10+1,1))</f>
        <v>644.15138437063933</v>
      </c>
      <c r="AO45" s="59">
        <f t="shared" si="36"/>
        <v>289.3097279858207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44.510000000000005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0.34400000000000003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17.095733695579888</v>
      </c>
      <c r="AW45" s="21">
        <f>EXP(-LN(2)/2)*AW44+(1-EXP(-LN(2)/2))/(LN(2)/2)*AQ45*AT45*VLOOKUP('Données projet'!$B$10,Paramètres!$A$1:$I$89,3,0)*0.475*44/12</f>
        <v>8.5168664661306082</v>
      </c>
      <c r="AX45" s="21">
        <f t="shared" si="6"/>
        <v>25.612600161710496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171.96</v>
      </c>
      <c r="BB45" s="12">
        <f>VLOOKUP(A45,'Données projet'!$A$87:$I$107,9,0)</f>
        <v>4.0942857142857143</v>
      </c>
      <c r="BC45" s="12">
        <f t="array" ref="BC45">INDEX(BB:BB,MIN(IF(ISNUMBER(BB45:BB241),ROW(BB45:BB241),"")))</f>
        <v>4.0942857142857143</v>
      </c>
      <c r="BD45" s="12">
        <f>IF('Données projet'!$A$88&gt;35,BD44+BC45-BL44,IF(A45&lt;'Données projet'!$A$88,$BA$205^A45,IF(A45='Données projet'!$A$88,'Données projet'!$B$88,BD44+BC45-BL44)))</f>
        <v>171.96000000000012</v>
      </c>
      <c r="BE45" s="13">
        <f>BD45*VLOOKUP('Données projet'!$B$11,Paramètres!$A$1:$I$89,3,0)*VLOOKUP('Données projet'!$B$11,Paramètres!$A$1:$I$89,5,0)</f>
        <v>155.58940800000011</v>
      </c>
      <c r="BF45" s="13">
        <f t="shared" si="37"/>
        <v>39.846081409537142</v>
      </c>
      <c r="BG45" s="20">
        <f t="shared" si="7"/>
        <v>340.3834773882773</v>
      </c>
      <c r="BH45" s="59">
        <f t="shared" si="8"/>
        <v>633.71681072161061</v>
      </c>
      <c r="BI45" s="59">
        <f ca="1">AVERAGE(OFFSET($BH$3,0,0,'Données projet'!$E$11+1,1))-AVERAGE(OFFSET($H$3,0,0,'Données projet'!$E$11+1,1))</f>
        <v>573.17174498173017</v>
      </c>
      <c r="BJ45" s="59">
        <f t="shared" si="38"/>
        <v>260.48854096157231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44.510000000000005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0.34400000000000003</v>
      </c>
      <c r="BO45" s="16">
        <f>IF(ISNA(VLOOKUP(A45,'Données projet'!$A$87:$I$107,7,0)),0%,VLOOKUP(A45,'Données projet'!$A$87:$I$107,7,0))</f>
        <v>0.2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15.254654682209745</v>
      </c>
      <c r="BR45" s="21">
        <f>EXP(-LN(2)/2)*BR44+(1-EXP(-LN(2)/2))/(LN(2)/2)*BL45*BO45*VLOOKUP('Données projet'!$B$11,Paramètres!$A$1:$I$89,3,0)*0.475*44/12</f>
        <v>7.599665462085774</v>
      </c>
      <c r="BS45" s="22">
        <f t="shared" si="9"/>
        <v>22.854320144295521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171.96</v>
      </c>
      <c r="BW45" s="12">
        <f>VLOOKUP(A45,'Données projet'!$A$113:$I$133,9,0)</f>
        <v>4.0942857142857143</v>
      </c>
      <c r="BX45" s="12">
        <f t="array" ref="BX45">INDEX(BW:BW,MIN(IF(ISNUMBER(BW45:BW241),ROW(BW45:BW241),"")))</f>
        <v>4.0942857142857143</v>
      </c>
      <c r="BY45" s="12">
        <f>IF('Données projet'!$A$114&gt;35,BY44+BX45-CG44,IF(A45&lt;'Données projet'!$A$114,$BV$205^A45,IF(A45='Données projet'!$A$114,'Données projet'!$B$114,BY44+BX45-CG44)))</f>
        <v>171.96000000000012</v>
      </c>
      <c r="BZ45" s="13">
        <f>BY45*VLOOKUP('Données projet'!$B$12,Paramètres!$A$1:$I$89,3,0)*VLOOKUP('Données projet'!$B$12,Paramètres!$A$1:$I$89,5,0)</f>
        <v>163.63713600000011</v>
      </c>
      <c r="CA45" s="13">
        <f t="shared" si="39"/>
        <v>41.661805305260039</v>
      </c>
      <c r="CB45" s="20">
        <f t="shared" si="10"/>
        <v>357.56232277332811</v>
      </c>
      <c r="CC45" s="59">
        <f t="shared" si="11"/>
        <v>650.89565610666136</v>
      </c>
      <c r="CD45" s="59">
        <f ca="1">AVERAGE(OFFSET($CC$3,0,0,'Données projet'!$E$12+1,1))-AVERAGE(OFFSET($H$3,0,0,'Données projet'!$E$12+1,1))</f>
        <v>603.61135046904178</v>
      </c>
      <c r="CE45" s="59">
        <f t="shared" si="40"/>
        <v>272.84936867513068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44.510000000000005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0.34400000000000003</v>
      </c>
      <c r="CJ45" s="16">
        <f>IF(ISNA(VLOOKUP(A45,'Données projet'!$A$113:$I$133,7,0)),0%,VLOOKUP(A45,'Données projet'!$A$113:$I$133,7,0))</f>
        <v>0.2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16.043688545082667</v>
      </c>
      <c r="CM45" s="21">
        <f>EXP(-LN(2)/2)*CM44+(1-EXP(-LN(2)/2))/(LN(2)/2)*CG45*CJ45*VLOOKUP('Données projet'!$B$12,Paramètres!$A$1:$I$89,3,0)*0.475*44/12</f>
        <v>7.992751606676415</v>
      </c>
      <c r="CN45" s="22">
        <f t="shared" si="12"/>
        <v>24.036440151759081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12.9129</v>
      </c>
      <c r="D46" s="11">
        <f t="shared" si="32"/>
        <v>4.4182743920369765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73.581477243385066</v>
      </c>
      <c r="H46" s="67">
        <f t="shared" si="1"/>
        <v>286.85179539946444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4.487179487179489</v>
      </c>
      <c r="N46" s="13">
        <f>IF('Données projet'!$A$36&gt;35,N45+M46-V45,IF(A46&lt;'Données projet'!$A$36,$K$205^A46,IF(A46='Données projet'!$A$36,'Données projet'!$B$36,N45+M46-V45)))</f>
        <v>106.41025641025644</v>
      </c>
      <c r="O46" s="13">
        <f>N46*VLOOKUP('Données projet'!$B$9,Paramètres!$A$1:$I$89,3,0)*VLOOKUP('Données projet'!$B$9,Paramètres!$A$1:$I$89,5,0)</f>
        <v>111.22000000000006</v>
      </c>
      <c r="P46" s="13">
        <f t="shared" si="33"/>
        <v>29.618241308641757</v>
      </c>
      <c r="Q46" s="20">
        <f t="shared" si="53"/>
        <v>245.29327027921784</v>
      </c>
      <c r="R46" s="59">
        <f t="shared" si="0"/>
        <v>538.62660361255121</v>
      </c>
      <c r="S46" s="59">
        <f ca="1">AVERAGE(OFFSET($R$3,0,0,'Données projet'!$E$9+1,1))-AVERAGE(OFFSET($H$3,0,0,'Données projet'!$E$9+1,1))</f>
        <v>225.9892575177542</v>
      </c>
      <c r="T46" s="59">
        <f t="shared" si="34"/>
        <v>215.88467215650428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14.7130667101207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14.7130667101207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10.110000000000001</v>
      </c>
      <c r="AI46" s="13">
        <f>IF('Données projet'!$A$62&gt;35,AI45+AH46-AQ45,IF(A46&lt;'Données projet'!$A$62,$AF$205^A46,IF(A46='Données projet'!$A$62,'Données projet'!$B$62,AI45+AH46-AQ45)))</f>
        <v>137.56000000000012</v>
      </c>
      <c r="AJ46" s="13">
        <f>AI46*VLOOKUP('Données projet'!$B$10,Paramètres!$A$1:$I$89,3,0)*VLOOKUP('Données projet'!$B$10,Paramètres!$A$1:$I$89,5,0)</f>
        <v>139.48584000000011</v>
      </c>
      <c r="AK46" s="13">
        <f t="shared" si="35"/>
        <v>36.179193448415994</v>
      </c>
      <c r="AL46" s="20">
        <f t="shared" si="4"/>
        <v>305.94993325599131</v>
      </c>
      <c r="AM46" s="59">
        <f t="shared" si="5"/>
        <v>599.28326658932463</v>
      </c>
      <c r="AN46" s="59">
        <f ca="1">AVERAGE(OFFSET($AM$3,0,0,'Données projet'!$E$10+1,1))-AVERAGE(OFFSET($H$3,0,0,'Données projet'!$E$10+1,1))</f>
        <v>644.15138437063933</v>
      </c>
      <c r="AO46" s="59">
        <f t="shared" si="36"/>
        <v>289.3097279858207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16.628249958648695</v>
      </c>
      <c r="AW46" s="21">
        <f>EXP(-LN(2)/2)*AW45+(1-EXP(-LN(2)/2))/(LN(2)/2)*AQ46*AT46*VLOOKUP('Données projet'!$B$10,Paramètres!$A$1:$I$89,3,0)*0.475*44/12</f>
        <v>6.0223340326612602</v>
      </c>
      <c r="AX46" s="21">
        <f t="shared" si="6"/>
        <v>22.650583991309954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10.110000000000001</v>
      </c>
      <c r="BD46" s="12">
        <f>IF('Données projet'!$A$88&gt;35,BD45+BC46-BL45,IF(A46&lt;'Données projet'!$A$88,$BA$205^A46,IF(A46='Données projet'!$A$88,'Données projet'!$B$88,BD45+BC46-BL45)))</f>
        <v>137.56000000000012</v>
      </c>
      <c r="BE46" s="13">
        <f>BD46*VLOOKUP('Données projet'!$B$11,Paramètres!$A$1:$I$89,3,0)*VLOOKUP('Données projet'!$B$11,Paramètres!$A$1:$I$89,5,0)</f>
        <v>124.4642880000001</v>
      </c>
      <c r="BF46" s="13">
        <f t="shared" si="37"/>
        <v>32.713997336243899</v>
      </c>
      <c r="BG46" s="20">
        <f t="shared" si="7"/>
        <v>273.75218029395825</v>
      </c>
      <c r="BH46" s="59">
        <f t="shared" si="8"/>
        <v>567.08551362729156</v>
      </c>
      <c r="BI46" s="59">
        <f ca="1">AVERAGE(OFFSET($BH$3,0,0,'Données projet'!$E$11+1,1))-AVERAGE(OFFSET($H$3,0,0,'Données projet'!$E$11+1,1))</f>
        <v>573.17174498173017</v>
      </c>
      <c r="BJ46" s="59">
        <f t="shared" si="38"/>
        <v>260.48854096157231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14.837515347717295</v>
      </c>
      <c r="BR46" s="21">
        <f>EXP(-LN(2)/2)*BR45+(1-EXP(-LN(2)/2))/(LN(2)/2)*BL46*BO46*VLOOKUP('Données projet'!$B$11,Paramètres!$A$1:$I$89,3,0)*0.475*44/12</f>
        <v>5.3737749829900485</v>
      </c>
      <c r="BS46" s="22">
        <f t="shared" si="9"/>
        <v>20.211290330707342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10.110000000000001</v>
      </c>
      <c r="BY46" s="12">
        <f>IF('Données projet'!$A$114&gt;35,BY45+BX46-CG45,IF(A46&lt;'Données projet'!$A$114,$BV$205^A46,IF(A46='Données projet'!$A$114,'Données projet'!$B$114,BY45+BX46-CG45)))</f>
        <v>137.56000000000012</v>
      </c>
      <c r="BZ46" s="13">
        <f>BY46*VLOOKUP('Données projet'!$B$12,Paramètres!$A$1:$I$89,3,0)*VLOOKUP('Données projet'!$B$12,Paramètres!$A$1:$I$89,5,0)</f>
        <v>130.90209600000011</v>
      </c>
      <c r="CA46" s="13">
        <f t="shared" si="39"/>
        <v>34.204723264285022</v>
      </c>
      <c r="CB46" s="20">
        <f t="shared" si="10"/>
        <v>287.56104355196334</v>
      </c>
      <c r="CC46" s="59">
        <f t="shared" si="11"/>
        <v>580.89437688529665</v>
      </c>
      <c r="CD46" s="59">
        <f ca="1">AVERAGE(OFFSET($CC$3,0,0,'Données projet'!$E$12+1,1))-AVERAGE(OFFSET($H$3,0,0,'Données projet'!$E$12+1,1))</f>
        <v>603.61135046904178</v>
      </c>
      <c r="CE46" s="59">
        <f t="shared" si="40"/>
        <v>272.84936867513068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15.604973038116469</v>
      </c>
      <c r="CM46" s="21">
        <f>EXP(-LN(2)/2)*CM45+(1-EXP(-LN(2)/2))/(LN(2)/2)*CG46*CJ46*VLOOKUP('Données projet'!$B$12,Paramètres!$A$1:$I$89,3,0)*0.475*44/12</f>
        <v>5.6517288614205663</v>
      </c>
      <c r="CN46" s="22">
        <f t="shared" si="12"/>
        <v>21.256701899537035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13.213200000000001</v>
      </c>
      <c r="D47" s="11">
        <f t="shared" si="32"/>
        <v>4.5089429600820843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75.241378883155548</v>
      </c>
      <c r="H47" s="67">
        <f t="shared" si="1"/>
        <v>287.53273232214298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4.487179487179489</v>
      </c>
      <c r="N47" s="13">
        <f>IF('Données projet'!$A$36&gt;35,N46+M47-V46,IF(A47&lt;'Données projet'!$A$36,$K$205^A47,IF(A47='Données projet'!$A$36,'Données projet'!$B$36,N46+M47-V46)))</f>
        <v>110.89743589743593</v>
      </c>
      <c r="O47" s="13">
        <f>N47*VLOOKUP('Données projet'!$B$9,Paramètres!$A$1:$I$89,3,0)*VLOOKUP('Données projet'!$B$9,Paramètres!$A$1:$I$89,5,0)</f>
        <v>115.91000000000004</v>
      </c>
      <c r="P47" s="13">
        <f t="shared" si="33"/>
        <v>30.719157262842909</v>
      </c>
      <c r="Q47" s="20">
        <f t="shared" si="53"/>
        <v>255.37911556611809</v>
      </c>
      <c r="R47" s="59">
        <f t="shared" si="0"/>
        <v>548.71244889945137</v>
      </c>
      <c r="S47" s="59">
        <f ca="1">AVERAGE(OFFSET($R$3,0,0,'Données projet'!$E$9+1,1))-AVERAGE(OFFSET($H$3,0,0,'Données projet'!$E$9+1,1))</f>
        <v>225.9892575177542</v>
      </c>
      <c r="T47" s="59">
        <f t="shared" si="34"/>
        <v>215.88467215650428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14.310737127205899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14.310737127205899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10.110000000000001</v>
      </c>
      <c r="AI47" s="13">
        <f>IF('Données projet'!$A$62&gt;35,AI46+AH47-AQ46,IF(A47&lt;'Données projet'!$A$62,$AF$205^A47,IF(A47='Données projet'!$A$62,'Données projet'!$B$62,AI46+AH47-AQ46)))</f>
        <v>147.67000000000013</v>
      </c>
      <c r="AJ47" s="13">
        <f>AI47*VLOOKUP('Données projet'!$B$10,Paramètres!$A$1:$I$89,3,0)*VLOOKUP('Données projet'!$B$10,Paramètres!$A$1:$I$89,5,0)</f>
        <v>149.73738000000014</v>
      </c>
      <c r="AK47" s="13">
        <f t="shared" si="35"/>
        <v>38.518898198188772</v>
      </c>
      <c r="AL47" s="20">
        <f t="shared" si="4"/>
        <v>327.87968452851231</v>
      </c>
      <c r="AM47" s="59">
        <f t="shared" si="5"/>
        <v>621.21301786184563</v>
      </c>
      <c r="AN47" s="59">
        <f ca="1">AVERAGE(OFFSET($AM$3,0,0,'Données projet'!$E$10+1,1))-AVERAGE(OFFSET($H$3,0,0,'Données projet'!$E$10+1,1))</f>
        <v>644.15138437063933</v>
      </c>
      <c r="AO47" s="59">
        <f t="shared" si="36"/>
        <v>289.3097279858207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16.173549589087784</v>
      </c>
      <c r="AW47" s="21">
        <f>EXP(-LN(2)/2)*AW46+(1-EXP(-LN(2)/2))/(LN(2)/2)*AQ47*AT47*VLOOKUP('Données projet'!$B$10,Paramètres!$A$1:$I$89,3,0)*0.475*44/12</f>
        <v>4.2584332330653041</v>
      </c>
      <c r="AX47" s="21">
        <f t="shared" si="6"/>
        <v>20.431982822153088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10.110000000000001</v>
      </c>
      <c r="BD47" s="12">
        <f>IF('Données projet'!$A$88&gt;35,BD46+BC47-BL46,IF(A47&lt;'Données projet'!$A$88,$BA$205^A47,IF(A47='Données projet'!$A$88,'Données projet'!$B$88,BD46+BC47-BL46)))</f>
        <v>147.67000000000013</v>
      </c>
      <c r="BE47" s="13">
        <f>BD47*VLOOKUP('Données projet'!$B$11,Paramètres!$A$1:$I$89,3,0)*VLOOKUP('Données projet'!$B$11,Paramètres!$A$1:$I$89,5,0)</f>
        <v>133.61181600000012</v>
      </c>
      <c r="BF47" s="13">
        <f t="shared" si="37"/>
        <v>34.829608206917271</v>
      </c>
      <c r="BG47" s="20">
        <f t="shared" si="7"/>
        <v>293.36881382704775</v>
      </c>
      <c r="BH47" s="59">
        <f t="shared" si="8"/>
        <v>586.70214716038106</v>
      </c>
      <c r="BI47" s="59">
        <f ca="1">AVERAGE(OFFSET($BH$3,0,0,'Données projet'!$E$11+1,1))-AVERAGE(OFFSET($H$3,0,0,'Données projet'!$E$11+1,1))</f>
        <v>573.17174498173017</v>
      </c>
      <c r="BJ47" s="59">
        <f t="shared" si="38"/>
        <v>260.48854096157231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14.431782710262945</v>
      </c>
      <c r="BR47" s="21">
        <f>EXP(-LN(2)/2)*BR46+(1-EXP(-LN(2)/2))/(LN(2)/2)*BL47*BO47*VLOOKUP('Données projet'!$B$11,Paramètres!$A$1:$I$89,3,0)*0.475*44/12</f>
        <v>3.7998327310428874</v>
      </c>
      <c r="BS47" s="22">
        <f t="shared" si="9"/>
        <v>18.231615441305834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10.110000000000001</v>
      </c>
      <c r="BY47" s="12">
        <f>IF('Données projet'!$A$114&gt;35,BY46+BX47-CG46,IF(A47&lt;'Données projet'!$A$114,$BV$205^A47,IF(A47='Données projet'!$A$114,'Données projet'!$B$114,BY46+BX47-CG46)))</f>
        <v>147.67000000000013</v>
      </c>
      <c r="BZ47" s="13">
        <f>BY47*VLOOKUP('Données projet'!$B$12,Paramètres!$A$1:$I$89,3,0)*VLOOKUP('Données projet'!$B$12,Paramètres!$A$1:$I$89,5,0)</f>
        <v>140.52277200000015</v>
      </c>
      <c r="CA47" s="13">
        <f t="shared" si="39"/>
        <v>36.41673922866012</v>
      </c>
      <c r="CB47" s="20">
        <f t="shared" si="10"/>
        <v>308.16964872324991</v>
      </c>
      <c r="CC47" s="59">
        <f t="shared" si="11"/>
        <v>601.50298205658328</v>
      </c>
      <c r="CD47" s="59">
        <f ca="1">AVERAGE(OFFSET($CC$3,0,0,'Données projet'!$E$12+1,1))-AVERAGE(OFFSET($H$3,0,0,'Données projet'!$E$12+1,1))</f>
        <v>603.61135046904178</v>
      </c>
      <c r="CE47" s="59">
        <f t="shared" si="40"/>
        <v>272.84936867513068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15.178254229759307</v>
      </c>
      <c r="CM47" s="21">
        <f>EXP(-LN(2)/2)*CM46+(1-EXP(-LN(2)/2))/(LN(2)/2)*CG47*CJ47*VLOOKUP('Données projet'!$B$12,Paramètres!$A$1:$I$89,3,0)*0.475*44/12</f>
        <v>3.996375803338208</v>
      </c>
      <c r="CN47" s="22">
        <f t="shared" si="12"/>
        <v>19.174630033097515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13.513500000000001</v>
      </c>
      <c r="D48" s="11">
        <f t="shared" si="32"/>
        <v>4.5993719637431161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76.900263425014643</v>
      </c>
      <c r="H48" s="67">
        <f t="shared" si="1"/>
        <v>288.2132520035193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115.38461538461539</v>
      </c>
      <c r="L48" s="12">
        <f>VLOOKUP(A48,'Données projet'!$A$35:$I$55,9,0)</f>
        <v>4.487179487179489</v>
      </c>
      <c r="M48" s="12">
        <f t="array" ref="M48">INDEX(L:L,MIN(IF(ISNUMBER(L48:L244),ROW(L48:L244),"")))</f>
        <v>4.487179487179489</v>
      </c>
      <c r="N48" s="13">
        <f>IF('Données projet'!$A$36&gt;35,N47+M48-V47,IF(A48&lt;'Données projet'!$A$36,$K$205^A48,IF(A48='Données projet'!$A$36,'Données projet'!$B$36,N47+M48-V47)))</f>
        <v>115.38461538461542</v>
      </c>
      <c r="O48" s="13">
        <f>N48*VLOOKUP('Données projet'!$B$9,Paramètres!$A$1:$I$89,3,0)*VLOOKUP('Données projet'!$B$9,Paramètres!$A$1:$I$89,5,0)</f>
        <v>120.60000000000005</v>
      </c>
      <c r="P48" s="13">
        <f t="shared" si="33"/>
        <v>31.814898793993059</v>
      </c>
      <c r="Q48" s="20">
        <f t="shared" si="53"/>
        <v>265.45594873287132</v>
      </c>
      <c r="R48" s="59">
        <f t="shared" si="0"/>
        <v>558.78928206620458</v>
      </c>
      <c r="S48" s="59">
        <f ca="1">AVERAGE(OFFSET($R$3,0,0,'Données projet'!$E$9+1,1))-AVERAGE(OFFSET($H$3,0,0,'Données projet'!$E$9+1,1))</f>
        <v>225.9892575177542</v>
      </c>
      <c r="T48" s="59">
        <f t="shared" si="34"/>
        <v>215.88467215650428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14.102564102564102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0.215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17.408961438882034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17.408961438882034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10.110000000000001</v>
      </c>
      <c r="AI48" s="13">
        <f>IF('Données projet'!$A$62&gt;35,AI47+AH48-AQ47,IF(A48&lt;'Données projet'!$A$62,$AF$205^A48,IF(A48='Données projet'!$A$62,'Données projet'!$B$62,AI47+AH48-AQ47)))</f>
        <v>157.78000000000014</v>
      </c>
      <c r="AJ48" s="13">
        <f>AI48*VLOOKUP('Données projet'!$B$10,Paramètres!$A$1:$I$89,3,0)*VLOOKUP('Données projet'!$B$10,Paramètres!$A$1:$I$89,5,0)</f>
        <v>159.98892000000018</v>
      </c>
      <c r="AK48" s="13">
        <f t="shared" si="35"/>
        <v>40.840016271695262</v>
      </c>
      <c r="AL48" s="20">
        <f t="shared" si="4"/>
        <v>349.77706400653625</v>
      </c>
      <c r="AM48" s="59">
        <f t="shared" si="5"/>
        <v>643.11039733986956</v>
      </c>
      <c r="AN48" s="59">
        <f ca="1">AVERAGE(OFFSET($AM$3,0,0,'Données projet'!$E$10+1,1))-AVERAGE(OFFSET($H$3,0,0,'Données projet'!$E$10+1,1))</f>
        <v>644.15138437063933</v>
      </c>
      <c r="AO48" s="59">
        <f t="shared" si="36"/>
        <v>289.3097279858207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15.731283025044171</v>
      </c>
      <c r="AW48" s="21">
        <f>EXP(-LN(2)/2)*AW47+(1-EXP(-LN(2)/2))/(LN(2)/2)*AQ48*AT48*VLOOKUP('Données projet'!$B$10,Paramètres!$A$1:$I$89,3,0)*0.475*44/12</f>
        <v>3.0111670163306301</v>
      </c>
      <c r="AX48" s="21">
        <f t="shared" si="6"/>
        <v>18.742450041374802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10.110000000000001</v>
      </c>
      <c r="BD48" s="12">
        <f>IF('Données projet'!$A$88&gt;35,BD47+BC48-BL47,IF(A48&lt;'Données projet'!$A$88,$BA$205^A48,IF(A48='Données projet'!$A$88,'Données projet'!$B$88,BD47+BC48-BL47)))</f>
        <v>157.78000000000014</v>
      </c>
      <c r="BE48" s="13">
        <f>BD48*VLOOKUP('Données projet'!$B$11,Paramètres!$A$1:$I$89,3,0)*VLOOKUP('Données projet'!$B$11,Paramètres!$A$1:$I$89,5,0)</f>
        <v>142.75934400000011</v>
      </c>
      <c r="BF48" s="13">
        <f t="shared" si="37"/>
        <v>36.928412609012774</v>
      </c>
      <c r="BG48" s="20">
        <f t="shared" si="7"/>
        <v>312.95617609403075</v>
      </c>
      <c r="BH48" s="59">
        <f t="shared" si="8"/>
        <v>606.28950942736401</v>
      </c>
      <c r="BI48" s="59">
        <f ca="1">AVERAGE(OFFSET($BH$3,0,0,'Données projet'!$E$11+1,1))-AVERAGE(OFFSET($H$3,0,0,'Données projet'!$E$11+1,1))</f>
        <v>573.17174498173017</v>
      </c>
      <c r="BJ48" s="59">
        <f t="shared" si="38"/>
        <v>260.48854096157231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14.037144853116336</v>
      </c>
      <c r="BR48" s="21">
        <f>EXP(-LN(2)/2)*BR47+(1-EXP(-LN(2)/2))/(LN(2)/2)*BL48*BO48*VLOOKUP('Données projet'!$B$11,Paramètres!$A$1:$I$89,3,0)*0.475*44/12</f>
        <v>2.6868874914950243</v>
      </c>
      <c r="BS48" s="22">
        <f t="shared" si="9"/>
        <v>16.724032344611359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10.110000000000001</v>
      </c>
      <c r="BY48" s="12">
        <f>IF('Données projet'!$A$114&gt;35,BY47+BX48-CG47,IF(A48&lt;'Données projet'!$A$114,$BV$205^A48,IF(A48='Données projet'!$A$114,'Données projet'!$B$114,BY47+BX48-CG47)))</f>
        <v>157.78000000000014</v>
      </c>
      <c r="BZ48" s="13">
        <f>BY48*VLOOKUP('Données projet'!$B$12,Paramètres!$A$1:$I$89,3,0)*VLOOKUP('Données projet'!$B$12,Paramètres!$A$1:$I$89,5,0)</f>
        <v>150.14344800000015</v>
      </c>
      <c r="CA48" s="13">
        <f t="shared" si="39"/>
        <v>38.611182879849288</v>
      </c>
      <c r="CB48" s="20">
        <f t="shared" si="10"/>
        <v>328.74764878240444</v>
      </c>
      <c r="CC48" s="59">
        <f t="shared" si="11"/>
        <v>622.0809821157377</v>
      </c>
      <c r="CD48" s="59">
        <f ca="1">AVERAGE(OFFSET($CC$3,0,0,'Données projet'!$E$12+1,1))-AVERAGE(OFFSET($H$3,0,0,'Données projet'!$E$12+1,1))</f>
        <v>603.61135046904178</v>
      </c>
      <c r="CE48" s="59">
        <f t="shared" si="40"/>
        <v>272.84936867513068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14.76320406965684</v>
      </c>
      <c r="CM48" s="21">
        <f>EXP(-LN(2)/2)*CM47+(1-EXP(-LN(2)/2))/(LN(2)/2)*CG48*CJ48*VLOOKUP('Données projet'!$B$12,Paramètres!$A$1:$I$89,3,0)*0.475*44/12</f>
        <v>2.8258644307102836</v>
      </c>
      <c r="CN48" s="22">
        <f t="shared" si="12"/>
        <v>17.589068500367123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13.813800000000001</v>
      </c>
      <c r="D49" s="11">
        <f t="shared" si="32"/>
        <v>4.6895673396533466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78.558156073615962</v>
      </c>
      <c r="H49" s="67">
        <f t="shared" si="1"/>
        <v>288.89336478322957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4.2307692307692291</v>
      </c>
      <c r="N49" s="13">
        <f>IF('Données projet'!$A$36&gt;35,N48+M49-V48,IF(A49&lt;'Données projet'!$A$36,$K$205^A49,IF(A49='Données projet'!$A$36,'Données projet'!$B$36,N48+M49-V48)))</f>
        <v>105.51282051282054</v>
      </c>
      <c r="O49" s="13">
        <f>N49*VLOOKUP('Données projet'!$B$9,Paramètres!$A$1:$I$89,3,0)*VLOOKUP('Données projet'!$B$9,Paramètres!$A$1:$I$89,5,0)</f>
        <v>110.28200000000004</v>
      </c>
      <c r="P49" s="13">
        <f t="shared" si="33"/>
        <v>29.397416068224018</v>
      </c>
      <c r="Q49" s="20">
        <f t="shared" si="53"/>
        <v>243.2749829854902</v>
      </c>
      <c r="R49" s="59">
        <f t="shared" si="0"/>
        <v>536.60831631882354</v>
      </c>
      <c r="S49" s="59">
        <f ca="1">AVERAGE(OFFSET($R$3,0,0,'Données projet'!$E$9+1,1))-AVERAGE(OFFSET($H$3,0,0,'Données projet'!$E$9+1,1))</f>
        <v>225.9892575177542</v>
      </c>
      <c r="T49" s="59">
        <f t="shared" si="34"/>
        <v>215.88467215650428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16.932912472838311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16.932912472838311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10.110000000000001</v>
      </c>
      <c r="AI49" s="13">
        <f>IF('Données projet'!$A$62&gt;35,AI48+AH49-AQ48,IF(A49&lt;'Données projet'!$A$62,$AF$205^A49,IF(A49='Données projet'!$A$62,'Données projet'!$B$62,AI48+AH49-AQ48)))</f>
        <v>167.89000000000016</v>
      </c>
      <c r="AJ49" s="13">
        <f>AI49*VLOOKUP('Données projet'!$B$10,Paramètres!$A$1:$I$89,3,0)*VLOOKUP('Données projet'!$B$10,Paramètres!$A$1:$I$89,5,0)</f>
        <v>170.24046000000016</v>
      </c>
      <c r="AK49" s="13">
        <f t="shared" si="35"/>
        <v>43.143874195121747</v>
      </c>
      <c r="AL49" s="20">
        <f t="shared" si="4"/>
        <v>371.64438205650396</v>
      </c>
      <c r="AM49" s="59">
        <f t="shared" si="5"/>
        <v>664.97771538983727</v>
      </c>
      <c r="AN49" s="59">
        <f ca="1">AVERAGE(OFFSET($AM$3,0,0,'Données projet'!$E$10+1,1))-AVERAGE(OFFSET($H$3,0,0,'Données projet'!$E$10+1,1))</f>
        <v>644.15138437063933</v>
      </c>
      <c r="AO49" s="59">
        <f t="shared" si="36"/>
        <v>289.3097279858207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15.301110263452118</v>
      </c>
      <c r="AW49" s="21">
        <f>EXP(-LN(2)/2)*AW48+(1-EXP(-LN(2)/2))/(LN(2)/2)*AQ49*AT49*VLOOKUP('Données projet'!$B$10,Paramètres!$A$1:$I$89,3,0)*0.475*44/12</f>
        <v>2.129216616532652</v>
      </c>
      <c r="AX49" s="21">
        <f t="shared" si="6"/>
        <v>17.430326879984769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10.110000000000001</v>
      </c>
      <c r="BD49" s="12">
        <f>IF('Données projet'!$A$88&gt;35,BD48+BC49-BL48,IF(A49&lt;'Données projet'!$A$88,$BA$205^A49,IF(A49='Données projet'!$A$88,'Données projet'!$B$88,BD48+BC49-BL48)))</f>
        <v>167.89000000000016</v>
      </c>
      <c r="BE49" s="13">
        <f>BD49*VLOOKUP('Données projet'!$B$11,Paramètres!$A$1:$I$89,3,0)*VLOOKUP('Données projet'!$B$11,Paramètres!$A$1:$I$89,5,0)</f>
        <v>151.90687200000013</v>
      </c>
      <c r="BF49" s="13">
        <f t="shared" si="37"/>
        <v>39.011610015763097</v>
      </c>
      <c r="BG49" s="20">
        <f t="shared" si="7"/>
        <v>332.51635617745427</v>
      </c>
      <c r="BH49" s="59">
        <f t="shared" si="8"/>
        <v>625.84968951078758</v>
      </c>
      <c r="BI49" s="59">
        <f ca="1">AVERAGE(OFFSET($BH$3,0,0,'Données projet'!$E$11+1,1))-AVERAGE(OFFSET($H$3,0,0,'Données projet'!$E$11+1,1))</f>
        <v>573.17174498173017</v>
      </c>
      <c r="BJ49" s="59">
        <f t="shared" si="38"/>
        <v>260.48854096157231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13.653298388926505</v>
      </c>
      <c r="BR49" s="21">
        <f>EXP(-LN(2)/2)*BR48+(1-EXP(-LN(2)/2))/(LN(2)/2)*BL49*BO49*VLOOKUP('Données projet'!$B$11,Paramètres!$A$1:$I$89,3,0)*0.475*44/12</f>
        <v>1.8999163655214437</v>
      </c>
      <c r="BS49" s="22">
        <f t="shared" si="9"/>
        <v>15.553214754447948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10.110000000000001</v>
      </c>
      <c r="BY49" s="12">
        <f>IF('Données projet'!$A$114&gt;35,BY48+BX49-CG48,IF(A49&lt;'Données projet'!$A$114,$BV$205^A49,IF(A49='Données projet'!$A$114,'Données projet'!$B$114,BY48+BX49-CG48)))</f>
        <v>167.89000000000016</v>
      </c>
      <c r="BZ49" s="13">
        <f>BY49*VLOOKUP('Données projet'!$B$12,Paramètres!$A$1:$I$89,3,0)*VLOOKUP('Données projet'!$B$12,Paramètres!$A$1:$I$89,5,0)</f>
        <v>159.76412400000015</v>
      </c>
      <c r="CA49" s="13">
        <f t="shared" si="39"/>
        <v>40.78930834921298</v>
      </c>
      <c r="CB49" s="20">
        <f t="shared" si="10"/>
        <v>349.29722800821287</v>
      </c>
      <c r="CC49" s="59">
        <f t="shared" si="11"/>
        <v>642.63056134154613</v>
      </c>
      <c r="CD49" s="59">
        <f ca="1">AVERAGE(OFFSET($CC$3,0,0,'Données projet'!$E$12+1,1))-AVERAGE(OFFSET($H$3,0,0,'Données projet'!$E$12+1,1))</f>
        <v>603.61135046904178</v>
      </c>
      <c r="CE49" s="59">
        <f t="shared" si="40"/>
        <v>272.84936867513068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14.359503478008914</v>
      </c>
      <c r="CM49" s="21">
        <f>EXP(-LN(2)/2)*CM48+(1-EXP(-LN(2)/2))/(LN(2)/2)*CG49*CJ49*VLOOKUP('Données projet'!$B$12,Paramètres!$A$1:$I$89,3,0)*0.475*44/12</f>
        <v>1.9981879016691044</v>
      </c>
      <c r="CN49" s="22">
        <f t="shared" si="12"/>
        <v>16.35769137967802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14.114100000000001</v>
      </c>
      <c r="D50" s="11">
        <f t="shared" si="32"/>
        <v>4.7795347515900115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80.215080875171637</v>
      </c>
      <c r="H50" s="67">
        <f t="shared" si="1"/>
        <v>289.57308052568595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4.2307692307692291</v>
      </c>
      <c r="N50" s="13">
        <f>IF('Données projet'!$A$36&gt;35,N49+M50-V49,IF(A50&lt;'Données projet'!$A$36,$K$205^A50,IF(A50='Données projet'!$A$36,'Données projet'!$B$36,N49+M50-V49)))</f>
        <v>109.74358974358977</v>
      </c>
      <c r="O50" s="13">
        <f>N50*VLOOKUP('Données projet'!$B$9,Paramètres!$A$1:$I$89,3,0)*VLOOKUP('Données projet'!$B$9,Paramètres!$A$1:$I$89,5,0)</f>
        <v>114.70400000000002</v>
      </c>
      <c r="P50" s="13">
        <f t="shared" si="33"/>
        <v>30.436568208065971</v>
      </c>
      <c r="Q50" s="20">
        <f t="shared" si="53"/>
        <v>252.78648962904825</v>
      </c>
      <c r="R50" s="59">
        <f t="shared" si="0"/>
        <v>546.11982296238159</v>
      </c>
      <c r="S50" s="59">
        <f ca="1">AVERAGE(OFFSET($R$3,0,0,'Données projet'!$E$9+1,1))-AVERAGE(OFFSET($H$3,0,0,'Données projet'!$E$9+1,1))</f>
        <v>225.9892575177542</v>
      </c>
      <c r="T50" s="59">
        <f t="shared" si="34"/>
        <v>215.88467215650428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16.46988109080538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16.46988109080538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10.110000000000001</v>
      </c>
      <c r="AI50" s="13">
        <f>IF('Données projet'!$A$62&gt;35,AI49+AH50-AQ49,IF(A50&lt;'Données projet'!$A$62,$AF$205^A50,IF(A50='Données projet'!$A$62,'Données projet'!$B$62,AI49+AH50-AQ49)))</f>
        <v>178.00000000000017</v>
      </c>
      <c r="AJ50" s="13">
        <f>AI50*VLOOKUP('Données projet'!$B$10,Paramètres!$A$1:$I$89,3,0)*VLOOKUP('Données projet'!$B$10,Paramètres!$A$1:$I$89,5,0)</f>
        <v>180.49200000000019</v>
      </c>
      <c r="AK50" s="13">
        <f t="shared" si="35"/>
        <v>45.431629706642696</v>
      </c>
      <c r="AL50" s="20">
        <f t="shared" si="4"/>
        <v>393.48365507240305</v>
      </c>
      <c r="AM50" s="59">
        <f t="shared" si="5"/>
        <v>686.81698840573631</v>
      </c>
      <c r="AN50" s="59">
        <f ca="1">AVERAGE(OFFSET($AM$3,0,0,'Données projet'!$E$10+1,1))-AVERAGE(OFFSET($H$3,0,0,'Données projet'!$E$10+1,1))</f>
        <v>644.15138437063933</v>
      </c>
      <c r="AO50" s="59">
        <f t="shared" si="36"/>
        <v>289.3097279858207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14.882700598647602</v>
      </c>
      <c r="AW50" s="21">
        <f>EXP(-LN(2)/2)*AW49+(1-EXP(-LN(2)/2))/(LN(2)/2)*AQ50*AT50*VLOOKUP('Données projet'!$B$10,Paramètres!$A$1:$I$89,3,0)*0.475*44/12</f>
        <v>1.5055835081653151</v>
      </c>
      <c r="AX50" s="21">
        <f t="shared" si="6"/>
        <v>16.388284106812918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10.110000000000001</v>
      </c>
      <c r="BD50" s="12">
        <f>IF('Données projet'!$A$88&gt;35,BD49+BC50-BL49,IF(A50&lt;'Données projet'!$A$88,$BA$205^A50,IF(A50='Données projet'!$A$88,'Données projet'!$B$88,BD49+BC50-BL49)))</f>
        <v>178.00000000000017</v>
      </c>
      <c r="BE50" s="13">
        <f>BD50*VLOOKUP('Données projet'!$B$11,Paramètres!$A$1:$I$89,3,0)*VLOOKUP('Données projet'!$B$11,Paramètres!$A$1:$I$89,5,0)</f>
        <v>161.05440000000016</v>
      </c>
      <c r="BF50" s="13">
        <f t="shared" si="37"/>
        <v>41.080247278685491</v>
      </c>
      <c r="BG50" s="20">
        <f t="shared" si="7"/>
        <v>352.05117734371078</v>
      </c>
      <c r="BH50" s="59">
        <f t="shared" si="8"/>
        <v>645.38451067704409</v>
      </c>
      <c r="BI50" s="59">
        <f ca="1">AVERAGE(OFFSET($BH$3,0,0,'Données projet'!$E$11+1,1))-AVERAGE(OFFSET($H$3,0,0,'Données projet'!$E$11+1,1))</f>
        <v>573.17174498173017</v>
      </c>
      <c r="BJ50" s="59">
        <f t="shared" si="38"/>
        <v>260.48854096157231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13.279948226485553</v>
      </c>
      <c r="BR50" s="21">
        <f>EXP(-LN(2)/2)*BR49+(1-EXP(-LN(2)/2))/(LN(2)/2)*BL50*BO50*VLOOKUP('Données projet'!$B$11,Paramètres!$A$1:$I$89,3,0)*0.475*44/12</f>
        <v>1.3434437457475121</v>
      </c>
      <c r="BS50" s="22">
        <f t="shared" si="9"/>
        <v>14.623391972233065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10.110000000000001</v>
      </c>
      <c r="BY50" s="12">
        <f>IF('Données projet'!$A$114&gt;35,BY49+BX50-CG49,IF(A50&lt;'Données projet'!$A$114,$BV$205^A50,IF(A50='Données projet'!$A$114,'Données projet'!$B$114,BY49+BX50-CG49)))</f>
        <v>178.00000000000017</v>
      </c>
      <c r="BZ50" s="13">
        <f>BY50*VLOOKUP('Données projet'!$B$12,Paramètres!$A$1:$I$89,3,0)*VLOOKUP('Données projet'!$B$12,Paramètres!$A$1:$I$89,5,0)</f>
        <v>169.38480000000015</v>
      </c>
      <c r="CA50" s="13">
        <f t="shared" si="39"/>
        <v>42.952210191662502</v>
      </c>
      <c r="CB50" s="20">
        <f t="shared" si="10"/>
        <v>369.82029275047915</v>
      </c>
      <c r="CC50" s="59">
        <f t="shared" si="11"/>
        <v>663.15362608381247</v>
      </c>
      <c r="CD50" s="59">
        <f ca="1">AVERAGE(OFFSET($CC$3,0,0,'Données projet'!$E$12+1,1))-AVERAGE(OFFSET($H$3,0,0,'Données projet'!$E$12+1,1))</f>
        <v>603.61135046904178</v>
      </c>
      <c r="CE50" s="59">
        <f t="shared" si="40"/>
        <v>272.84936867513068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13.966842100269291</v>
      </c>
      <c r="CM50" s="21">
        <f>EXP(-LN(2)/2)*CM49+(1-EXP(-LN(2)/2))/(LN(2)/2)*CG50*CJ50*VLOOKUP('Données projet'!$B$12,Paramètres!$A$1:$I$89,3,0)*0.475*44/12</f>
        <v>1.412932215355142</v>
      </c>
      <c r="CN50" s="22">
        <f t="shared" si="12"/>
        <v>15.379774315624433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14.414400000000001</v>
      </c>
      <c r="D51" s="11">
        <f t="shared" si="32"/>
        <v>4.8692796085494798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81.871060794192545</v>
      </c>
      <c r="H51" s="67">
        <f t="shared" si="1"/>
        <v>290.252408651557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4.2307692307692291</v>
      </c>
      <c r="N51" s="13">
        <f>IF('Données projet'!$A$36&gt;35,N50+M51-V50,IF(A51&lt;'Données projet'!$A$36,$K$205^A51,IF(A51='Données projet'!$A$36,'Données projet'!$B$36,N50+M51-V50)))</f>
        <v>113.97435897435899</v>
      </c>
      <c r="O51" s="13">
        <f>N51*VLOOKUP('Données projet'!$B$9,Paramètres!$A$1:$I$89,3,0)*VLOOKUP('Données projet'!$B$9,Paramètres!$A$1:$I$89,5,0)</f>
        <v>119.12600000000003</v>
      </c>
      <c r="P51" s="13">
        <f t="shared" si="33"/>
        <v>31.471066503383746</v>
      </c>
      <c r="Q51" s="20">
        <f t="shared" si="53"/>
        <v>262.28989082672678</v>
      </c>
      <c r="R51" s="59">
        <f t="shared" si="0"/>
        <v>555.62322416006009</v>
      </c>
      <c r="S51" s="59">
        <f ca="1">AVERAGE(OFFSET($R$3,0,0,'Données projet'!$E$9+1,1))-AVERAGE(OFFSET($H$3,0,0,'Données projet'!$E$9+1,1))</f>
        <v>225.9892575177542</v>
      </c>
      <c r="T51" s="59">
        <f t="shared" si="34"/>
        <v>215.88467215650428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16.019511326263903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16.019511326263903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10.110000000000001</v>
      </c>
      <c r="AI51" s="13">
        <f>IF('Données projet'!$A$62&gt;35,AI50+AH51-AQ50,IF(A51&lt;'Données projet'!$A$62,$AF$205^A51,IF(A51='Données projet'!$A$62,'Données projet'!$B$62,AI50+AH51-AQ50)))</f>
        <v>188.11000000000018</v>
      </c>
      <c r="AJ51" s="13">
        <f>AI51*VLOOKUP('Données projet'!$B$10,Paramètres!$A$1:$I$89,3,0)*VLOOKUP('Données projet'!$B$10,Paramètres!$A$1:$I$89,5,0)</f>
        <v>190.74354000000019</v>
      </c>
      <c r="AK51" s="13">
        <f t="shared" si="35"/>
        <v>47.704301602434754</v>
      </c>
      <c r="AL51" s="20">
        <f t="shared" si="4"/>
        <v>415.29665745757416</v>
      </c>
      <c r="AM51" s="59">
        <f t="shared" si="5"/>
        <v>708.62999079090741</v>
      </c>
      <c r="AN51" s="59">
        <f ca="1">AVERAGE(OFFSET($AM$3,0,0,'Données projet'!$E$10+1,1))-AVERAGE(OFFSET($H$3,0,0,'Données projet'!$E$10+1,1))</f>
        <v>644.15138437063933</v>
      </c>
      <c r="AO51" s="59">
        <f t="shared" si="36"/>
        <v>289.3097279858207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14.475732368130375</v>
      </c>
      <c r="AW51" s="21">
        <f>EXP(-LN(2)/2)*AW50+(1-EXP(-LN(2)/2))/(LN(2)/2)*AQ51*AT51*VLOOKUP('Données projet'!$B$10,Paramètres!$A$1:$I$89,3,0)*0.475*44/12</f>
        <v>1.064608308266326</v>
      </c>
      <c r="AX51" s="21">
        <f t="shared" si="6"/>
        <v>15.540340676396701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10.110000000000001</v>
      </c>
      <c r="BD51" s="12">
        <f>IF('Données projet'!$A$88&gt;35,BD50+BC51-BL50,IF(A51&lt;'Données projet'!$A$88,$BA$205^A51,IF(A51='Données projet'!$A$88,'Données projet'!$B$88,BD50+BC51-BL50)))</f>
        <v>188.11000000000018</v>
      </c>
      <c r="BE51" s="13">
        <f>BD51*VLOOKUP('Données projet'!$B$11,Paramètres!$A$1:$I$89,3,0)*VLOOKUP('Données projet'!$B$11,Paramètres!$A$1:$I$89,5,0)</f>
        <v>170.20192800000018</v>
      </c>
      <c r="BF51" s="13">
        <f t="shared" si="37"/>
        <v>43.135245614983553</v>
      </c>
      <c r="BG51" s="20">
        <f t="shared" si="7"/>
        <v>371.56224404609662</v>
      </c>
      <c r="BH51" s="59">
        <f t="shared" si="8"/>
        <v>664.89557737942994</v>
      </c>
      <c r="BI51" s="59">
        <f ca="1">AVERAGE(OFFSET($BH$3,0,0,'Données projet'!$E$11+1,1))-AVERAGE(OFFSET($H$3,0,0,'Données projet'!$E$11+1,1))</f>
        <v>573.17174498173017</v>
      </c>
      <c r="BJ51" s="59">
        <f t="shared" si="38"/>
        <v>260.48854096157231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12.916807343870181</v>
      </c>
      <c r="BR51" s="21">
        <f>EXP(-LN(2)/2)*BR50+(1-EXP(-LN(2)/2))/(LN(2)/2)*BL51*BO51*VLOOKUP('Données projet'!$B$11,Paramètres!$A$1:$I$89,3,0)*0.475*44/12</f>
        <v>0.94995818276072186</v>
      </c>
      <c r="BS51" s="22">
        <f t="shared" si="9"/>
        <v>13.866765526630903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10.110000000000001</v>
      </c>
      <c r="BY51" s="12">
        <f>IF('Données projet'!$A$114&gt;35,BY50+BX51-CG50,IF(A51&lt;'Données projet'!$A$114,$BV$205^A51,IF(A51='Données projet'!$A$114,'Données projet'!$B$114,BY50+BX51-CG50)))</f>
        <v>188.11000000000018</v>
      </c>
      <c r="BZ51" s="13">
        <f>BY51*VLOOKUP('Données projet'!$B$12,Paramètres!$A$1:$I$89,3,0)*VLOOKUP('Données projet'!$B$12,Paramètres!$A$1:$I$89,5,0)</f>
        <v>179.00547600000019</v>
      </c>
      <c r="CA51" s="13">
        <f t="shared" si="39"/>
        <v>45.100851602834986</v>
      </c>
      <c r="CB51" s="20">
        <f t="shared" si="10"/>
        <v>390.31852057493785</v>
      </c>
      <c r="CC51" s="59">
        <f t="shared" si="11"/>
        <v>683.65185390827116</v>
      </c>
      <c r="CD51" s="59">
        <f ca="1">AVERAGE(OFFSET($CC$3,0,0,'Données projet'!$E$12+1,1))-AVERAGE(OFFSET($H$3,0,0,'Données projet'!$E$12+1,1))</f>
        <v>603.61135046904178</v>
      </c>
      <c r="CE51" s="59">
        <f t="shared" si="40"/>
        <v>272.84936867513068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13.584918068553122</v>
      </c>
      <c r="CM51" s="21">
        <f>EXP(-LN(2)/2)*CM50+(1-EXP(-LN(2)/2))/(LN(2)/2)*CG51*CJ51*VLOOKUP('Données projet'!$B$12,Paramètres!$A$1:$I$89,3,0)*0.475*44/12</f>
        <v>0.99909395083455232</v>
      </c>
      <c r="CN51" s="22">
        <f t="shared" si="12"/>
        <v>14.584012019387675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14.714700000000001</v>
      </c>
      <c r="D52" s="11">
        <f t="shared" si="32"/>
        <v>4.95880708127366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83.526117783653106</v>
      </c>
      <c r="H52" s="67">
        <f t="shared" si="1"/>
        <v>290.93135816655166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4.2307692307692291</v>
      </c>
      <c r="N52" s="13">
        <f>IF('Données projet'!$A$36&gt;35,N51+M52-V51,IF(A52&lt;'Données projet'!$A$36,$K$205^A52,IF(A52='Données projet'!$A$36,'Données projet'!$B$36,N51+M52-V51)))</f>
        <v>118.20512820512822</v>
      </c>
      <c r="O52" s="13">
        <f>N52*VLOOKUP('Données projet'!$B$9,Paramètres!$A$1:$I$89,3,0)*VLOOKUP('Données projet'!$B$9,Paramètres!$A$1:$I$89,5,0)</f>
        <v>123.54800000000002</v>
      </c>
      <c r="P52" s="13">
        <f t="shared" si="33"/>
        <v>32.501103488858256</v>
      </c>
      <c r="Q52" s="20">
        <f t="shared" si="53"/>
        <v>271.78552190976148</v>
      </c>
      <c r="R52" s="59">
        <f t="shared" si="0"/>
        <v>565.1188552430948</v>
      </c>
      <c r="S52" s="59">
        <f ca="1">AVERAGE(OFFSET($R$3,0,0,'Données projet'!$E$9+1,1))-AVERAGE(OFFSET($H$3,0,0,'Données projet'!$E$9+1,1))</f>
        <v>225.9892575177542</v>
      </c>
      <c r="T52" s="59">
        <f t="shared" si="34"/>
        <v>215.88467215650428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15.581456946617729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15.581456946617729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10.110000000000001</v>
      </c>
      <c r="AI52" s="13">
        <f>IF('Données projet'!$A$62&gt;35,AI51+AH52-AQ51,IF(A52&lt;'Données projet'!$A$62,$AF$205^A52,IF(A52='Données projet'!$A$62,'Données projet'!$B$62,AI51+AH52-AQ51)))</f>
        <v>198.2200000000002</v>
      </c>
      <c r="AJ52" s="13">
        <f>AI52*VLOOKUP('Données projet'!$B$10,Paramètres!$A$1:$I$89,3,0)*VLOOKUP('Données projet'!$B$10,Paramètres!$A$1:$I$89,5,0)</f>
        <v>200.9950800000002</v>
      </c>
      <c r="AK52" s="13">
        <f t="shared" si="35"/>
        <v>49.962792983004405</v>
      </c>
      <c r="AL52" s="20">
        <f t="shared" si="4"/>
        <v>437.08496211206631</v>
      </c>
      <c r="AM52" s="59">
        <f t="shared" si="5"/>
        <v>730.41829544539962</v>
      </c>
      <c r="AN52" s="59">
        <f ca="1">AVERAGE(OFFSET($AM$3,0,0,'Données projet'!$E$10+1,1))-AVERAGE(OFFSET($H$3,0,0,'Données projet'!$E$10+1,1))</f>
        <v>644.15138437063933</v>
      </c>
      <c r="AO52" s="59">
        <f t="shared" si="36"/>
        <v>289.3097279858207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14.079892705278169</v>
      </c>
      <c r="AW52" s="21">
        <f>EXP(-LN(2)/2)*AW51+(1-EXP(-LN(2)/2))/(LN(2)/2)*AQ52*AT52*VLOOKUP('Données projet'!$B$10,Paramètres!$A$1:$I$89,3,0)*0.475*44/12</f>
        <v>0.75279175408265753</v>
      </c>
      <c r="AX52" s="21">
        <f t="shared" si="6"/>
        <v>14.832684459360827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10.110000000000001</v>
      </c>
      <c r="BD52" s="12">
        <f>IF('Données projet'!$A$88&gt;35,BD51+BC52-BL51,IF(A52&lt;'Données projet'!$A$88,$BA$205^A52,IF(A52='Données projet'!$A$88,'Données projet'!$B$88,BD51+BC52-BL51)))</f>
        <v>198.2200000000002</v>
      </c>
      <c r="BE52" s="13">
        <f>BD52*VLOOKUP('Données projet'!$B$11,Paramètres!$A$1:$I$89,3,0)*VLOOKUP('Données projet'!$B$11,Paramètres!$A$1:$I$89,5,0)</f>
        <v>179.34945600000017</v>
      </c>
      <c r="BF52" s="13">
        <f t="shared" si="37"/>
        <v>45.177421627371096</v>
      </c>
      <c r="BG52" s="20">
        <f t="shared" si="7"/>
        <v>391.0509785343383</v>
      </c>
      <c r="BH52" s="59">
        <f t="shared" si="8"/>
        <v>684.38431186767161</v>
      </c>
      <c r="BI52" s="59">
        <f ca="1">AVERAGE(OFFSET($BH$3,0,0,'Données projet'!$E$11+1,1))-AVERAGE(OFFSET($H$3,0,0,'Données projet'!$E$11+1,1))</f>
        <v>573.17174498173017</v>
      </c>
      <c r="BJ52" s="59">
        <f t="shared" si="38"/>
        <v>260.48854096157231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12.563596567786675</v>
      </c>
      <c r="BR52" s="21">
        <f>EXP(-LN(2)/2)*BR51+(1-EXP(-LN(2)/2))/(LN(2)/2)*BL52*BO52*VLOOKUP('Données projet'!$B$11,Paramètres!$A$1:$I$89,3,0)*0.475*44/12</f>
        <v>0.67172187287375607</v>
      </c>
      <c r="BS52" s="22">
        <f t="shared" si="9"/>
        <v>13.23531844066043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10.110000000000001</v>
      </c>
      <c r="BY52" s="12">
        <f>IF('Données projet'!$A$114&gt;35,BY51+BX52-CG51,IF(A52&lt;'Données projet'!$A$114,$BV$205^A52,IF(A52='Données projet'!$A$114,'Données projet'!$B$114,BY51+BX52-CG51)))</f>
        <v>198.2200000000002</v>
      </c>
      <c r="BZ52" s="13">
        <f>BY52*VLOOKUP('Données projet'!$B$12,Paramètres!$A$1:$I$89,3,0)*VLOOKUP('Données projet'!$B$12,Paramètres!$A$1:$I$89,5,0)</f>
        <v>188.62615200000019</v>
      </c>
      <c r="CA52" s="13">
        <f t="shared" si="39"/>
        <v>47.236086396758743</v>
      </c>
      <c r="CB52" s="20">
        <f t="shared" si="10"/>
        <v>410.79339854102176</v>
      </c>
      <c r="CC52" s="59">
        <f t="shared" si="11"/>
        <v>704.12673187435507</v>
      </c>
      <c r="CD52" s="59">
        <f ca="1">AVERAGE(OFFSET($CC$3,0,0,'Données projet'!$E$12+1,1))-AVERAGE(OFFSET($H$3,0,0,'Données projet'!$E$12+1,1))</f>
        <v>603.61135046904178</v>
      </c>
      <c r="CE52" s="59">
        <f t="shared" si="40"/>
        <v>272.84936867513068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13.213437769568745</v>
      </c>
      <c r="CM52" s="21">
        <f>EXP(-LN(2)/2)*CM51+(1-EXP(-LN(2)/2))/(LN(2)/2)*CG52*CJ52*VLOOKUP('Données projet'!$B$12,Paramètres!$A$1:$I$89,3,0)*0.475*44/12</f>
        <v>0.70646610767757112</v>
      </c>
      <c r="CN52" s="22">
        <f t="shared" si="12"/>
        <v>13.919903877246316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15.015000000000001</v>
      </c>
      <c r="D53" s="11">
        <f t="shared" si="32"/>
        <v>5.0481221173891981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85.180272849266444</v>
      </c>
      <c r="H53" s="67">
        <f t="shared" si="1"/>
        <v>291.60993768778621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122.43589743589743</v>
      </c>
      <c r="L53" s="12">
        <f>VLOOKUP(A53,'Données projet'!$A$35:$I$55,9,0)</f>
        <v>4.2307692307692291</v>
      </c>
      <c r="M53" s="12">
        <f t="array" ref="M53">INDEX(L:L,MIN(IF(ISNUMBER(L53:L249),ROW(L53:L249),"")))</f>
        <v>4.2307692307692291</v>
      </c>
      <c r="N53" s="13">
        <f>IF('Données projet'!$A$36&gt;35,N52+M53-V52,IF(A53&lt;'Données projet'!$A$36,$K$205^A53,IF(A53='Données projet'!$A$36,'Données projet'!$B$36,N52+M53-V52)))</f>
        <v>122.43589743589745</v>
      </c>
      <c r="O53" s="13">
        <f>N53*VLOOKUP('Données projet'!$B$9,Paramètres!$A$1:$I$89,3,0)*VLOOKUP('Données projet'!$B$9,Paramètres!$A$1:$I$89,5,0)</f>
        <v>127.97000000000003</v>
      </c>
      <c r="P53" s="13">
        <f t="shared" si="33"/>
        <v>33.526857135589701</v>
      </c>
      <c r="Q53" s="20">
        <f t="shared" si="53"/>
        <v>281.27369284448542</v>
      </c>
      <c r="R53" s="59">
        <f t="shared" si="0"/>
        <v>574.60702617781874</v>
      </c>
      <c r="S53" s="59">
        <f ca="1">AVERAGE(OFFSET($R$3,0,0,'Données projet'!$E$9+1,1))-AVERAGE(OFFSET($H$3,0,0,'Données projet'!$E$9+1,1))</f>
        <v>225.9892575177542</v>
      </c>
      <c r="T53" s="59">
        <f t="shared" si="34"/>
        <v>215.88467215650428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13.461538461538462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0.215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18.486317350235591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18.486317350235591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10.110000000000001</v>
      </c>
      <c r="AH53" s="12">
        <f t="array" ref="AH53">INDEX(AG:AG,MIN(IF(ISNUMBER(AG53:AG249),ROW(AG53:AG249),"")))</f>
        <v>10.110000000000001</v>
      </c>
      <c r="AI53" s="13">
        <f>IF('Données projet'!$A$62&gt;35,AI52+AH53-AQ52,IF(A53&lt;'Données projet'!$A$62,$AF$205^A53,IF(A53='Données projet'!$A$62,'Données projet'!$B$62,AI52+AH53-AQ52)))</f>
        <v>208.33000000000021</v>
      </c>
      <c r="AJ53" s="13">
        <f>AI53*VLOOKUP('Données projet'!$B$10,Paramètres!$A$1:$I$89,3,0)*VLOOKUP('Données projet'!$B$10,Paramètres!$A$1:$I$89,5,0)</f>
        <v>211.24662000000023</v>
      </c>
      <c r="AK53" s="13">
        <f t="shared" si="35"/>
        <v>52.207909621932217</v>
      </c>
      <c r="AL53" s="20">
        <f t="shared" si="4"/>
        <v>458.84997242486565</v>
      </c>
      <c r="AM53" s="59">
        <f t="shared" si="5"/>
        <v>752.18330575819891</v>
      </c>
      <c r="AN53" s="59">
        <f ca="1">AVERAGE(OFFSET($AM$3,0,0,'Données projet'!$E$10+1,1))-AVERAGE(OFFSET($H$3,0,0,'Données projet'!$E$10+1,1))</f>
        <v>644.15138437063933</v>
      </c>
      <c r="AO53" s="59">
        <f t="shared" si="36"/>
        <v>289.3097279858207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37.54000000000002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0.34400000000000003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28.113521264944488</v>
      </c>
      <c r="AW53" s="21">
        <f>EXP(-LN(2)/2)*AW52+(1-EXP(-LN(2)/2))/(LN(2)/2)*AQ53*AT53*VLOOKUP('Données projet'!$B$10,Paramètres!$A$1:$I$89,3,0)*0.475*44/12</f>
        <v>7.7154802300384224</v>
      </c>
      <c r="AX53" s="21">
        <f t="shared" si="6"/>
        <v>35.829001494982911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208.33</v>
      </c>
      <c r="BB53" s="12">
        <f>VLOOKUP(A53,'Données projet'!$A$87:$I$107,9,0)</f>
        <v>10.110000000000001</v>
      </c>
      <c r="BC53" s="12">
        <f t="array" ref="BC53">INDEX(BB:BB,MIN(IF(ISNUMBER(BB53:BB249),ROW(BB53:BB249),"")))</f>
        <v>10.110000000000001</v>
      </c>
      <c r="BD53" s="12">
        <f>IF('Données projet'!$A$88&gt;35,BD52+BC53-BL52,IF(A53&lt;'Données projet'!$A$88,$BA$205^A53,IF(A53='Données projet'!$A$88,'Données projet'!$B$88,BD52+BC53-BL52)))</f>
        <v>208.33000000000021</v>
      </c>
      <c r="BE53" s="13">
        <f>BD53*VLOOKUP('Données projet'!$B$11,Paramètres!$A$1:$I$89,3,0)*VLOOKUP('Données projet'!$B$11,Paramètres!$A$1:$I$89,5,0)</f>
        <v>188.4969840000002</v>
      </c>
      <c r="BF53" s="13">
        <f t="shared" si="37"/>
        <v>47.207503913482938</v>
      </c>
      <c r="BG53" s="20">
        <f t="shared" si="7"/>
        <v>410.51864978264985</v>
      </c>
      <c r="BH53" s="59">
        <f t="shared" si="8"/>
        <v>703.8519831159831</v>
      </c>
      <c r="BI53" s="59">
        <f ca="1">AVERAGE(OFFSET($BH$3,0,0,'Données projet'!$E$11+1,1))-AVERAGE(OFFSET($H$3,0,0,'Données projet'!$E$11+1,1))</f>
        <v>573.17174498173017</v>
      </c>
      <c r="BJ53" s="59">
        <f t="shared" si="38"/>
        <v>260.48854096157231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37.54000000000002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0.34400000000000003</v>
      </c>
      <c r="BO53" s="16">
        <f>IF(ISNA(VLOOKUP(A53,'Données projet'!$A$87:$I$107,7,0)),0%,VLOOKUP(A53,'Données projet'!$A$87:$I$107,7,0))</f>
        <v>0.2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25.085911282565853</v>
      </c>
      <c r="BR53" s="21">
        <f>EXP(-LN(2)/2)*BR52+(1-EXP(-LN(2)/2))/(LN(2)/2)*BL53*BO53*VLOOKUP('Données projet'!$B$11,Paramètres!$A$1:$I$89,3,0)*0.475*44/12</f>
        <v>6.8845823591112083</v>
      </c>
      <c r="BS53" s="22">
        <f t="shared" si="9"/>
        <v>31.970493641677059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208.33</v>
      </c>
      <c r="BW53" s="12">
        <f>VLOOKUP(A53,'Données projet'!$A$113:$I$133,9,0)</f>
        <v>10.110000000000001</v>
      </c>
      <c r="BX53" s="12">
        <f t="array" ref="BX53">INDEX(BW:BW,MIN(IF(ISNUMBER(BW53:BW249),ROW(BW53:BW249),"")))</f>
        <v>10.110000000000001</v>
      </c>
      <c r="BY53" s="12">
        <f>IF('Données projet'!$A$114&gt;35,BY52+BX53-CG52,IF(A53&lt;'Données projet'!$A$114,$BV$205^A53,IF(A53='Données projet'!$A$114,'Données projet'!$B$114,BY52+BX53-CG52)))</f>
        <v>208.33000000000021</v>
      </c>
      <c r="BZ53" s="13">
        <f>BY53*VLOOKUP('Données projet'!$B$12,Paramètres!$A$1:$I$89,3,0)*VLOOKUP('Données projet'!$B$12,Paramètres!$A$1:$I$89,5,0)</f>
        <v>198.24682800000019</v>
      </c>
      <c r="CA53" s="13">
        <f t="shared" si="39"/>
        <v>49.358676372128407</v>
      </c>
      <c r="CB53" s="20">
        <f t="shared" si="10"/>
        <v>431.24625344812392</v>
      </c>
      <c r="CC53" s="59">
        <f t="shared" si="11"/>
        <v>724.57958678145724</v>
      </c>
      <c r="CD53" s="59">
        <f ca="1">AVERAGE(OFFSET($CC$3,0,0,'Données projet'!$E$12+1,1))-AVERAGE(OFFSET($H$3,0,0,'Données projet'!$E$12+1,1))</f>
        <v>603.61135046904178</v>
      </c>
      <c r="CE53" s="59">
        <f t="shared" si="40"/>
        <v>272.84936867513068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37.54000000000002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0.34400000000000003</v>
      </c>
      <c r="CJ53" s="16">
        <f>IF(ISNA(VLOOKUP(A53,'Données projet'!$A$113:$I$133,7,0)),0%,VLOOKUP(A53,'Données projet'!$A$113:$I$133,7,0))</f>
        <v>0.2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26.383458417870983</v>
      </c>
      <c r="CM53" s="21">
        <f>EXP(-LN(2)/2)*CM52+(1-EXP(-LN(2)/2))/(LN(2)/2)*CG53*CJ53*VLOOKUP('Données projet'!$B$12,Paramètres!$A$1:$I$89,3,0)*0.475*44/12</f>
        <v>7.2406814466514442</v>
      </c>
      <c r="CN53" s="22">
        <f t="shared" si="12"/>
        <v>33.624139864522427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15.315300000000001</v>
      </c>
      <c r="D54" s="11">
        <f t="shared" si="32"/>
        <v>5.1372294553013376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86.833546108472376</v>
      </c>
      <c r="H54" s="67">
        <f t="shared" si="1"/>
        <v>292.28815546798319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3.9743589743589753</v>
      </c>
      <c r="N54" s="13">
        <f>IF('Données projet'!$A$36&gt;35,N53+M54-V53,IF(A54&lt;'Données projet'!$A$36,$K$205^A54,IF(A54='Données projet'!$A$36,'Données projet'!$B$36,N53+M54-V53)))</f>
        <v>112.94871794871796</v>
      </c>
      <c r="O54" s="13">
        <f>N54*VLOOKUP('Données projet'!$B$9,Paramètres!$A$1:$I$89,3,0)*VLOOKUP('Données projet'!$B$9,Paramètres!$A$1:$I$89,5,0)</f>
        <v>118.05400000000003</v>
      </c>
      <c r="P54" s="13">
        <f t="shared" si="33"/>
        <v>31.220695774110773</v>
      </c>
      <c r="Q54" s="20">
        <f t="shared" si="53"/>
        <v>259.98676180657628</v>
      </c>
      <c r="R54" s="59">
        <f t="shared" si="0"/>
        <v>553.32009513990965</v>
      </c>
      <c r="S54" s="59">
        <f ca="1">AVERAGE(OFFSET($R$3,0,0,'Données projet'!$E$9+1,1))-AVERAGE(OFFSET($H$3,0,0,'Données projet'!$E$9+1,1))</f>
        <v>225.9892575177542</v>
      </c>
      <c r="T54" s="59">
        <f t="shared" si="34"/>
        <v>215.88467215650428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17.980808030140221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17.980808030140221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10.36375</v>
      </c>
      <c r="AI54" s="13">
        <f>IF('Données projet'!$A$62&gt;35,AI53+AH54-AQ53,IF(A54&lt;'Données projet'!$A$62,$AF$205^A54,IF(A54='Données projet'!$A$62,'Données projet'!$B$62,AI53+AH54-AQ53)))</f>
        <v>181.1537500000002</v>
      </c>
      <c r="AJ54" s="13">
        <f>AI54*VLOOKUP('Données projet'!$B$10,Paramètres!$A$1:$I$89,3,0)*VLOOKUP('Données projet'!$B$10,Paramètres!$A$1:$I$89,5,0)</f>
        <v>183.68990250000022</v>
      </c>
      <c r="AK54" s="13">
        <f t="shared" si="35"/>
        <v>46.142149449949819</v>
      </c>
      <c r="AL54" s="20">
        <f t="shared" si="4"/>
        <v>400.29082381282961</v>
      </c>
      <c r="AM54" s="59">
        <f t="shared" si="5"/>
        <v>693.62415714616293</v>
      </c>
      <c r="AN54" s="59">
        <f ca="1">AVERAGE(OFFSET($AM$3,0,0,'Données projet'!$E$10+1,1))-AVERAGE(OFFSET($H$3,0,0,'Données projet'!$E$10+1,1))</f>
        <v>644.15138437063933</v>
      </c>
      <c r="AO54" s="59">
        <f t="shared" si="36"/>
        <v>289.3097279858207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27.344755547528752</v>
      </c>
      <c r="AW54" s="21">
        <f>EXP(-LN(2)/2)*AW53+(1-EXP(-LN(2)/2))/(LN(2)/2)*AQ54*AT54*VLOOKUP('Données projet'!$B$10,Paramètres!$A$1:$I$89,3,0)*0.475*44/12</f>
        <v>5.4556683907709127</v>
      </c>
      <c r="AX54" s="21">
        <f t="shared" si="6"/>
        <v>32.800423938299666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10.36375</v>
      </c>
      <c r="BD54" s="12">
        <f>IF('Données projet'!$A$88&gt;35,BD53+BC54-BL53,IF(A54&lt;'Données projet'!$A$88,$BA$205^A54,IF(A54='Données projet'!$A$88,'Données projet'!$B$88,BD53+BC54-BL53)))</f>
        <v>181.1537500000002</v>
      </c>
      <c r="BE54" s="13">
        <f>BD54*VLOOKUP('Données projet'!$B$11,Paramètres!$A$1:$I$89,3,0)*VLOOKUP('Données projet'!$B$11,Paramètres!$A$1:$I$89,5,0)</f>
        <v>163.90791300000018</v>
      </c>
      <c r="BF54" s="13">
        <f t="shared" si="37"/>
        <v>41.72271436472046</v>
      </c>
      <c r="BG54" s="20">
        <f t="shared" si="7"/>
        <v>358.14000932688845</v>
      </c>
      <c r="BH54" s="59">
        <f t="shared" si="8"/>
        <v>651.47334266022176</v>
      </c>
      <c r="BI54" s="59">
        <f ca="1">AVERAGE(OFFSET($BH$3,0,0,'Données projet'!$E$11+1,1))-AVERAGE(OFFSET($H$3,0,0,'Données projet'!$E$11+1,1))</f>
        <v>573.17174498173017</v>
      </c>
      <c r="BJ54" s="59">
        <f t="shared" si="38"/>
        <v>260.48854096157231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24.399935719333349</v>
      </c>
      <c r="BR54" s="21">
        <f>EXP(-LN(2)/2)*BR53+(1-EXP(-LN(2)/2))/(LN(2)/2)*BL54*BO54*VLOOKUP('Données projet'!$B$11,Paramètres!$A$1:$I$89,3,0)*0.475*44/12</f>
        <v>4.8681348717648145</v>
      </c>
      <c r="BS54" s="22">
        <f t="shared" si="9"/>
        <v>29.268070591098166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10.36375</v>
      </c>
      <c r="BY54" s="12">
        <f>IF('Données projet'!$A$114&gt;35,BY53+BX54-CG53,IF(A54&lt;'Données projet'!$A$114,$BV$205^A54,IF(A54='Données projet'!$A$114,'Données projet'!$B$114,BY53+BX54-CG53)))</f>
        <v>181.1537500000002</v>
      </c>
      <c r="BZ54" s="13">
        <f>BY54*VLOOKUP('Données projet'!$B$12,Paramètres!$A$1:$I$89,3,0)*VLOOKUP('Données projet'!$B$12,Paramètres!$A$1:$I$89,5,0)</f>
        <v>172.3859085000002</v>
      </c>
      <c r="CA54" s="13">
        <f t="shared" si="39"/>
        <v>43.623953502587391</v>
      </c>
      <c r="CB54" s="20">
        <f t="shared" si="10"/>
        <v>376.21717632117338</v>
      </c>
      <c r="CC54" s="59">
        <f t="shared" si="11"/>
        <v>669.55050965450664</v>
      </c>
      <c r="CD54" s="59">
        <f ca="1">AVERAGE(OFFSET($CC$3,0,0,'Données projet'!$E$12+1,1))-AVERAGE(OFFSET($H$3,0,0,'Données projet'!$E$12+1,1))</f>
        <v>603.61135046904178</v>
      </c>
      <c r="CE54" s="59">
        <f t="shared" si="40"/>
        <v>272.84936867513068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25.662001359988523</v>
      </c>
      <c r="CM54" s="21">
        <f>EXP(-LN(2)/2)*CM53+(1-EXP(-LN(2)/2))/(LN(2)/2)*CG54*CJ54*VLOOKUP('Données projet'!$B$12,Paramètres!$A$1:$I$89,3,0)*0.475*44/12</f>
        <v>5.1199349513388572</v>
      </c>
      <c r="CN54" s="22">
        <f t="shared" si="12"/>
        <v>30.781936311327378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15.615600000000001</v>
      </c>
      <c r="D55" s="11">
        <f t="shared" si="32"/>
        <v>5.2261336369672877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88.485956844668138</v>
      </c>
      <c r="H55" s="67">
        <f t="shared" si="1"/>
        <v>292.96601941771803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3.9743589743589753</v>
      </c>
      <c r="N55" s="13">
        <f>IF('Données projet'!$A$36&gt;35,N54+M55-V54,IF(A55&lt;'Données projet'!$A$36,$K$205^A55,IF(A55='Données projet'!$A$36,'Données projet'!$B$36,N54+M55-V54)))</f>
        <v>116.92307692307693</v>
      </c>
      <c r="O55" s="13">
        <f>N55*VLOOKUP('Données projet'!$B$9,Paramètres!$A$1:$I$89,3,0)*VLOOKUP('Données projet'!$B$9,Paramètres!$A$1:$I$89,5,0)</f>
        <v>122.20800000000001</v>
      </c>
      <c r="P55" s="13">
        <f t="shared" si="33"/>
        <v>32.189431292929825</v>
      </c>
      <c r="Q55" s="20">
        <f t="shared" si="53"/>
        <v>268.90885950185276</v>
      </c>
      <c r="R55" s="59">
        <f t="shared" si="0"/>
        <v>562.24219283518607</v>
      </c>
      <c r="S55" s="59">
        <f ca="1">AVERAGE(OFFSET($R$3,0,0,'Données projet'!$E$9+1,1))-AVERAGE(OFFSET($H$3,0,0,'Données projet'!$E$9+1,1))</f>
        <v>225.9892575177542</v>
      </c>
      <c r="T55" s="59">
        <f t="shared" si="34"/>
        <v>215.88467215650428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17.489121888986439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17.489121888986439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10.36375</v>
      </c>
      <c r="AI55" s="13">
        <f>IF('Données projet'!$A$62&gt;35,AI54+AH55-AQ54,IF(A55&lt;'Données projet'!$A$62,$AF$205^A55,IF(A55='Données projet'!$A$62,'Données projet'!$B$62,AI54+AH55-AQ54)))</f>
        <v>191.51750000000021</v>
      </c>
      <c r="AJ55" s="13">
        <f>AI55*VLOOKUP('Données projet'!$B$10,Paramètres!$A$1:$I$89,3,0)*VLOOKUP('Données projet'!$B$10,Paramètres!$A$1:$I$89,5,0)</f>
        <v>194.19874500000023</v>
      </c>
      <c r="AK55" s="13">
        <f t="shared" si="35"/>
        <v>48.467051557519213</v>
      </c>
      <c r="AL55" s="20">
        <f t="shared" si="4"/>
        <v>422.64292900434634</v>
      </c>
      <c r="AM55" s="59">
        <f t="shared" si="5"/>
        <v>715.9762623376796</v>
      </c>
      <c r="AN55" s="59">
        <f ca="1">AVERAGE(OFFSET($AM$3,0,0,'Données projet'!$E$10+1,1))-AVERAGE(OFFSET($H$3,0,0,'Données projet'!$E$10+1,1))</f>
        <v>644.15138437063933</v>
      </c>
      <c r="AO55" s="59">
        <f t="shared" si="36"/>
        <v>289.3097279858207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26.59701176908338</v>
      </c>
      <c r="AW55" s="21">
        <f>EXP(-LN(2)/2)*AW54+(1-EXP(-LN(2)/2))/(LN(2)/2)*AQ55*AT55*VLOOKUP('Données projet'!$B$10,Paramètres!$A$1:$I$89,3,0)*0.475*44/12</f>
        <v>3.8577401150192121</v>
      </c>
      <c r="AX55" s="21">
        <f t="shared" si="6"/>
        <v>30.454751884102592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10.36375</v>
      </c>
      <c r="BD55" s="12">
        <f>IF('Données projet'!$A$88&gt;35,BD54+BC55-BL54,IF(A55&lt;'Données projet'!$A$88,$BA$205^A55,IF(A55='Données projet'!$A$88,'Données projet'!$B$88,BD54+BC55-BL54)))</f>
        <v>191.51750000000021</v>
      </c>
      <c r="BE55" s="13">
        <f>BD55*VLOOKUP('Données projet'!$B$11,Paramètres!$A$1:$I$89,3,0)*VLOOKUP('Données projet'!$B$11,Paramètres!$A$1:$I$89,5,0)</f>
        <v>173.28503400000019</v>
      </c>
      <c r="BF55" s="13">
        <f t="shared" si="37"/>
        <v>43.82494037101592</v>
      </c>
      <c r="BG55" s="20">
        <f t="shared" si="7"/>
        <v>378.133205362853</v>
      </c>
      <c r="BH55" s="59">
        <f t="shared" si="8"/>
        <v>671.46653869618626</v>
      </c>
      <c r="BI55" s="59">
        <f ca="1">AVERAGE(OFFSET($BH$3,0,0,'Données projet'!$E$11+1,1))-AVERAGE(OFFSET($H$3,0,0,'Données projet'!$E$11+1,1))</f>
        <v>573.17174498173017</v>
      </c>
      <c r="BJ55" s="59">
        <f t="shared" si="38"/>
        <v>260.48854096157231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23.732718193951328</v>
      </c>
      <c r="BR55" s="21">
        <f>EXP(-LN(2)/2)*BR54+(1-EXP(-LN(2)/2))/(LN(2)/2)*BL55*BO55*VLOOKUP('Données projet'!$B$11,Paramètres!$A$1:$I$89,3,0)*0.475*44/12</f>
        <v>3.4422911795556046</v>
      </c>
      <c r="BS55" s="22">
        <f t="shared" si="9"/>
        <v>27.175009373506931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10.36375</v>
      </c>
      <c r="BY55" s="12">
        <f>IF('Données projet'!$A$114&gt;35,BY54+BX55-CG54,IF(A55&lt;'Données projet'!$A$114,$BV$205^A55,IF(A55='Données projet'!$A$114,'Données projet'!$B$114,BY54+BX55-CG54)))</f>
        <v>191.51750000000021</v>
      </c>
      <c r="BZ55" s="13">
        <f>BY55*VLOOKUP('Données projet'!$B$12,Paramètres!$A$1:$I$89,3,0)*VLOOKUP('Données projet'!$B$12,Paramètres!$A$1:$I$89,5,0)</f>
        <v>182.2480530000002</v>
      </c>
      <c r="CA55" s="13">
        <f t="shared" si="39"/>
        <v>45.821974675153001</v>
      </c>
      <c r="CB55" s="20">
        <f t="shared" si="10"/>
        <v>397.22196486755848</v>
      </c>
      <c r="CC55" s="59">
        <f t="shared" si="11"/>
        <v>690.5552982008918</v>
      </c>
      <c r="CD55" s="59">
        <f ca="1">AVERAGE(OFFSET($CC$3,0,0,'Données projet'!$E$12+1,1))-AVERAGE(OFFSET($H$3,0,0,'Données projet'!$E$12+1,1))</f>
        <v>603.61135046904178</v>
      </c>
      <c r="CE55" s="59">
        <f t="shared" si="40"/>
        <v>272.84936867513068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24.960272583293637</v>
      </c>
      <c r="CM55" s="21">
        <f>EXP(-LN(2)/2)*CM54+(1-EXP(-LN(2)/2))/(LN(2)/2)*CG55*CJ55*VLOOKUP('Données projet'!$B$12,Paramètres!$A$1:$I$89,3,0)*0.475*44/12</f>
        <v>3.6203407233257225</v>
      </c>
      <c r="CN55" s="22">
        <f t="shared" si="12"/>
        <v>28.580613306619359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15.915900000000001</v>
      </c>
      <c r="D56" s="11">
        <f t="shared" si="32"/>
        <v>5.314839019659213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90.137523557149663</v>
      </c>
      <c r="H56" s="67">
        <f t="shared" si="1"/>
        <v>293.64353712590651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3.9743589743589753</v>
      </c>
      <c r="N56" s="13">
        <f>IF('Données projet'!$A$36&gt;35,N55+M56-V55,IF(A56&lt;'Données projet'!$A$36,$K$205^A56,IF(A56='Données projet'!$A$36,'Données projet'!$B$36,N55+M56-V55)))</f>
        <v>120.89743589743591</v>
      </c>
      <c r="O56" s="13">
        <f>N56*VLOOKUP('Données projet'!$B$9,Paramètres!$A$1:$I$89,3,0)*VLOOKUP('Données projet'!$B$9,Paramètres!$A$1:$I$89,5,0)</f>
        <v>126.36200000000002</v>
      </c>
      <c r="P56" s="13">
        <f t="shared" si="33"/>
        <v>33.15434072740662</v>
      </c>
      <c r="Q56" s="20">
        <f t="shared" si="53"/>
        <v>277.8242934335666</v>
      </c>
      <c r="R56" s="59">
        <f t="shared" si="0"/>
        <v>571.15762676689997</v>
      </c>
      <c r="S56" s="59">
        <f ca="1">AVERAGE(OFFSET($R$3,0,0,'Données projet'!$E$9+1,1))-AVERAGE(OFFSET($H$3,0,0,'Données projet'!$E$9+1,1))</f>
        <v>225.9892575177542</v>
      </c>
      <c r="T56" s="59">
        <f t="shared" si="34"/>
        <v>215.88467215650428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17.010880931219155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17.010880931219155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10.36375</v>
      </c>
      <c r="AI56" s="13">
        <f>IF('Données projet'!$A$62&gt;35,AI55+AH56-AQ55,IF(A56&lt;'Données projet'!$A$62,$AF$205^A56,IF(A56='Données projet'!$A$62,'Données projet'!$B$62,AI55+AH56-AQ55)))</f>
        <v>201.88125000000022</v>
      </c>
      <c r="AJ56" s="13">
        <f>AI56*VLOOKUP('Données projet'!$B$10,Paramètres!$A$1:$I$89,3,0)*VLOOKUP('Données projet'!$B$10,Paramètres!$A$1:$I$89,5,0)</f>
        <v>204.70758750000024</v>
      </c>
      <c r="AK56" s="13">
        <f t="shared" si="35"/>
        <v>50.777347948807439</v>
      </c>
      <c r="AL56" s="20">
        <f t="shared" si="4"/>
        <v>444.96959590667331</v>
      </c>
      <c r="AM56" s="59">
        <f t="shared" si="5"/>
        <v>738.30292924000662</v>
      </c>
      <c r="AN56" s="59">
        <f ca="1">AVERAGE(OFFSET($AM$3,0,0,'Données projet'!$E$10+1,1))-AVERAGE(OFFSET($H$3,0,0,'Données projet'!$E$10+1,1))</f>
        <v>644.15138437063933</v>
      </c>
      <c r="AO56" s="59">
        <f t="shared" si="36"/>
        <v>289.3097279858207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25.869715083581735</v>
      </c>
      <c r="AW56" s="21">
        <f>EXP(-LN(2)/2)*AW55+(1-EXP(-LN(2)/2))/(LN(2)/2)*AQ56*AT56*VLOOKUP('Données projet'!$B$10,Paramètres!$A$1:$I$89,3,0)*0.475*44/12</f>
        <v>2.7278341953854568</v>
      </c>
      <c r="AX56" s="21">
        <f t="shared" si="6"/>
        <v>28.597549278967193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10.36375</v>
      </c>
      <c r="BD56" s="12">
        <f>IF('Données projet'!$A$88&gt;35,BD55+BC56-BL55,IF(A56&lt;'Données projet'!$A$88,$BA$205^A56,IF(A56='Données projet'!$A$88,'Données projet'!$B$88,BD55+BC56-BL55)))</f>
        <v>201.88125000000022</v>
      </c>
      <c r="BE56" s="13">
        <f>BD56*VLOOKUP('Données projet'!$B$11,Paramètres!$A$1:$I$89,3,0)*VLOOKUP('Données projet'!$B$11,Paramètres!$A$1:$I$89,5,0)</f>
        <v>182.66215500000018</v>
      </c>
      <c r="BF56" s="13">
        <f t="shared" si="37"/>
        <v>45.913959577546748</v>
      </c>
      <c r="BG56" s="20">
        <f t="shared" si="7"/>
        <v>398.10339955589421</v>
      </c>
      <c r="BH56" s="59">
        <f t="shared" si="8"/>
        <v>691.43673288922753</v>
      </c>
      <c r="BI56" s="59">
        <f ca="1">AVERAGE(OFFSET($BH$3,0,0,'Données projet'!$E$11+1,1))-AVERAGE(OFFSET($H$3,0,0,'Données projet'!$E$11+1,1))</f>
        <v>573.17174498173017</v>
      </c>
      <c r="BJ56" s="59">
        <f t="shared" si="38"/>
        <v>260.48854096157231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23.08374576688832</v>
      </c>
      <c r="BR56" s="21">
        <f>EXP(-LN(2)/2)*BR55+(1-EXP(-LN(2)/2))/(LN(2)/2)*BL56*BO56*VLOOKUP('Données projet'!$B$11,Paramètres!$A$1:$I$89,3,0)*0.475*44/12</f>
        <v>2.4340674358824077</v>
      </c>
      <c r="BS56" s="22">
        <f t="shared" si="9"/>
        <v>25.517813202770729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10.36375</v>
      </c>
      <c r="BY56" s="12">
        <f>IF('Données projet'!$A$114&gt;35,BY55+BX56-CG55,IF(A56&lt;'Données projet'!$A$114,$BV$205^A56,IF(A56='Données projet'!$A$114,'Données projet'!$B$114,BY55+BX56-CG55)))</f>
        <v>201.88125000000022</v>
      </c>
      <c r="BZ56" s="13">
        <f>BY56*VLOOKUP('Données projet'!$B$12,Paramètres!$A$1:$I$89,3,0)*VLOOKUP('Données projet'!$B$12,Paramètres!$A$1:$I$89,5,0)</f>
        <v>192.11019750000023</v>
      </c>
      <c r="CA56" s="13">
        <f t="shared" si="39"/>
        <v>48.00618723464968</v>
      </c>
      <c r="CB56" s="20">
        <f t="shared" si="10"/>
        <v>418.20270341284862</v>
      </c>
      <c r="CC56" s="59">
        <f t="shared" si="11"/>
        <v>711.53603674618194</v>
      </c>
      <c r="CD56" s="59">
        <f ca="1">AVERAGE(OFFSET($CC$3,0,0,'Données projet'!$E$12+1,1))-AVERAGE(OFFSET($H$3,0,0,'Données projet'!$E$12+1,1))</f>
        <v>603.61135046904178</v>
      </c>
      <c r="CE56" s="59">
        <f t="shared" si="40"/>
        <v>272.84936867513068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24.277732616899787</v>
      </c>
      <c r="CM56" s="21">
        <f>EXP(-LN(2)/2)*CM55+(1-EXP(-LN(2)/2))/(LN(2)/2)*CG56*CJ56*VLOOKUP('Données projet'!$B$12,Paramètres!$A$1:$I$89,3,0)*0.475*44/12</f>
        <v>2.5599674756694291</v>
      </c>
      <c r="CN56" s="22">
        <f t="shared" si="12"/>
        <v>26.837700092569214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16.216200000000001</v>
      </c>
      <c r="D57" s="11">
        <f t="shared" si="32"/>
        <v>5.4033497868143936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91.78826400717692</v>
      </c>
      <c r="H57" s="67">
        <f t="shared" si="1"/>
        <v>294.32071587870178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3.9743589743589753</v>
      </c>
      <c r="N57" s="13">
        <f>IF('Données projet'!$A$36&gt;35,N56+M57-V56,IF(A57&lt;'Données projet'!$A$36,$K$205^A57,IF(A57='Données projet'!$A$36,'Données projet'!$B$36,N56+M57-V56)))</f>
        <v>124.87179487179489</v>
      </c>
      <c r="O57" s="13">
        <f>N57*VLOOKUP('Données projet'!$B$9,Paramètres!$A$1:$I$89,3,0)*VLOOKUP('Données projet'!$B$9,Paramètres!$A$1:$I$89,5,0)</f>
        <v>130.51600000000002</v>
      </c>
      <c r="P57" s="13">
        <f t="shared" si="33"/>
        <v>34.115564279019615</v>
      </c>
      <c r="Q57" s="20">
        <f t="shared" si="53"/>
        <v>286.7333077859592</v>
      </c>
      <c r="R57" s="59">
        <f t="shared" si="0"/>
        <v>580.06664111929251</v>
      </c>
      <c r="S57" s="59">
        <f ca="1">AVERAGE(OFFSET($R$3,0,0,'Données projet'!$E$9+1,1))-AVERAGE(OFFSET($H$3,0,0,'Données projet'!$E$9+1,1))</f>
        <v>225.9892575177542</v>
      </c>
      <c r="T57" s="59">
        <f t="shared" si="34"/>
        <v>215.88467215650428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16.545717497591617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16.545717497591617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10.36375</v>
      </c>
      <c r="AI57" s="13">
        <f>IF('Données projet'!$A$62&gt;35,AI56+AH57-AQ56,IF(A57&lt;'Données projet'!$A$62,$AF$205^A57,IF(A57='Données projet'!$A$62,'Données projet'!$B$62,AI56+AH57-AQ56)))</f>
        <v>212.24500000000023</v>
      </c>
      <c r="AJ57" s="13">
        <f>AI57*VLOOKUP('Données projet'!$B$10,Paramètres!$A$1:$I$89,3,0)*VLOOKUP('Données projet'!$B$10,Paramètres!$A$1:$I$89,5,0)</f>
        <v>215.21643000000026</v>
      </c>
      <c r="AK57" s="13">
        <f t="shared" si="35"/>
        <v>53.073873953396202</v>
      </c>
      <c r="AL57" s="20">
        <f t="shared" si="4"/>
        <v>467.27227938549885</v>
      </c>
      <c r="AM57" s="59">
        <f t="shared" si="5"/>
        <v>760.60561271883216</v>
      </c>
      <c r="AN57" s="59">
        <f ca="1">AVERAGE(OFFSET($AM$3,0,0,'Données projet'!$E$10+1,1))-AVERAGE(OFFSET($H$3,0,0,'Données projet'!$E$10+1,1))</f>
        <v>644.15138437063933</v>
      </c>
      <c r="AO57" s="59">
        <f t="shared" si="36"/>
        <v>289.3097279858207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25.162306364192002</v>
      </c>
      <c r="AW57" s="21">
        <f>EXP(-LN(2)/2)*AW56+(1-EXP(-LN(2)/2))/(LN(2)/2)*AQ57*AT57*VLOOKUP('Données projet'!$B$10,Paramètres!$A$1:$I$89,3,0)*0.475*44/12</f>
        <v>1.9288700575096063</v>
      </c>
      <c r="AX57" s="21">
        <f t="shared" si="6"/>
        <v>27.091176421701608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10.36375</v>
      </c>
      <c r="BD57" s="12">
        <f>IF('Données projet'!$A$88&gt;35,BD56+BC57-BL56,IF(A57&lt;'Données projet'!$A$88,$BA$205^A57,IF(A57='Données projet'!$A$88,'Données projet'!$B$88,BD56+BC57-BL56)))</f>
        <v>212.24500000000023</v>
      </c>
      <c r="BE57" s="13">
        <f>BD57*VLOOKUP('Données projet'!$B$11,Paramètres!$A$1:$I$89,3,0)*VLOOKUP('Données projet'!$B$11,Paramètres!$A$1:$I$89,5,0)</f>
        <v>192.0392760000002</v>
      </c>
      <c r="BF57" s="13">
        <f t="shared" si="37"/>
        <v>47.990527307113453</v>
      </c>
      <c r="BG57" s="20">
        <f t="shared" si="7"/>
        <v>418.05190742655623</v>
      </c>
      <c r="BH57" s="59">
        <f t="shared" si="8"/>
        <v>711.38524075988948</v>
      </c>
      <c r="BI57" s="59">
        <f ca="1">AVERAGE(OFFSET($BH$3,0,0,'Données projet'!$E$11+1,1))-AVERAGE(OFFSET($H$3,0,0,'Données projet'!$E$11+1,1))</f>
        <v>573.17174498173017</v>
      </c>
      <c r="BJ57" s="59">
        <f t="shared" si="38"/>
        <v>260.48854096157231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22.452519524971329</v>
      </c>
      <c r="BR57" s="21">
        <f>EXP(-LN(2)/2)*BR56+(1-EXP(-LN(2)/2))/(LN(2)/2)*BL57*BO57*VLOOKUP('Données projet'!$B$11,Paramètres!$A$1:$I$89,3,0)*0.475*44/12</f>
        <v>1.7211455897778025</v>
      </c>
      <c r="BS57" s="22">
        <f t="shared" si="9"/>
        <v>24.173665114749131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10.36375</v>
      </c>
      <c r="BY57" s="12">
        <f>IF('Données projet'!$A$114&gt;35,BY56+BX57-CG56,IF(A57&lt;'Données projet'!$A$114,$BV$205^A57,IF(A57='Données projet'!$A$114,'Données projet'!$B$114,BY56+BX57-CG56)))</f>
        <v>212.24500000000023</v>
      </c>
      <c r="BZ57" s="13">
        <f>BY57*VLOOKUP('Données projet'!$B$12,Paramètres!$A$1:$I$89,3,0)*VLOOKUP('Données projet'!$B$12,Paramètres!$A$1:$I$89,5,0)</f>
        <v>201.97234200000022</v>
      </c>
      <c r="CA57" s="13">
        <f t="shared" si="39"/>
        <v>50.177380922761891</v>
      </c>
      <c r="CB57" s="20">
        <f t="shared" si="10"/>
        <v>439.16076742381068</v>
      </c>
      <c r="CC57" s="59">
        <f t="shared" si="11"/>
        <v>732.494100757144</v>
      </c>
      <c r="CD57" s="59">
        <f ca="1">AVERAGE(OFFSET($CC$3,0,0,'Données projet'!$E$12+1,1))-AVERAGE(OFFSET($H$3,0,0,'Données projet'!$E$12+1,1))</f>
        <v>603.61135046904178</v>
      </c>
      <c r="CE57" s="59">
        <f t="shared" si="40"/>
        <v>272.84936867513068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23.613856741780189</v>
      </c>
      <c r="CM57" s="21">
        <f>EXP(-LN(2)/2)*CM56+(1-EXP(-LN(2)/2))/(LN(2)/2)*CG57*CJ57*VLOOKUP('Données projet'!$B$12,Paramètres!$A$1:$I$89,3,0)*0.475*44/12</f>
        <v>1.8101703616628615</v>
      </c>
      <c r="CN57" s="22">
        <f t="shared" si="12"/>
        <v>25.424027103443052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16.516500000000001</v>
      </c>
      <c r="D58" s="11">
        <f t="shared" si="32"/>
        <v>5.4916699580588917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93.438195260530748</v>
      </c>
      <c r="H58" s="67">
        <f t="shared" si="1"/>
        <v>294.99756267695261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128.84615384615384</v>
      </c>
      <c r="L58" s="12">
        <f>VLOOKUP(A58,'Données projet'!$A$35:$I$55,9,0)</f>
        <v>3.9743589743589753</v>
      </c>
      <c r="M58" s="12">
        <f t="array" ref="M58">INDEX(L:L,MIN(IF(ISNUMBER(L58:L254),ROW(L58:L254),"")))</f>
        <v>3.9743589743589753</v>
      </c>
      <c r="N58" s="13">
        <f>IF('Données projet'!$A$36&gt;35,N57+M58-V57,IF(A58&lt;'Données projet'!$A$36,$K$205^A58,IF(A58='Données projet'!$A$36,'Données projet'!$B$36,N57+M58-V57)))</f>
        <v>128.84615384615387</v>
      </c>
      <c r="O58" s="13">
        <f>N58*VLOOKUP('Données projet'!$B$9,Paramètres!$A$1:$I$89,3,0)*VLOOKUP('Données projet'!$B$9,Paramètres!$A$1:$I$89,5,0)</f>
        <v>134.67000000000004</v>
      </c>
      <c r="P58" s="13">
        <f t="shared" si="33"/>
        <v>35.073232717947938</v>
      </c>
      <c r="Q58" s="20">
        <f t="shared" si="53"/>
        <v>295.63613031709275</v>
      </c>
      <c r="R58" s="59">
        <f t="shared" si="0"/>
        <v>588.96946365042606</v>
      </c>
      <c r="S58" s="59">
        <f ca="1">AVERAGE(OFFSET($R$3,0,0,'Données projet'!$E$9+1,1))-AVERAGE(OFFSET($H$3,0,0,'Données projet'!$E$9+1,1))</f>
        <v>225.9892575177542</v>
      </c>
      <c r="T58" s="59">
        <f t="shared" si="34"/>
        <v>215.88467215650428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12.820512820512819</v>
      </c>
      <c r="W58" s="16">
        <f>IF(ISNA(VLOOKUP(A58,'Données projet'!$A$35:$I$55,5,0)),0%,VLOOKUP(A58,'Données projet'!$A$35:$I$55,5,0)*VLOOKUP('Données projet'!$B$9,Paramètres!$A$1:$I$89,7,0))</f>
        <v>4.3000000000000003E-2</v>
      </c>
      <c r="X58" s="16">
        <f>IF(ISNA(VLOOKUP(A58,'Données projet'!$A$35:$I$55,6,0)),0%,VLOOKUP(A58,'Données projet'!$A$35:$I$55,6,0)*VLOOKUP('Données projet'!$B$9,Paramètres!$A$1:$I$89,7,0))</f>
        <v>0.215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0.63697203268688585</v>
      </c>
      <c r="AA58" s="21">
        <f>EXP(-LN(2)/25)*AA57+(1-EXP(-LN(2)/25))/(LN(2)/25)*Calculateur!V58*Calculateur!X58*VLOOKUP('Données projet'!$B$9,Paramètres!$A$1:$I$89,3,0)*0.475*44/12</f>
        <v>19.265594137962633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19.902566170649518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10.36375</v>
      </c>
      <c r="AI58" s="13">
        <f>IF('Données projet'!$A$62&gt;35,AI57+AH58-AQ57,IF(A58&lt;'Données projet'!$A$62,$AF$205^A58,IF(A58='Données projet'!$A$62,'Données projet'!$B$62,AI57+AH58-AQ57)))</f>
        <v>222.60875000000024</v>
      </c>
      <c r="AJ58" s="13">
        <f>AI58*VLOOKUP('Données projet'!$B$10,Paramètres!$A$1:$I$89,3,0)*VLOOKUP('Données projet'!$B$10,Paramètres!$A$1:$I$89,5,0)</f>
        <v>225.72527250000027</v>
      </c>
      <c r="AK58" s="13">
        <f t="shared" si="35"/>
        <v>55.357378715128789</v>
      </c>
      <c r="AL58" s="20">
        <f t="shared" si="4"/>
        <v>489.55228419968324</v>
      </c>
      <c r="AM58" s="59">
        <f t="shared" si="5"/>
        <v>782.88561753301656</v>
      </c>
      <c r="AN58" s="59">
        <f ca="1">AVERAGE(OFFSET($AM$3,0,0,'Données projet'!$E$10+1,1))-AVERAGE(OFFSET($H$3,0,0,'Données projet'!$E$10+1,1))</f>
        <v>644.15138437063933</v>
      </c>
      <c r="AO58" s="59">
        <f t="shared" si="36"/>
        <v>289.3097279858207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24.47424177343499</v>
      </c>
      <c r="AW58" s="21">
        <f>EXP(-LN(2)/2)*AW57+(1-EXP(-LN(2)/2))/(LN(2)/2)*AQ58*AT58*VLOOKUP('Données projet'!$B$10,Paramètres!$A$1:$I$89,3,0)*0.475*44/12</f>
        <v>1.3639170976927286</v>
      </c>
      <c r="AX58" s="21">
        <f t="shared" si="6"/>
        <v>25.838158871127717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10.36375</v>
      </c>
      <c r="BD58" s="12">
        <f>IF('Données projet'!$A$88&gt;35,BD57+BC58-BL57,IF(A58&lt;'Données projet'!$A$88,$BA$205^A58,IF(A58='Données projet'!$A$88,'Données projet'!$B$88,BD57+BC58-BL57)))</f>
        <v>222.60875000000024</v>
      </c>
      <c r="BE58" s="13">
        <f>BD58*VLOOKUP('Données projet'!$B$11,Paramètres!$A$1:$I$89,3,0)*VLOOKUP('Données projet'!$B$11,Paramètres!$A$1:$I$89,5,0)</f>
        <v>201.41639700000019</v>
      </c>
      <c r="BF58" s="13">
        <f t="shared" si="37"/>
        <v>50.055320951535919</v>
      </c>
      <c r="BG58" s="20">
        <f t="shared" si="7"/>
        <v>437.97990876559203</v>
      </c>
      <c r="BH58" s="59">
        <f t="shared" si="8"/>
        <v>731.31324209892534</v>
      </c>
      <c r="BI58" s="59">
        <f ca="1">AVERAGE(OFFSET($BH$3,0,0,'Données projet'!$E$11+1,1))-AVERAGE(OFFSET($H$3,0,0,'Données projet'!$E$11+1,1))</f>
        <v>573.17174498173017</v>
      </c>
      <c r="BJ58" s="59">
        <f t="shared" si="38"/>
        <v>260.48854096157231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21.838554197834302</v>
      </c>
      <c r="BR58" s="21">
        <f>EXP(-LN(2)/2)*BR57+(1-EXP(-LN(2)/2))/(LN(2)/2)*BL58*BO58*VLOOKUP('Données projet'!$B$11,Paramètres!$A$1:$I$89,3,0)*0.475*44/12</f>
        <v>1.2170337179412041</v>
      </c>
      <c r="BS58" s="22">
        <f t="shared" si="9"/>
        <v>23.055587915775504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10.36375</v>
      </c>
      <c r="BY58" s="12">
        <f>IF('Données projet'!$A$114&gt;35,BY57+BX58-CG57,IF(A58&lt;'Données projet'!$A$114,$BV$205^A58,IF(A58='Données projet'!$A$114,'Données projet'!$B$114,BY57+BX58-CG57)))</f>
        <v>222.60875000000024</v>
      </c>
      <c r="BZ58" s="13">
        <f>BY58*VLOOKUP('Données projet'!$B$12,Paramètres!$A$1:$I$89,3,0)*VLOOKUP('Données projet'!$B$12,Paramètres!$A$1:$I$89,5,0)</f>
        <v>211.83448650000022</v>
      </c>
      <c r="CA58" s="13">
        <f t="shared" si="39"/>
        <v>52.336263999000323</v>
      </c>
      <c r="CB58" s="20">
        <f t="shared" si="10"/>
        <v>460.09739045242594</v>
      </c>
      <c r="CC58" s="59">
        <f t="shared" si="11"/>
        <v>753.43072378575926</v>
      </c>
      <c r="CD58" s="59">
        <f ca="1">AVERAGE(OFFSET($CC$3,0,0,'Données projet'!$E$12+1,1))-AVERAGE(OFFSET($H$3,0,0,'Données projet'!$E$12+1,1))</f>
        <v>603.61135046904178</v>
      </c>
      <c r="CE58" s="59">
        <f t="shared" si="40"/>
        <v>272.84936867513068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22.968134587377456</v>
      </c>
      <c r="CM58" s="21">
        <f>EXP(-LN(2)/2)*CM57+(1-EXP(-LN(2)/2))/(LN(2)/2)*CG58*CJ58*VLOOKUP('Données projet'!$B$12,Paramètres!$A$1:$I$89,3,0)*0.475*44/12</f>
        <v>1.2799837378347148</v>
      </c>
      <c r="CN58" s="22">
        <f t="shared" si="12"/>
        <v>24.248118325212172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16.816800000000001</v>
      </c>
      <c r="D59" s="11">
        <f t="shared" si="32"/>
        <v>5.5798033984816255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95.087333726886925</v>
      </c>
      <c r="H59" s="67">
        <f t="shared" si="1"/>
        <v>295.6740842523555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3.3333333333333313</v>
      </c>
      <c r="N59" s="13">
        <f>IF('Données projet'!$A$36&gt;35,N58+M59-V58,IF(A59&lt;'Données projet'!$A$36,$K$205^A59,IF(A59='Données projet'!$A$36,'Données projet'!$B$36,N58+M59-V58)))</f>
        <v>119.35897435897439</v>
      </c>
      <c r="O59" s="13">
        <f>N59*VLOOKUP('Données projet'!$B$9,Paramètres!$A$1:$I$89,3,0)*VLOOKUP('Données projet'!$B$9,Paramètres!$A$1:$I$89,5,0)</f>
        <v>124.75400000000005</v>
      </c>
      <c r="P59" s="13">
        <f t="shared" si="33"/>
        <v>32.781272112057287</v>
      </c>
      <c r="Q59" s="20">
        <f t="shared" si="53"/>
        <v>274.3739322618332</v>
      </c>
      <c r="R59" s="59">
        <f t="shared" si="0"/>
        <v>567.70726559516652</v>
      </c>
      <c r="S59" s="59">
        <f ca="1">AVERAGE(OFFSET($R$3,0,0,'Données projet'!$E$9+1,1))-AVERAGE(OFFSET($H$3,0,0,'Données projet'!$E$9+1,1))</f>
        <v>225.9892575177542</v>
      </c>
      <c r="T59" s="59">
        <f t="shared" si="34"/>
        <v>215.88467215650428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0.62448139964047333</v>
      </c>
      <c r="AA59" s="21">
        <f>EXP(-LN(2)/25)*AA58+(1-EXP(-LN(2)/25))/(LN(2)/25)*Calculateur!V59*Calculateur!X59*VLOOKUP('Données projet'!$B$9,Paramètres!$A$1:$I$89,3,0)*0.475*44/12</f>
        <v>18.738775453126483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19.363256852766956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10.36375</v>
      </c>
      <c r="AI59" s="13">
        <f>IF('Données projet'!$A$62&gt;35,AI58+AH59-AQ58,IF(A59&lt;'Données projet'!$A$62,$AF$205^A59,IF(A59='Données projet'!$A$62,'Données projet'!$B$62,AI58+AH59-AQ58)))</f>
        <v>232.97250000000025</v>
      </c>
      <c r="AJ59" s="13">
        <f>AI59*VLOOKUP('Données projet'!$B$10,Paramètres!$A$1:$I$89,3,0)*VLOOKUP('Données projet'!$B$10,Paramètres!$A$1:$I$89,5,0)</f>
        <v>236.23411500000026</v>
      </c>
      <c r="AK59" s="13">
        <f t="shared" si="35"/>
        <v>57.628537681562783</v>
      </c>
      <c r="AL59" s="20">
        <f t="shared" si="4"/>
        <v>511.8107867537222</v>
      </c>
      <c r="AM59" s="59">
        <f t="shared" si="5"/>
        <v>805.14412008705551</v>
      </c>
      <c r="AN59" s="59">
        <f ca="1">AVERAGE(OFFSET($AM$3,0,0,'Données projet'!$E$10+1,1))-AVERAGE(OFFSET($H$3,0,0,'Données projet'!$E$10+1,1))</f>
        <v>644.15138437063933</v>
      </c>
      <c r="AO59" s="59">
        <f t="shared" si="36"/>
        <v>289.3097279858207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23.804992345095972</v>
      </c>
      <c r="AW59" s="21">
        <f>EXP(-LN(2)/2)*AW58+(1-EXP(-LN(2)/2))/(LN(2)/2)*AQ59*AT59*VLOOKUP('Données projet'!$B$10,Paramètres!$A$1:$I$89,3,0)*0.475*44/12</f>
        <v>0.96443502875480325</v>
      </c>
      <c r="AX59" s="21">
        <f t="shared" si="6"/>
        <v>24.769427373850775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10.36375</v>
      </c>
      <c r="BD59" s="12">
        <f>IF('Données projet'!$A$88&gt;35,BD58+BC59-BL58,IF(A59&lt;'Données projet'!$A$88,$BA$205^A59,IF(A59='Données projet'!$A$88,'Données projet'!$B$88,BD58+BC59-BL58)))</f>
        <v>232.97250000000025</v>
      </c>
      <c r="BE59" s="13">
        <f>BD59*VLOOKUP('Données projet'!$B$11,Paramètres!$A$1:$I$89,3,0)*VLOOKUP('Données projet'!$B$11,Paramètres!$A$1:$I$89,5,0)</f>
        <v>210.7935180000002</v>
      </c>
      <c r="BF59" s="13">
        <f t="shared" si="37"/>
        <v>52.108951264882847</v>
      </c>
      <c r="BG59" s="20">
        <f t="shared" si="7"/>
        <v>457.88846730300457</v>
      </c>
      <c r="BH59" s="59">
        <f t="shared" si="8"/>
        <v>751.22180063633789</v>
      </c>
      <c r="BI59" s="59">
        <f ca="1">AVERAGE(OFFSET($BH$3,0,0,'Données projet'!$E$11+1,1))-AVERAGE(OFFSET($H$3,0,0,'Données projet'!$E$11+1,1))</f>
        <v>573.17174498173017</v>
      </c>
      <c r="BJ59" s="59">
        <f t="shared" si="38"/>
        <v>260.48854096157231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21.241377784854869</v>
      </c>
      <c r="BR59" s="21">
        <f>EXP(-LN(2)/2)*BR58+(1-EXP(-LN(2)/2))/(LN(2)/2)*BL59*BO59*VLOOKUP('Données projet'!$B$11,Paramètres!$A$1:$I$89,3,0)*0.475*44/12</f>
        <v>0.86057279488890148</v>
      </c>
      <c r="BS59" s="22">
        <f t="shared" si="9"/>
        <v>22.101950579743772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10.36375</v>
      </c>
      <c r="BY59" s="12">
        <f>IF('Données projet'!$A$114&gt;35,BY58+BX59-CG58,IF(A59&lt;'Données projet'!$A$114,$BV$205^A59,IF(A59='Données projet'!$A$114,'Données projet'!$B$114,BY58+BX59-CG58)))</f>
        <v>232.97250000000025</v>
      </c>
      <c r="BZ59" s="13">
        <f>BY59*VLOOKUP('Données projet'!$B$12,Paramètres!$A$1:$I$89,3,0)*VLOOKUP('Données projet'!$B$12,Paramètres!$A$1:$I$89,5,0)</f>
        <v>221.69663100000022</v>
      </c>
      <c r="CA59" s="13">
        <f t="shared" si="39"/>
        <v>54.483475048545635</v>
      </c>
      <c r="CB59" s="20">
        <f t="shared" si="10"/>
        <v>481.0136847012173</v>
      </c>
      <c r="CC59" s="59">
        <f t="shared" si="11"/>
        <v>774.34701803455062</v>
      </c>
      <c r="CD59" s="59">
        <f ca="1">AVERAGE(OFFSET($CC$3,0,0,'Données projet'!$E$12+1,1))-AVERAGE(OFFSET($H$3,0,0,'Données projet'!$E$12+1,1))</f>
        <v>603.61135046904178</v>
      </c>
      <c r="CE59" s="59">
        <f t="shared" si="40"/>
        <v>272.84936867513068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22.340069739243916</v>
      </c>
      <c r="CM59" s="21">
        <f>EXP(-LN(2)/2)*CM58+(1-EXP(-LN(2)/2))/(LN(2)/2)*CG59*CJ59*VLOOKUP('Données projet'!$B$12,Paramètres!$A$1:$I$89,3,0)*0.475*44/12</f>
        <v>0.90508518083143097</v>
      </c>
      <c r="CN59" s="22">
        <f t="shared" si="12"/>
        <v>23.245154920075347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17.117100000000001</v>
      </c>
      <c r="D60" s="11">
        <f t="shared" si="32"/>
        <v>5.6677538272272541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96.735695196298181</v>
      </c>
      <c r="H60" s="67">
        <f t="shared" si="1"/>
        <v>296.35028708242083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3.3333333333333313</v>
      </c>
      <c r="N60" s="13">
        <f>IF('Données projet'!$A$36&gt;35,N59+M60-V59,IF(A60&lt;'Données projet'!$A$36,$K$205^A60,IF(A60='Données projet'!$A$36,'Données projet'!$B$36,N59+M60-V59)))</f>
        <v>122.69230769230772</v>
      </c>
      <c r="O60" s="13">
        <f>N60*VLOOKUP('Données projet'!$B$9,Paramètres!$A$1:$I$89,3,0)*VLOOKUP('Données projet'!$B$9,Paramètres!$A$1:$I$89,5,0)</f>
        <v>128.23800000000003</v>
      </c>
      <c r="P60" s="13">
        <f t="shared" si="33"/>
        <v>33.588890063379708</v>
      </c>
      <c r="Q60" s="20">
        <f t="shared" si="53"/>
        <v>281.8485001937197</v>
      </c>
      <c r="R60" s="59">
        <f t="shared" si="0"/>
        <v>575.18183352705296</v>
      </c>
      <c r="S60" s="59">
        <f ca="1">AVERAGE(OFFSET($R$3,0,0,'Données projet'!$E$9+1,1))-AVERAGE(OFFSET($H$3,0,0,'Données projet'!$E$9+1,1))</f>
        <v>225.9892575177542</v>
      </c>
      <c r="T60" s="59">
        <f t="shared" si="34"/>
        <v>215.88467215650428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0.61223570028956709</v>
      </c>
      <c r="AA60" s="21">
        <f>EXP(-LN(2)/25)*AA59+(1-EXP(-LN(2)/25))/(LN(2)/25)*Calculateur!V60*Calculateur!X60*VLOOKUP('Données projet'!$B$9,Paramètres!$A$1:$I$89,3,0)*0.475*44/12</f>
        <v>18.226362652931368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18.838598353220934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10.36375</v>
      </c>
      <c r="AI60" s="13">
        <f>IF('Données projet'!$A$62&gt;35,AI59+AH60-AQ59,IF(A60&lt;'Données projet'!$A$62,$AF$205^A60,IF(A60='Données projet'!$A$62,'Données projet'!$B$62,AI59+AH60-AQ59)))</f>
        <v>243.33625000000026</v>
      </c>
      <c r="AJ60" s="13">
        <f>AI60*VLOOKUP('Données projet'!$B$10,Paramètres!$A$1:$I$89,3,0)*VLOOKUP('Données projet'!$B$10,Paramètres!$A$1:$I$89,5,0)</f>
        <v>246.74295750000027</v>
      </c>
      <c r="AK60" s="13">
        <f t="shared" si="35"/>
        <v>59.887962808292784</v>
      </c>
      <c r="AL60" s="20">
        <f t="shared" si="4"/>
        <v>534.04885287027707</v>
      </c>
      <c r="AM60" s="59">
        <f t="shared" si="5"/>
        <v>827.38218620361044</v>
      </c>
      <c r="AN60" s="59">
        <f ca="1">AVERAGE(OFFSET($AM$3,0,0,'Données projet'!$E$10+1,1))-AVERAGE(OFFSET($H$3,0,0,'Données projet'!$E$10+1,1))</f>
        <v>644.15138437063933</v>
      </c>
      <c r="AO60" s="59">
        <f t="shared" si="36"/>
        <v>289.3097279858207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23.154043577569183</v>
      </c>
      <c r="AW60" s="21">
        <f>EXP(-LN(2)/2)*AW59+(1-EXP(-LN(2)/2))/(LN(2)/2)*AQ60*AT60*VLOOKUP('Données projet'!$B$10,Paramètres!$A$1:$I$89,3,0)*0.475*44/12</f>
        <v>0.68195854884636442</v>
      </c>
      <c r="AX60" s="21">
        <f t="shared" si="6"/>
        <v>23.836002126415547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10.36375</v>
      </c>
      <c r="BD60" s="12">
        <f>IF('Données projet'!$A$88&gt;35,BD59+BC60-BL59,IF(A60&lt;'Données projet'!$A$88,$BA$205^A60,IF(A60='Données projet'!$A$88,'Données projet'!$B$88,BD59+BC60-BL59)))</f>
        <v>243.33625000000026</v>
      </c>
      <c r="BE60" s="13">
        <f>BD60*VLOOKUP('Données projet'!$B$11,Paramètres!$A$1:$I$89,3,0)*VLOOKUP('Données projet'!$B$11,Paramètres!$A$1:$I$89,5,0)</f>
        <v>220.17063900000025</v>
      </c>
      <c r="BF60" s="13">
        <f t="shared" si="37"/>
        <v>54.151971590437505</v>
      </c>
      <c r="BG60" s="20">
        <f t="shared" si="7"/>
        <v>477.7785467783458</v>
      </c>
      <c r="BH60" s="59">
        <f t="shared" si="8"/>
        <v>771.11188011167906</v>
      </c>
      <c r="BI60" s="59">
        <f ca="1">AVERAGE(OFFSET($BH$3,0,0,'Données projet'!$E$11+1,1))-AVERAGE(OFFSET($H$3,0,0,'Données projet'!$E$11+1,1))</f>
        <v>573.17174498173017</v>
      </c>
      <c r="BJ60" s="59">
        <f t="shared" si="38"/>
        <v>260.48854096157231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20.660531192292503</v>
      </c>
      <c r="BR60" s="21">
        <f>EXP(-LN(2)/2)*BR59+(1-EXP(-LN(2)/2))/(LN(2)/2)*BL60*BO60*VLOOKUP('Données projet'!$B$11,Paramètres!$A$1:$I$89,3,0)*0.475*44/12</f>
        <v>0.60851685897060215</v>
      </c>
      <c r="BS60" s="22">
        <f t="shared" si="9"/>
        <v>21.269048051263105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10.36375</v>
      </c>
      <c r="BY60" s="12">
        <f>IF('Données projet'!$A$114&gt;35,BY59+BX60-CG59,IF(A60&lt;'Données projet'!$A$114,$BV$205^A60,IF(A60='Données projet'!$A$114,'Données projet'!$B$114,BY59+BX60-CG59)))</f>
        <v>243.33625000000026</v>
      </c>
      <c r="BZ60" s="13">
        <f>BY60*VLOOKUP('Données projet'!$B$12,Paramètres!$A$1:$I$89,3,0)*VLOOKUP('Données projet'!$B$12,Paramètres!$A$1:$I$89,5,0)</f>
        <v>231.55877550000022</v>
      </c>
      <c r="CA60" s="13">
        <f t="shared" si="39"/>
        <v>56.619592629673022</v>
      </c>
      <c r="CB60" s="20">
        <f t="shared" si="10"/>
        <v>501.91065782584752</v>
      </c>
      <c r="CC60" s="59">
        <f t="shared" si="11"/>
        <v>795.24399115918084</v>
      </c>
      <c r="CD60" s="59">
        <f ca="1">AVERAGE(OFFSET($CC$3,0,0,'Données projet'!$E$12+1,1))-AVERAGE(OFFSET($H$3,0,0,'Données projet'!$E$12+1,1))</f>
        <v>603.61135046904178</v>
      </c>
      <c r="CE60" s="59">
        <f t="shared" si="40"/>
        <v>272.84936867513068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21.729179357411081</v>
      </c>
      <c r="CM60" s="21">
        <f>EXP(-LN(2)/2)*CM59+(1-EXP(-LN(2)/2))/(LN(2)/2)*CG60*CJ60*VLOOKUP('Données projet'!$B$12,Paramètres!$A$1:$I$89,3,0)*0.475*44/12</f>
        <v>0.63999186891735749</v>
      </c>
      <c r="CN60" s="22">
        <f t="shared" si="12"/>
        <v>22.369171226328437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17.417400000000001</v>
      </c>
      <c r="D61" s="11">
        <f t="shared" si="32"/>
        <v>5.7555248254689735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98.383294873043724</v>
      </c>
      <c r="H61" s="67">
        <f t="shared" si="1"/>
        <v>297.02617740435846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3.3333333333333313</v>
      </c>
      <c r="N61" s="13">
        <f>IF('Données projet'!$A$36&gt;35,N60+M61-V60,IF(A61&lt;'Données projet'!$A$36,$K$205^A61,IF(A61='Données projet'!$A$36,'Données projet'!$B$36,N60+M61-V60)))</f>
        <v>126.02564102564105</v>
      </c>
      <c r="O61" s="13">
        <f>N61*VLOOKUP('Données projet'!$B$9,Paramètres!$A$1:$I$89,3,0)*VLOOKUP('Données projet'!$B$9,Paramètres!$A$1:$I$89,5,0)</f>
        <v>131.72200000000004</v>
      </c>
      <c r="P61" s="13">
        <f t="shared" si="33"/>
        <v>34.393957720446124</v>
      </c>
      <c r="Q61" s="20">
        <f t="shared" si="53"/>
        <v>289.31862636311035</v>
      </c>
      <c r="R61" s="59">
        <f t="shared" si="0"/>
        <v>582.65195969644367</v>
      </c>
      <c r="S61" s="59">
        <f ca="1">AVERAGE(OFFSET($R$3,0,0,'Données projet'!$E$9+1,1))-AVERAGE(OFFSET($H$3,0,0,'Données projet'!$E$9+1,1))</f>
        <v>225.9892575177542</v>
      </c>
      <c r="T61" s="59">
        <f t="shared" si="34"/>
        <v>215.88467215650428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0.60023013163379302</v>
      </c>
      <c r="AA61" s="21">
        <f>EXP(-LN(2)/25)*AA60+(1-EXP(-LN(2)/25))/(LN(2)/25)*Calculateur!V61*Calculateur!X61*VLOOKUP('Données projet'!$B$9,Paramètres!$A$1:$I$89,3,0)*0.475*44/12</f>
        <v>17.727961807704204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18.328191939337998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10.36375</v>
      </c>
      <c r="AH61" s="12">
        <f t="array" ref="AH61">INDEX(AG:AG,MIN(IF(ISNUMBER(AG61:AG257),ROW(AG61:AG257),"")))</f>
        <v>10.36375</v>
      </c>
      <c r="AI61" s="13">
        <f>IF('Données projet'!$A$62&gt;35,AI60+AH61-AQ60,IF(A61&lt;'Données projet'!$A$62,$AF$205^A61,IF(A61='Données projet'!$A$62,'Données projet'!$B$62,AI60+AH61-AQ60)))</f>
        <v>253.70000000000027</v>
      </c>
      <c r="AJ61" s="13">
        <f>AI61*VLOOKUP('Données projet'!$B$10,Paramètres!$A$1:$I$89,3,0)*VLOOKUP('Données projet'!$B$10,Paramètres!$A$1:$I$89,5,0)</f>
        <v>257.25180000000029</v>
      </c>
      <c r="AK61" s="13">
        <f t="shared" si="35"/>
        <v>62.136210975836612</v>
      </c>
      <c r="AL61" s="20">
        <f t="shared" si="4"/>
        <v>556.26745244958261</v>
      </c>
      <c r="AM61" s="59">
        <f t="shared" si="5"/>
        <v>849.60078578291586</v>
      </c>
      <c r="AN61" s="59">
        <f ca="1">AVERAGE(OFFSET($AM$3,0,0,'Données projet'!$E$10+1,1))-AVERAGE(OFFSET($H$3,0,0,'Données projet'!$E$10+1,1))</f>
        <v>644.15138437063933</v>
      </c>
      <c r="AO61" s="59">
        <f t="shared" si="36"/>
        <v>289.3097279858207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47.789999999999992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0.34400000000000003</v>
      </c>
      <c r="AT61" s="16">
        <f>IF(ISNA(VLOOKUP(A61,'Données projet'!$A$61:$I$81,7,0)),0%,VLOOKUP(A61,'Données projet'!$A$61:$I$81,7,0))</f>
        <v>0.2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40.876435665412025</v>
      </c>
      <c r="AW61" s="21">
        <f>EXP(-LN(2)/2)*AW60+(1-EXP(-LN(2)/2))/(LN(2)/2)*AQ61*AT61*VLOOKUP('Données projet'!$B$10,Paramètres!$A$1:$I$89,3,0)*0.475*44/12</f>
        <v>9.6267029876728749</v>
      </c>
      <c r="AX61" s="21">
        <f t="shared" si="6"/>
        <v>50.503138653084903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253.7</v>
      </c>
      <c r="BB61" s="12">
        <f>VLOOKUP(A61,'Données projet'!$A$87:$I$107,9,0)</f>
        <v>10.36375</v>
      </c>
      <c r="BC61" s="12">
        <f t="array" ref="BC61">INDEX(BB:BB,MIN(IF(ISNUMBER(BB61:BB257),ROW(BB61:BB257),"")))</f>
        <v>10.36375</v>
      </c>
      <c r="BD61" s="12">
        <f>IF('Données projet'!$A$88&gt;35,BD60+BC61-BL60,IF(A61&lt;'Données projet'!$A$88,$BA$205^A61,IF(A61='Données projet'!$A$88,'Données projet'!$B$88,BD60+BC61-BL60)))</f>
        <v>253.70000000000027</v>
      </c>
      <c r="BE61" s="13">
        <f>BD61*VLOOKUP('Données projet'!$B$11,Paramètres!$A$1:$I$89,3,0)*VLOOKUP('Données projet'!$B$11,Paramètres!$A$1:$I$89,5,0)</f>
        <v>229.54776000000027</v>
      </c>
      <c r="BF61" s="13">
        <f t="shared" si="37"/>
        <v>56.184885471425758</v>
      </c>
      <c r="BG61" s="20">
        <f t="shared" si="7"/>
        <v>497.651024196067</v>
      </c>
      <c r="BH61" s="59">
        <f t="shared" si="8"/>
        <v>790.98435752940031</v>
      </c>
      <c r="BI61" s="59">
        <f ca="1">AVERAGE(OFFSET($BH$3,0,0,'Données projet'!$E$11+1,1))-AVERAGE(OFFSET($H$3,0,0,'Données projet'!$E$11+1,1))</f>
        <v>573.17174498173017</v>
      </c>
      <c r="BJ61" s="59">
        <f t="shared" si="38"/>
        <v>260.48854096157231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47.789999999999992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0.34400000000000003</v>
      </c>
      <c r="BO61" s="16">
        <f>IF(ISNA(VLOOKUP(A61,'Données projet'!$A$87:$I$107,7,0)),0%,VLOOKUP(A61,'Données projet'!$A$87:$I$107,7,0))</f>
        <v>0.2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36.474357978367649</v>
      </c>
      <c r="BR61" s="21">
        <f>EXP(-LN(2)/2)*BR60+(1-EXP(-LN(2)/2))/(LN(2)/2)*BL61*BO61*VLOOKUP('Données projet'!$B$11,Paramètres!$A$1:$I$89,3,0)*0.475*44/12</f>
        <v>8.589981127461952</v>
      </c>
      <c r="BS61" s="22">
        <f t="shared" si="9"/>
        <v>45.064339105829603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253.7</v>
      </c>
      <c r="BW61" s="12">
        <f>VLOOKUP(A61,'Données projet'!$A$113:$I$133,9,0)</f>
        <v>10.36375</v>
      </c>
      <c r="BX61" s="12">
        <f t="array" ref="BX61">INDEX(BW:BW,MIN(IF(ISNUMBER(BW61:BW257),ROW(BW61:BW257),"")))</f>
        <v>10.36375</v>
      </c>
      <c r="BY61" s="12">
        <f>IF('Données projet'!$A$114&gt;35,BY60+BX61-CG60,IF(A61&lt;'Données projet'!$A$114,$BV$205^A61,IF(A61='Données projet'!$A$114,'Données projet'!$B$114,BY60+BX61-CG60)))</f>
        <v>253.70000000000027</v>
      </c>
      <c r="BZ61" s="13">
        <f>BY61*VLOOKUP('Données projet'!$B$12,Paramètres!$A$1:$I$89,3,0)*VLOOKUP('Données projet'!$B$12,Paramètres!$A$1:$I$89,5,0)</f>
        <v>241.42092000000028</v>
      </c>
      <c r="CA61" s="13">
        <f t="shared" si="39"/>
        <v>58.745143231289354</v>
      </c>
      <c r="CB61" s="20">
        <f t="shared" si="10"/>
        <v>522.78922679449613</v>
      </c>
      <c r="CC61" s="59">
        <f t="shared" si="11"/>
        <v>816.1225601278295</v>
      </c>
      <c r="CD61" s="59">
        <f ca="1">AVERAGE(OFFSET($CC$3,0,0,'Données projet'!$E$12+1,1))-AVERAGE(OFFSET($H$3,0,0,'Données projet'!$E$12+1,1))</f>
        <v>603.61135046904178</v>
      </c>
      <c r="CE61" s="59">
        <f t="shared" si="40"/>
        <v>272.84936867513068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47.789999999999992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0.34400000000000003</v>
      </c>
      <c r="CJ61" s="16">
        <f>IF(ISNA(VLOOKUP(A61,'Données projet'!$A$113:$I$133,7,0)),0%,VLOOKUP(A61,'Données projet'!$A$113:$I$133,7,0))</f>
        <v>0.2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38.360962701386669</v>
      </c>
      <c r="CM61" s="21">
        <f>EXP(-LN(2)/2)*CM60+(1-EXP(-LN(2)/2))/(LN(2)/2)*CG61*CJ61*VLOOKUP('Données projet'!$B$12,Paramètres!$A$1:$I$89,3,0)*0.475*44/12</f>
        <v>9.0342904961237753</v>
      </c>
      <c r="CN61" s="22">
        <f t="shared" si="12"/>
        <v>47.395253197510442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17.717700000000001</v>
      </c>
      <c r="D62" s="11">
        <f t="shared" si="32"/>
        <v>5.843119843815888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100.03014740707799</v>
      </c>
      <c r="H62" s="67">
        <f t="shared" si="1"/>
        <v>297.70176122797938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3.3333333333333313</v>
      </c>
      <c r="N62" s="13">
        <f>IF('Données projet'!$A$36&gt;35,N61+M62-V61,IF(A62&lt;'Données projet'!$A$36,$K$205^A62,IF(A62='Données projet'!$A$36,'Données projet'!$B$36,N61+M62-V61)))</f>
        <v>129.35897435897439</v>
      </c>
      <c r="O62" s="13">
        <f>N62*VLOOKUP('Données projet'!$B$9,Paramètres!$A$1:$I$89,3,0)*VLOOKUP('Données projet'!$B$9,Paramètres!$A$1:$I$89,5,0)</f>
        <v>135.20600000000005</v>
      </c>
      <c r="P62" s="13">
        <f t="shared" si="33"/>
        <v>35.196550291268018</v>
      </c>
      <c r="Q62" s="20">
        <f t="shared" si="53"/>
        <v>296.78444175729186</v>
      </c>
      <c r="R62" s="59">
        <f t="shared" si="0"/>
        <v>590.11777509062517</v>
      </c>
      <c r="S62" s="59">
        <f ca="1">AVERAGE(OFFSET($R$3,0,0,'Données projet'!$E$9+1,1))-AVERAGE(OFFSET($H$3,0,0,'Données projet'!$E$9+1,1))</f>
        <v>225.9892575177542</v>
      </c>
      <c r="T62" s="59">
        <f t="shared" si="34"/>
        <v>215.88467215650428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0.58845998485668483</v>
      </c>
      <c r="AA62" s="21">
        <f>EXP(-LN(2)/25)*AA61+(1-EXP(-LN(2)/25))/(LN(2)/25)*Calculateur!V62*Calculateur!X62*VLOOKUP('Données projet'!$B$9,Paramètres!$A$1:$I$89,3,0)*0.475*44/12</f>
        <v>17.243189759799538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17.831649744656222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10.107499999999998</v>
      </c>
      <c r="AI62" s="13">
        <f>IF('Données projet'!$A$62&gt;35,AI61+AH62-AQ61,IF(A62&lt;'Données projet'!$A$62,$AF$205^A62,IF(A62='Données projet'!$A$62,'Données projet'!$B$62,AI61+AH62-AQ61)))</f>
        <v>216.0175000000003</v>
      </c>
      <c r="AJ62" s="13">
        <f>AI62*VLOOKUP('Données projet'!$B$10,Paramètres!$A$1:$I$89,3,0)*VLOOKUP('Données projet'!$B$10,Paramètres!$A$1:$I$89,5,0)</f>
        <v>219.0417450000003</v>
      </c>
      <c r="AK62" s="13">
        <f t="shared" si="35"/>
        <v>53.906560847753887</v>
      </c>
      <c r="AL62" s="20">
        <f t="shared" si="4"/>
        <v>475.38496601817178</v>
      </c>
      <c r="AM62" s="59">
        <f t="shared" si="5"/>
        <v>768.71829935150504</v>
      </c>
      <c r="AN62" s="59">
        <f ca="1">AVERAGE(OFFSET($AM$3,0,0,'Données projet'!$E$10+1,1))-AVERAGE(OFFSET($H$3,0,0,'Données projet'!$E$10+1,1))</f>
        <v>644.15138437063933</v>
      </c>
      <c r="AO62" s="59">
        <f t="shared" si="36"/>
        <v>289.3097279858207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39.758667382543003</v>
      </c>
      <c r="AW62" s="21">
        <f>EXP(-LN(2)/2)*AW61+(1-EXP(-LN(2)/2))/(LN(2)/2)*AQ62*AT62*VLOOKUP('Données projet'!$B$10,Paramètres!$A$1:$I$89,3,0)*0.475*44/12</f>
        <v>6.8071069630522869</v>
      </c>
      <c r="AX62" s="21">
        <f t="shared" si="6"/>
        <v>46.565774345595287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10.107499999999998</v>
      </c>
      <c r="BD62" s="12">
        <f>IF('Données projet'!$A$88&gt;35,BD61+BC62-BL61,IF(A62&lt;'Données projet'!$A$88,$BA$205^A62,IF(A62='Données projet'!$A$88,'Données projet'!$B$88,BD61+BC62-BL61)))</f>
        <v>216.0175000000003</v>
      </c>
      <c r="BE62" s="13">
        <f>BD62*VLOOKUP('Données projet'!$B$11,Paramètres!$A$1:$I$89,3,0)*VLOOKUP('Données projet'!$B$11,Paramètres!$A$1:$I$89,5,0)</f>
        <v>195.45263400000027</v>
      </c>
      <c r="BF62" s="13">
        <f t="shared" si="37"/>
        <v>48.743460533300031</v>
      </c>
      <c r="BG62" s="20">
        <f t="shared" si="7"/>
        <v>425.3081979788314</v>
      </c>
      <c r="BH62" s="59">
        <f t="shared" si="8"/>
        <v>718.64153131216472</v>
      </c>
      <c r="BI62" s="59">
        <f ca="1">AVERAGE(OFFSET($BH$3,0,0,'Données projet'!$E$11+1,1))-AVERAGE(OFFSET($H$3,0,0,'Données projet'!$E$11+1,1))</f>
        <v>573.17174498173017</v>
      </c>
      <c r="BJ62" s="59">
        <f t="shared" si="38"/>
        <v>260.48854096157231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35.476964741346066</v>
      </c>
      <c r="BR62" s="21">
        <f>EXP(-LN(2)/2)*BR61+(1-EXP(-LN(2)/2))/(LN(2)/2)*BL62*BO62*VLOOKUP('Données projet'!$B$11,Paramètres!$A$1:$I$89,3,0)*0.475*44/12</f>
        <v>6.0740339054928114</v>
      </c>
      <c r="BS62" s="22">
        <f t="shared" si="9"/>
        <v>41.550998646838877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10.107499999999998</v>
      </c>
      <c r="BY62" s="12">
        <f>IF('Données projet'!$A$114&gt;35,BY61+BX62-CG61,IF(A62&lt;'Données projet'!$A$114,$BV$205^A62,IF(A62='Données projet'!$A$114,'Données projet'!$B$114,BY61+BX62-CG61)))</f>
        <v>216.0175000000003</v>
      </c>
      <c r="BZ62" s="13">
        <f>BY62*VLOOKUP('Données projet'!$B$12,Paramètres!$A$1:$I$89,3,0)*VLOOKUP('Données projet'!$B$12,Paramètres!$A$1:$I$89,5,0)</f>
        <v>205.56225300000028</v>
      </c>
      <c r="CA62" s="13">
        <f t="shared" si="39"/>
        <v>50.964624143866644</v>
      </c>
      <c r="CB62" s="20">
        <f t="shared" si="10"/>
        <v>446.78431102556823</v>
      </c>
      <c r="CC62" s="59">
        <f t="shared" si="11"/>
        <v>740.11764435890154</v>
      </c>
      <c r="CD62" s="59">
        <f ca="1">AVERAGE(OFFSET($CC$3,0,0,'Données projet'!$E$12+1,1))-AVERAGE(OFFSET($H$3,0,0,'Données projet'!$E$12+1,1))</f>
        <v>603.61135046904178</v>
      </c>
      <c r="CE62" s="59">
        <f t="shared" si="40"/>
        <v>272.84936867513068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37.311980159001898</v>
      </c>
      <c r="CM62" s="21">
        <f>EXP(-LN(2)/2)*CM61+(1-EXP(-LN(2)/2))/(LN(2)/2)*CG62*CJ62*VLOOKUP('Données projet'!$B$12,Paramètres!$A$1:$I$89,3,0)*0.475*44/12</f>
        <v>6.3882080730183004</v>
      </c>
      <c r="CN62" s="22">
        <f t="shared" si="12"/>
        <v>43.700188232020196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18.018000000000001</v>
      </c>
      <c r="D63" s="11">
        <f t="shared" si="32"/>
        <v>5.9305422092039803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101.67626692328709</v>
      </c>
      <c r="H63" s="67">
        <f t="shared" si="1"/>
        <v>298.37704434769694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132.69230769230768</v>
      </c>
      <c r="L63" s="12">
        <f>VLOOKUP(A63,'Données projet'!$A$35:$I$55,9,0)</f>
        <v>3.3333333333333313</v>
      </c>
      <c r="M63" s="12">
        <f t="array" ref="M63">INDEX(L:L,MIN(IF(ISNUMBER(L63:L259),ROW(L63:L259),"")))</f>
        <v>3.3333333333333313</v>
      </c>
      <c r="N63" s="13">
        <f>IF('Données projet'!$A$36&gt;35,N62+M63-V62,IF(A63&lt;'Données projet'!$A$36,$K$205^A63,IF(A63='Données projet'!$A$36,'Données projet'!$B$36,N62+M63-V62)))</f>
        <v>132.69230769230774</v>
      </c>
      <c r="O63" s="13">
        <f>N63*VLOOKUP('Données projet'!$B$9,Paramètres!$A$1:$I$89,3,0)*VLOOKUP('Données projet'!$B$9,Paramètres!$A$1:$I$89,5,0)</f>
        <v>138.69000000000005</v>
      </c>
      <c r="P63" s="13">
        <f t="shared" si="33"/>
        <v>35.996738887121495</v>
      </c>
      <c r="Q63" s="20">
        <f t="shared" si="53"/>
        <v>304.24607022840337</v>
      </c>
      <c r="R63" s="59">
        <f t="shared" si="0"/>
        <v>597.57940356173663</v>
      </c>
      <c r="S63" s="59">
        <f ca="1">AVERAGE(OFFSET($R$3,0,0,'Données projet'!$E$9+1,1))-AVERAGE(OFFSET($H$3,0,0,'Données projet'!$E$9+1,1))</f>
        <v>225.9892575177542</v>
      </c>
      <c r="T63" s="59">
        <f t="shared" si="34"/>
        <v>215.88467215650428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11.538461538461538</v>
      </c>
      <c r="W63" s="16">
        <f>IF(ISNA(VLOOKUP(A63,'Données projet'!$A$35:$I$55,5,0)),0%,VLOOKUP(A63,'Données projet'!$A$35:$I$55,5,0)*VLOOKUP('Données projet'!$B$9,Paramètres!$A$1:$I$89,7,0))</f>
        <v>4.3000000000000003E-2</v>
      </c>
      <c r="X63" s="16">
        <f>IF(ISNA(VLOOKUP(A63,'Données projet'!$A$35:$I$55,6,0)),0%,VLOOKUP(A63,'Données projet'!$A$35:$I$55,6,0)*VLOOKUP('Données projet'!$B$9,Paramètres!$A$1:$I$89,7,0))</f>
        <v>0.215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1.1501954728969925</v>
      </c>
      <c r="AA63" s="21">
        <f>EXP(-LN(2)/25)*AA62+(1-EXP(-LN(2)/25))/(LN(2)/25)*Calculateur!V63*Calculateur!X63*VLOOKUP('Données projet'!$B$9,Paramètres!$A$1:$I$89,3,0)*0.475*44/12</f>
        <v>19.626761968937593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20.776957441834586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10.107499999999998</v>
      </c>
      <c r="AI63" s="13">
        <f>IF('Données projet'!$A$62&gt;35,AI62+AH63-AQ62,IF(A63&lt;'Données projet'!$A$62,$AF$205^A63,IF(A63='Données projet'!$A$62,'Données projet'!$B$62,AI62+AH63-AQ62)))</f>
        <v>226.12500000000028</v>
      </c>
      <c r="AJ63" s="13">
        <f>AI63*VLOOKUP('Données projet'!$B$10,Paramètres!$A$1:$I$89,3,0)*VLOOKUP('Données projet'!$B$10,Paramètres!$A$1:$I$89,5,0)</f>
        <v>229.29075000000029</v>
      </c>
      <c r="AK63" s="13">
        <f t="shared" si="35"/>
        <v>56.129297544192028</v>
      </c>
      <c r="AL63" s="20">
        <f t="shared" si="4"/>
        <v>497.1065828061349</v>
      </c>
      <c r="AM63" s="59">
        <f t="shared" si="5"/>
        <v>790.43991613946821</v>
      </c>
      <c r="AN63" s="59">
        <f ca="1">AVERAGE(OFFSET($AM$3,0,0,'Données projet'!$E$10+1,1))-AVERAGE(OFFSET($H$3,0,0,'Données projet'!$E$10+1,1))</f>
        <v>644.15138437063933</v>
      </c>
      <c r="AO63" s="59">
        <f t="shared" si="36"/>
        <v>289.3097279858207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38.671464532149919</v>
      </c>
      <c r="AW63" s="21">
        <f>EXP(-LN(2)/2)*AW62+(1-EXP(-LN(2)/2))/(LN(2)/2)*AQ63*AT63*VLOOKUP('Données projet'!$B$10,Paramètres!$A$1:$I$89,3,0)*0.475*44/12</f>
        <v>4.8133514938364375</v>
      </c>
      <c r="AX63" s="21">
        <f t="shared" si="6"/>
        <v>43.484816025986355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10.107499999999998</v>
      </c>
      <c r="BD63" s="12">
        <f>IF('Données projet'!$A$88&gt;35,BD62+BC63-BL62,IF(A63&lt;'Données projet'!$A$88,$BA$205^A63,IF(A63='Données projet'!$A$88,'Données projet'!$B$88,BD62+BC63-BL62)))</f>
        <v>226.12500000000028</v>
      </c>
      <c r="BE63" s="13">
        <f>BD63*VLOOKUP('Données projet'!$B$11,Paramètres!$A$1:$I$89,3,0)*VLOOKUP('Données projet'!$B$11,Paramètres!$A$1:$I$89,5,0)</f>
        <v>204.59790000000024</v>
      </c>
      <c r="BF63" s="13">
        <f t="shared" si="37"/>
        <v>50.753306398717811</v>
      </c>
      <c r="BG63" s="20">
        <f t="shared" si="7"/>
        <v>444.73668447776726</v>
      </c>
      <c r="BH63" s="59">
        <f t="shared" si="8"/>
        <v>738.07001781110057</v>
      </c>
      <c r="BI63" s="59">
        <f ca="1">AVERAGE(OFFSET($BH$3,0,0,'Données projet'!$E$11+1,1))-AVERAGE(OFFSET($H$3,0,0,'Données projet'!$E$11+1,1))</f>
        <v>573.17174498173017</v>
      </c>
      <c r="BJ63" s="59">
        <f t="shared" si="38"/>
        <v>260.48854096157231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34.506845274841467</v>
      </c>
      <c r="BR63" s="21">
        <f>EXP(-LN(2)/2)*BR62+(1-EXP(-LN(2)/2))/(LN(2)/2)*BL63*BO63*VLOOKUP('Données projet'!$B$11,Paramètres!$A$1:$I$89,3,0)*0.475*44/12</f>
        <v>4.294990563730976</v>
      </c>
      <c r="BS63" s="22">
        <f t="shared" si="9"/>
        <v>38.801835838572444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10.107499999999998</v>
      </c>
      <c r="BY63" s="12">
        <f>IF('Données projet'!$A$114&gt;35,BY62+BX63-CG62,IF(A63&lt;'Données projet'!$A$114,$BV$205^A63,IF(A63='Données projet'!$A$114,'Données projet'!$B$114,BY62+BX63-CG62)))</f>
        <v>226.12500000000028</v>
      </c>
      <c r="BZ63" s="13">
        <f>BY63*VLOOKUP('Données projet'!$B$12,Paramètres!$A$1:$I$89,3,0)*VLOOKUP('Données projet'!$B$12,Paramètres!$A$1:$I$89,5,0)</f>
        <v>215.18055000000027</v>
      </c>
      <c r="CA63" s="13">
        <f t="shared" si="39"/>
        <v>53.066055556356247</v>
      </c>
      <c r="CB63" s="20">
        <f t="shared" si="10"/>
        <v>467.19617134398754</v>
      </c>
      <c r="CC63" s="59">
        <f t="shared" si="11"/>
        <v>760.5295046773208</v>
      </c>
      <c r="CD63" s="59">
        <f ca="1">AVERAGE(OFFSET($CC$3,0,0,'Données projet'!$E$12+1,1))-AVERAGE(OFFSET($H$3,0,0,'Données projet'!$E$12+1,1))</f>
        <v>603.61135046904178</v>
      </c>
      <c r="CE63" s="59">
        <f t="shared" si="40"/>
        <v>272.84936867513068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36.29168209940223</v>
      </c>
      <c r="CM63" s="21">
        <f>EXP(-LN(2)/2)*CM62+(1-EXP(-LN(2)/2))/(LN(2)/2)*CG63*CJ63*VLOOKUP('Données projet'!$B$12,Paramètres!$A$1:$I$89,3,0)*0.475*44/12</f>
        <v>4.5171452480618877</v>
      </c>
      <c r="CN63" s="22">
        <f t="shared" si="12"/>
        <v>40.808827347464117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18.318300000000001</v>
      </c>
      <c r="D64" s="11">
        <f t="shared" si="32"/>
        <v>6.0177951313146334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103.32166704873934</v>
      </c>
      <c r="H64" s="67">
        <f t="shared" si="1"/>
        <v>299.05203235370635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3.2051282051282071</v>
      </c>
      <c r="N64" s="13">
        <f>IF('Données projet'!$A$36&gt;35,N63+M64-V63,IF(A64&lt;'Données projet'!$A$36,$K$205^A64,IF(A64='Données projet'!$A$36,'Données projet'!$B$36,N63+M64-V63)))</f>
        <v>124.35897435897441</v>
      </c>
      <c r="O64" s="13">
        <f>N64*VLOOKUP('Données projet'!$B$9,Paramètres!$A$1:$I$89,3,0)*VLOOKUP('Données projet'!$B$9,Paramètres!$A$1:$I$89,5,0)</f>
        <v>129.98000000000008</v>
      </c>
      <c r="P64" s="13">
        <f t="shared" si="33"/>
        <v>33.991737878182434</v>
      </c>
      <c r="Q64" s="20">
        <f t="shared" si="53"/>
        <v>285.58411013783456</v>
      </c>
      <c r="R64" s="59">
        <f t="shared" si="0"/>
        <v>578.91744347116787</v>
      </c>
      <c r="S64" s="59">
        <f ca="1">AVERAGE(OFFSET($R$3,0,0,'Données projet'!$E$9+1,1))-AVERAGE(OFFSET($H$3,0,0,'Données projet'!$E$9+1,1))</f>
        <v>225.9892575177542</v>
      </c>
      <c r="T64" s="59">
        <f t="shared" si="34"/>
        <v>215.88467215650428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1.1276408412234487</v>
      </c>
      <c r="AA64" s="21">
        <f>EXP(-LN(2)/25)*AA63+(1-EXP(-LN(2)/25))/(LN(2)/25)*Calculateur!V64*Calculateur!X64*VLOOKUP('Données projet'!$B$9,Paramètres!$A$1:$I$89,3,0)*0.475*44/12</f>
        <v>19.090067130770439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20.217707971993889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10.107499999999998</v>
      </c>
      <c r="AI64" s="13">
        <f>IF('Données projet'!$A$62&gt;35,AI63+AH64-AQ63,IF(A64&lt;'Données projet'!$A$62,$AF$205^A64,IF(A64='Données projet'!$A$62,'Données projet'!$B$62,AI63+AH64-AQ63)))</f>
        <v>236.23250000000027</v>
      </c>
      <c r="AJ64" s="13">
        <f>AI64*VLOOKUP('Données projet'!$B$10,Paramètres!$A$1:$I$89,3,0)*VLOOKUP('Données projet'!$B$10,Paramètres!$A$1:$I$89,5,0)</f>
        <v>239.5397550000003</v>
      </c>
      <c r="AK64" s="13">
        <f t="shared" si="35"/>
        <v>58.340495468530364</v>
      </c>
      <c r="AL64" s="20">
        <f t="shared" si="4"/>
        <v>518.80810289935755</v>
      </c>
      <c r="AM64" s="59">
        <f t="shared" si="5"/>
        <v>812.14143623269092</v>
      </c>
      <c r="AN64" s="59">
        <f ca="1">AVERAGE(OFFSET($AM$3,0,0,'Données projet'!$E$10+1,1))-AVERAGE(OFFSET($H$3,0,0,'Données projet'!$E$10+1,1))</f>
        <v>644.15138437063933</v>
      </c>
      <c r="AO64" s="59">
        <f t="shared" si="36"/>
        <v>289.3097279858207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37.613991300874346</v>
      </c>
      <c r="AW64" s="21">
        <f>EXP(-LN(2)/2)*AW63+(1-EXP(-LN(2)/2))/(LN(2)/2)*AQ64*AT64*VLOOKUP('Données projet'!$B$10,Paramètres!$A$1:$I$89,3,0)*0.475*44/12</f>
        <v>3.4035534815261435</v>
      </c>
      <c r="AX64" s="21">
        <f t="shared" si="6"/>
        <v>41.017544782400492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10.107499999999998</v>
      </c>
      <c r="BD64" s="12">
        <f>IF('Données projet'!$A$88&gt;35,BD63+BC64-BL63,IF(A64&lt;'Données projet'!$A$88,$BA$205^A64,IF(A64='Données projet'!$A$88,'Données projet'!$B$88,BD63+BC64-BL63)))</f>
        <v>236.23250000000027</v>
      </c>
      <c r="BE64" s="13">
        <f>BD64*VLOOKUP('Données projet'!$B$11,Paramètres!$A$1:$I$89,3,0)*VLOOKUP('Données projet'!$B$11,Paramètres!$A$1:$I$89,5,0)</f>
        <v>213.74316600000023</v>
      </c>
      <c r="BF64" s="13">
        <f t="shared" si="37"/>
        <v>52.752718660626023</v>
      </c>
      <c r="BG64" s="20">
        <f t="shared" si="7"/>
        <v>464.14699911725734</v>
      </c>
      <c r="BH64" s="59">
        <f t="shared" si="8"/>
        <v>757.48033245059059</v>
      </c>
      <c r="BI64" s="59">
        <f ca="1">AVERAGE(OFFSET($BH$3,0,0,'Données projet'!$E$11+1,1))-AVERAGE(OFFSET($H$3,0,0,'Données projet'!$E$11+1,1))</f>
        <v>573.17174498173017</v>
      </c>
      <c r="BJ64" s="59">
        <f t="shared" si="38"/>
        <v>260.48854096157231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33.5632537761648</v>
      </c>
      <c r="BR64" s="21">
        <f>EXP(-LN(2)/2)*BR63+(1-EXP(-LN(2)/2))/(LN(2)/2)*BL64*BO64*VLOOKUP('Données projet'!$B$11,Paramètres!$A$1:$I$89,3,0)*0.475*44/12</f>
        <v>3.0370169527464057</v>
      </c>
      <c r="BS64" s="22">
        <f t="shared" si="9"/>
        <v>36.600270728911205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10.107499999999998</v>
      </c>
      <c r="BY64" s="12">
        <f>IF('Données projet'!$A$114&gt;35,BY63+BX64-CG63,IF(A64&lt;'Données projet'!$A$114,$BV$205^A64,IF(A64='Données projet'!$A$114,'Données projet'!$B$114,BY63+BX64-CG63)))</f>
        <v>236.23250000000027</v>
      </c>
      <c r="BZ64" s="13">
        <f>BY64*VLOOKUP('Données projet'!$B$12,Paramètres!$A$1:$I$89,3,0)*VLOOKUP('Données projet'!$B$12,Paramètres!$A$1:$I$89,5,0)</f>
        <v>224.79884700000025</v>
      </c>
      <c r="CA64" s="13">
        <f t="shared" si="39"/>
        <v>55.156577922267701</v>
      </c>
      <c r="CB64" s="20">
        <f t="shared" si="10"/>
        <v>487.5890317396167</v>
      </c>
      <c r="CC64" s="59">
        <f t="shared" si="11"/>
        <v>780.92236507295002</v>
      </c>
      <c r="CD64" s="59">
        <f ca="1">AVERAGE(OFFSET($CC$3,0,0,'Données projet'!$E$12+1,1))-AVERAGE(OFFSET($H$3,0,0,'Données projet'!$E$12+1,1))</f>
        <v>603.61135046904178</v>
      </c>
      <c r="CE64" s="59">
        <f t="shared" si="40"/>
        <v>272.84936867513068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35.299284143897459</v>
      </c>
      <c r="CM64" s="21">
        <f>EXP(-LN(2)/2)*CM63+(1-EXP(-LN(2)/2))/(LN(2)/2)*CG64*CJ64*VLOOKUP('Données projet'!$B$12,Paramètres!$A$1:$I$89,3,0)*0.475*44/12</f>
        <v>3.1941040365091502</v>
      </c>
      <c r="CN64" s="22">
        <f t="shared" si="12"/>
        <v>38.493388180406612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18.618600000000001</v>
      </c>
      <c r="D65" s="11">
        <f t="shared" si="32"/>
        <v>6.1048817085603595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104.96636093809838</v>
      </c>
      <c r="H65" s="67">
        <f t="shared" si="1"/>
        <v>299.72673064240928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3.2051282051282071</v>
      </c>
      <c r="N65" s="13">
        <f>IF('Données projet'!$A$36&gt;35,N64+M65-V64,IF(A65&lt;'Données projet'!$A$36,$K$205^A65,IF(A65='Données projet'!$A$36,'Données projet'!$B$36,N64+M65-V64)))</f>
        <v>127.56410256410261</v>
      </c>
      <c r="O65" s="13">
        <f>N65*VLOOKUP('Données projet'!$B$9,Paramètres!$A$1:$I$89,3,0)*VLOOKUP('Données projet'!$B$9,Paramètres!$A$1:$I$89,5,0)</f>
        <v>133.33000000000007</v>
      </c>
      <c r="P65" s="13">
        <f t="shared" si="33"/>
        <v>34.764688219504073</v>
      </c>
      <c r="Q65" s="20">
        <f t="shared" si="53"/>
        <v>292.76491531563642</v>
      </c>
      <c r="R65" s="59">
        <f t="shared" si="0"/>
        <v>586.09824864896973</v>
      </c>
      <c r="S65" s="59">
        <f ca="1">AVERAGE(OFFSET($R$3,0,0,'Données projet'!$E$9+1,1))-AVERAGE(OFFSET($H$3,0,0,'Données projet'!$E$9+1,1))</f>
        <v>225.9892575177542</v>
      </c>
      <c r="T65" s="59">
        <f t="shared" si="34"/>
        <v>215.88467215650428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1.1055284921200561</v>
      </c>
      <c r="AA65" s="21">
        <f>EXP(-LN(2)/25)*AA64+(1-EXP(-LN(2)/25))/(LN(2)/25)*Calculateur!V65*Calculateur!X65*VLOOKUP('Données projet'!$B$9,Paramètres!$A$1:$I$89,3,0)*0.475*44/12</f>
        <v>18.568048241176523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19.673576733296578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10.107499999999998</v>
      </c>
      <c r="AI65" s="13">
        <f>IF('Données projet'!$A$62&gt;35,AI64+AH65-AQ64,IF(A65&lt;'Données projet'!$A$62,$AF$205^A65,IF(A65='Données projet'!$A$62,'Données projet'!$B$62,AI64+AH65-AQ64)))</f>
        <v>246.34000000000026</v>
      </c>
      <c r="AJ65" s="13">
        <f>AI65*VLOOKUP('Données projet'!$B$10,Paramètres!$A$1:$I$89,3,0)*VLOOKUP('Données projet'!$B$10,Paramètres!$A$1:$I$89,5,0)</f>
        <v>249.78876000000028</v>
      </c>
      <c r="AK65" s="13">
        <f t="shared" si="35"/>
        <v>60.540704760493632</v>
      </c>
      <c r="AL65" s="20">
        <f t="shared" si="4"/>
        <v>540.49048445786013</v>
      </c>
      <c r="AM65" s="59">
        <f t="shared" si="5"/>
        <v>833.82381779119351</v>
      </c>
      <c r="AN65" s="59">
        <f ca="1">AVERAGE(OFFSET($AM$3,0,0,'Données projet'!$E$10+1,1))-AVERAGE(OFFSET($H$3,0,0,'Données projet'!$E$10+1,1))</f>
        <v>644.15138437063933</v>
      </c>
      <c r="AO65" s="59">
        <f t="shared" si="36"/>
        <v>289.3097279858207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36.585434730718106</v>
      </c>
      <c r="AW65" s="21">
        <f>EXP(-LN(2)/2)*AW64+(1-EXP(-LN(2)/2))/(LN(2)/2)*AQ65*AT65*VLOOKUP('Données projet'!$B$10,Paramètres!$A$1:$I$89,3,0)*0.475*44/12</f>
        <v>2.4066757469182187</v>
      </c>
      <c r="AX65" s="21">
        <f t="shared" si="6"/>
        <v>38.992110477636324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10.107499999999998</v>
      </c>
      <c r="BD65" s="12">
        <f>IF('Données projet'!$A$88&gt;35,BD64+BC65-BL64,IF(A65&lt;'Données projet'!$A$88,$BA$205^A65,IF(A65='Données projet'!$A$88,'Données projet'!$B$88,BD64+BC65-BL64)))</f>
        <v>246.34000000000026</v>
      </c>
      <c r="BE65" s="13">
        <f>BD65*VLOOKUP('Données projet'!$B$11,Paramètres!$A$1:$I$89,3,0)*VLOOKUP('Données projet'!$B$11,Paramètres!$A$1:$I$89,5,0)</f>
        <v>222.88843200000022</v>
      </c>
      <c r="BF65" s="13">
        <f t="shared" si="37"/>
        <v>54.74219476708182</v>
      </c>
      <c r="BG65" s="20">
        <f t="shared" si="7"/>
        <v>483.54000828600118</v>
      </c>
      <c r="BH65" s="59">
        <f t="shared" si="8"/>
        <v>776.8733416193345</v>
      </c>
      <c r="BI65" s="59">
        <f ca="1">AVERAGE(OFFSET($BH$3,0,0,'Données projet'!$E$11+1,1))-AVERAGE(OFFSET($H$3,0,0,'Données projet'!$E$11+1,1))</f>
        <v>573.17174498173017</v>
      </c>
      <c r="BJ65" s="59">
        <f t="shared" si="38"/>
        <v>260.48854096157231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32.64546483664077</v>
      </c>
      <c r="BR65" s="21">
        <f>EXP(-LN(2)/2)*BR64+(1-EXP(-LN(2)/2))/(LN(2)/2)*BL65*BO65*VLOOKUP('Données projet'!$B$11,Paramètres!$A$1:$I$89,3,0)*0.475*44/12</f>
        <v>2.147495281865488</v>
      </c>
      <c r="BS65" s="22">
        <f t="shared" si="9"/>
        <v>34.792960118506258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10.107499999999998</v>
      </c>
      <c r="BY65" s="12">
        <f>IF('Données projet'!$A$114&gt;35,BY64+BX65-CG64,IF(A65&lt;'Données projet'!$A$114,$BV$205^A65,IF(A65='Données projet'!$A$114,'Données projet'!$B$114,BY64+BX65-CG64)))</f>
        <v>246.34000000000026</v>
      </c>
      <c r="BZ65" s="13">
        <f>BY65*VLOOKUP('Données projet'!$B$12,Paramètres!$A$1:$I$89,3,0)*VLOOKUP('Données projet'!$B$12,Paramètres!$A$1:$I$89,5,0)</f>
        <v>234.41714400000023</v>
      </c>
      <c r="CA65" s="13">
        <f t="shared" si="39"/>
        <v>57.236711357591943</v>
      </c>
      <c r="CB65" s="20">
        <f t="shared" si="10"/>
        <v>507.96379808113971</v>
      </c>
      <c r="CC65" s="59">
        <f t="shared" si="11"/>
        <v>801.29713141447303</v>
      </c>
      <c r="CD65" s="59">
        <f ca="1">AVERAGE(OFFSET($CC$3,0,0,'Données projet'!$E$12+1,1))-AVERAGE(OFFSET($H$3,0,0,'Données projet'!$E$12+1,1))</f>
        <v>603.61135046904178</v>
      </c>
      <c r="CE65" s="59">
        <f t="shared" si="40"/>
        <v>272.84936867513068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34.334023362673911</v>
      </c>
      <c r="CM65" s="21">
        <f>EXP(-LN(2)/2)*CM64+(1-EXP(-LN(2)/2))/(LN(2)/2)*CG65*CJ65*VLOOKUP('Données projet'!$B$12,Paramètres!$A$1:$I$89,3,0)*0.475*44/12</f>
        <v>2.2585726240309438</v>
      </c>
      <c r="CN65" s="22">
        <f t="shared" si="12"/>
        <v>36.592595986704858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18.918900000000001</v>
      </c>
      <c r="D66" s="11">
        <f t="shared" si="32"/>
        <v>6.191804933673394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106.61036129735021</v>
      </c>
      <c r="H66" s="67">
        <f t="shared" si="1"/>
        <v>300.40114442614788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3.2051282051282071</v>
      </c>
      <c r="N66" s="13">
        <f>IF('Données projet'!$A$36&gt;35,N65+M66-V65,IF(A66&lt;'Données projet'!$A$36,$K$205^A66,IF(A66='Données projet'!$A$36,'Données projet'!$B$36,N65+M66-V65)))</f>
        <v>130.76923076923083</v>
      </c>
      <c r="O66" s="13">
        <f>N66*VLOOKUP('Données projet'!$B$9,Paramètres!$A$1:$I$89,3,0)*VLOOKUP('Données projet'!$B$9,Paramètres!$A$1:$I$89,5,0)</f>
        <v>136.68000000000006</v>
      </c>
      <c r="P66" s="13">
        <f t="shared" si="33"/>
        <v>35.535381023829878</v>
      </c>
      <c r="Q66" s="20">
        <f t="shared" si="53"/>
        <v>299.94178861650374</v>
      </c>
      <c r="R66" s="59">
        <f t="shared" si="0"/>
        <v>593.27512194983706</v>
      </c>
      <c r="S66" s="59">
        <f ca="1">AVERAGE(OFFSET($R$3,0,0,'Données projet'!$E$9+1,1))-AVERAGE(OFFSET($H$3,0,0,'Données projet'!$E$9+1,1))</f>
        <v>225.9892575177542</v>
      </c>
      <c r="T66" s="59">
        <f t="shared" si="34"/>
        <v>215.88467215650428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1.0838497526953799</v>
      </c>
      <c r="AA66" s="21">
        <f>EXP(-LN(2)/25)*AA65+(1-EXP(-LN(2)/25))/(LN(2)/25)*Calculateur!V66*Calculateur!X66*VLOOKUP('Données projet'!$B$9,Paramètres!$A$1:$I$89,3,0)*0.475*44/12</f>
        <v>18.060303985570332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19.144153738265711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10.107499999999998</v>
      </c>
      <c r="AI66" s="13">
        <f>IF('Données projet'!$A$62&gt;35,AI65+AH66-AQ65,IF(A66&lt;'Données projet'!$A$62,$AF$205^A66,IF(A66='Données projet'!$A$62,'Données projet'!$B$62,AI65+AH66-AQ65)))</f>
        <v>256.44750000000028</v>
      </c>
      <c r="AJ66" s="13">
        <f>AI66*VLOOKUP('Données projet'!$B$10,Paramètres!$A$1:$I$89,3,0)*VLOOKUP('Données projet'!$B$10,Paramètres!$A$1:$I$89,5,0)</f>
        <v>260.03776500000026</v>
      </c>
      <c r="AK66" s="13">
        <f t="shared" si="35"/>
        <v>62.730427859997341</v>
      </c>
      <c r="AL66" s="20">
        <f t="shared" si="4"/>
        <v>562.1546025644958</v>
      </c>
      <c r="AM66" s="59">
        <f t="shared" si="5"/>
        <v>855.48793589782917</v>
      </c>
      <c r="AN66" s="59">
        <f ca="1">AVERAGE(OFFSET($AM$3,0,0,'Données projet'!$E$10+1,1))-AVERAGE(OFFSET($H$3,0,0,'Données projet'!$E$10+1,1))</f>
        <v>644.15138437063933</v>
      </c>
      <c r="AO66" s="59">
        <f t="shared" si="36"/>
        <v>289.3097279858207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35.585004094062221</v>
      </c>
      <c r="AW66" s="21">
        <f>EXP(-LN(2)/2)*AW65+(1-EXP(-LN(2)/2))/(LN(2)/2)*AQ66*AT66*VLOOKUP('Données projet'!$B$10,Paramètres!$A$1:$I$89,3,0)*0.475*44/12</f>
        <v>1.7017767407630717</v>
      </c>
      <c r="AX66" s="21">
        <f t="shared" si="6"/>
        <v>37.286780834825294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10.107499999999998</v>
      </c>
      <c r="BD66" s="12">
        <f>IF('Données projet'!$A$88&gt;35,BD65+BC66-BL65,IF(A66&lt;'Données projet'!$A$88,$BA$205^A66,IF(A66='Données projet'!$A$88,'Données projet'!$B$88,BD65+BC66-BL65)))</f>
        <v>256.44750000000028</v>
      </c>
      <c r="BE66" s="13">
        <f>BD66*VLOOKUP('Données projet'!$B$11,Paramètres!$A$1:$I$89,3,0)*VLOOKUP('Données projet'!$B$11,Paramètres!$A$1:$I$89,5,0)</f>
        <v>232.03369800000024</v>
      </c>
      <c r="BF66" s="13">
        <f t="shared" si="37"/>
        <v>56.722189034958802</v>
      </c>
      <c r="BG66" s="20">
        <f t="shared" si="7"/>
        <v>502.91650325255364</v>
      </c>
      <c r="BH66" s="59">
        <f t="shared" si="8"/>
        <v>796.2498365858869</v>
      </c>
      <c r="BI66" s="59">
        <f ca="1">AVERAGE(OFFSET($BH$3,0,0,'Données projet'!$E$11+1,1))-AVERAGE(OFFSET($H$3,0,0,'Données projet'!$E$11+1,1))</f>
        <v>573.17174498173017</v>
      </c>
      <c r="BJ66" s="59">
        <f t="shared" si="38"/>
        <v>260.48854096157231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31.752772883932444</v>
      </c>
      <c r="BR66" s="21">
        <f>EXP(-LN(2)/2)*BR65+(1-EXP(-LN(2)/2))/(LN(2)/2)*BL66*BO66*VLOOKUP('Données projet'!$B$11,Paramètres!$A$1:$I$89,3,0)*0.475*44/12</f>
        <v>1.5185084763732029</v>
      </c>
      <c r="BS66" s="22">
        <f t="shared" si="9"/>
        <v>33.27128136030565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10.107499999999998</v>
      </c>
      <c r="BY66" s="12">
        <f>IF('Données projet'!$A$114&gt;35,BY65+BX66-CG65,IF(A66&lt;'Données projet'!$A$114,$BV$205^A66,IF(A66='Données projet'!$A$114,'Données projet'!$B$114,BY65+BX66-CG65)))</f>
        <v>256.44750000000028</v>
      </c>
      <c r="BZ66" s="13">
        <f>BY66*VLOOKUP('Données projet'!$B$12,Paramètres!$A$1:$I$89,3,0)*VLOOKUP('Données projet'!$B$12,Paramètres!$A$1:$I$89,5,0)</f>
        <v>244.03544100000028</v>
      </c>
      <c r="CA66" s="13">
        <f t="shared" si="39"/>
        <v>59.306930881715026</v>
      </c>
      <c r="CB66" s="20">
        <f t="shared" si="10"/>
        <v>528.3212976939875</v>
      </c>
      <c r="CC66" s="59">
        <f t="shared" si="11"/>
        <v>821.65463102732087</v>
      </c>
      <c r="CD66" s="59">
        <f ca="1">AVERAGE(OFFSET($CC$3,0,0,'Données projet'!$E$12+1,1))-AVERAGE(OFFSET($H$3,0,0,'Données projet'!$E$12+1,1))</f>
        <v>603.61135046904178</v>
      </c>
      <c r="CE66" s="59">
        <f t="shared" si="40"/>
        <v>272.84936867513068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33.395157688273777</v>
      </c>
      <c r="CM66" s="21">
        <f>EXP(-LN(2)/2)*CM65+(1-EXP(-LN(2)/2))/(LN(2)/2)*CG66*CJ66*VLOOKUP('Données projet'!$B$12,Paramètres!$A$1:$I$89,3,0)*0.475*44/12</f>
        <v>1.5970520182545751</v>
      </c>
      <c r="CN66" s="22">
        <f t="shared" si="12"/>
        <v>34.992209706528349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19.219200000000001</v>
      </c>
      <c r="D67" s="11">
        <f t="shared" si="32"/>
        <v>6.2785676989293835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108.2536804059809</v>
      </c>
      <c r="H67" s="67">
        <f t="shared" si="1"/>
        <v>301.07527874230203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3.2051282051282071</v>
      </c>
      <c r="N67" s="13">
        <f>IF('Données projet'!$A$36&gt;35,N66+M67-V66,IF(A67&lt;'Données projet'!$A$36,$K$205^A67,IF(A67='Données projet'!$A$36,'Données projet'!$B$36,N66+M67-V66)))</f>
        <v>133.97435897435903</v>
      </c>
      <c r="O67" s="13">
        <f>N67*VLOOKUP('Données projet'!$B$9,Paramètres!$A$1:$I$89,3,0)*VLOOKUP('Données projet'!$B$9,Paramètres!$A$1:$I$89,5,0)</f>
        <v>140.03000000000006</v>
      </c>
      <c r="P67" s="13">
        <f t="shared" si="33"/>
        <v>36.303877988030095</v>
      </c>
      <c r="Q67" s="20">
        <f t="shared" ref="Q67:Q98" si="54">(O67+P67)*0.475*44/12</f>
        <v>307.11483749581919</v>
      </c>
      <c r="R67" s="59">
        <f t="shared" ref="R67:R130" si="55">Q67+(I67+J67)*44/12</f>
        <v>600.44817082915256</v>
      </c>
      <c r="S67" s="59">
        <f ca="1">AVERAGE(OFFSET($R$3,0,0,'Données projet'!$E$9+1,1))-AVERAGE(OFFSET($H$3,0,0,'Données projet'!$E$9+1,1))</f>
        <v>225.9892575177542</v>
      </c>
      <c r="T67" s="59">
        <f t="shared" si="34"/>
        <v>215.88467215650428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1.062596120128096</v>
      </c>
      <c r="AA67" s="21">
        <f>EXP(-LN(2)/25)*AA66+(1-EXP(-LN(2)/25))/(LN(2)/25)*Calculateur!V67*Calculateur!X67*VLOOKUP('Données projet'!$B$9,Paramètres!$A$1:$I$89,3,0)*0.475*44/12</f>
        <v>17.566444023334803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18.629040143462898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10.107499999999998</v>
      </c>
      <c r="AI67" s="13">
        <f>IF('Données projet'!$A$62&gt;35,AI66+AH67-AQ66,IF(A67&lt;'Données projet'!$A$62,$AF$205^A67,IF(A67='Données projet'!$A$62,'Données projet'!$B$62,AI66+AH67-AQ66)))</f>
        <v>266.55500000000029</v>
      </c>
      <c r="AJ67" s="13">
        <f>AI67*VLOOKUP('Données projet'!$B$10,Paramètres!$A$1:$I$89,3,0)*VLOOKUP('Données projet'!$B$10,Paramètres!$A$1:$I$89,5,0)</f>
        <v>270.28677000000033</v>
      </c>
      <c r="AK67" s="13">
        <f t="shared" si="35"/>
        <v>64.910125358871667</v>
      </c>
      <c r="AL67" s="20">
        <f t="shared" si="4"/>
        <v>583.80125941670201</v>
      </c>
      <c r="AM67" s="59">
        <f t="shared" si="5"/>
        <v>877.13459275003538</v>
      </c>
      <c r="AN67" s="59">
        <f ca="1">AVERAGE(OFFSET($AM$3,0,0,'Données projet'!$E$10+1,1))-AVERAGE(OFFSET($H$3,0,0,'Données projet'!$E$10+1,1))</f>
        <v>644.15138437063933</v>
      </c>
      <c r="AO67" s="59">
        <f t="shared" si="36"/>
        <v>289.3097279858207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34.611930285776054</v>
      </c>
      <c r="AW67" s="21">
        <f>EXP(-LN(2)/2)*AW66+(1-EXP(-LN(2)/2))/(LN(2)/2)*AQ67*AT67*VLOOKUP('Données projet'!$B$10,Paramètres!$A$1:$I$89,3,0)*0.475*44/12</f>
        <v>1.2033378734591094</v>
      </c>
      <c r="AX67" s="21">
        <f t="shared" si="6"/>
        <v>35.815268159235167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10.107499999999998</v>
      </c>
      <c r="BD67" s="12">
        <f>IF('Données projet'!$A$88&gt;35,BD66+BC67-BL66,IF(A67&lt;'Données projet'!$A$88,$BA$205^A67,IF(A67='Données projet'!$A$88,'Données projet'!$B$88,BD66+BC67-BL66)))</f>
        <v>266.55500000000029</v>
      </c>
      <c r="BE67" s="13">
        <f>BD67*VLOOKUP('Données projet'!$B$11,Paramètres!$A$1:$I$89,3,0)*VLOOKUP('Données projet'!$B$11,Paramètres!$A$1:$I$89,5,0)</f>
        <v>241.17896400000026</v>
      </c>
      <c r="BF67" s="13">
        <f t="shared" si="37"/>
        <v>58.693117941200413</v>
      </c>
      <c r="BG67" s="20">
        <f t="shared" si="7"/>
        <v>522.27720938092455</v>
      </c>
      <c r="BH67" s="59">
        <f t="shared" si="8"/>
        <v>815.61054271425792</v>
      </c>
      <c r="BI67" s="59">
        <f ca="1">AVERAGE(OFFSET($BH$3,0,0,'Données projet'!$E$11+1,1))-AVERAGE(OFFSET($H$3,0,0,'Données projet'!$E$11+1,1))</f>
        <v>573.17174498173017</v>
      </c>
      <c r="BJ67" s="59">
        <f t="shared" si="38"/>
        <v>260.48854096157231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30.884491639615558</v>
      </c>
      <c r="BR67" s="21">
        <f>EXP(-LN(2)/2)*BR66+(1-EXP(-LN(2)/2))/(LN(2)/2)*BL67*BO67*VLOOKUP('Données projet'!$B$11,Paramètres!$A$1:$I$89,3,0)*0.475*44/12</f>
        <v>1.073747640932744</v>
      </c>
      <c r="BS67" s="22">
        <f t="shared" si="9"/>
        <v>31.958239280548302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10.107499999999998</v>
      </c>
      <c r="BY67" s="12">
        <f>IF('Données projet'!$A$114&gt;35,BY66+BX67-CG66,IF(A67&lt;'Données projet'!$A$114,$BV$205^A67,IF(A67='Données projet'!$A$114,'Données projet'!$B$114,BY66+BX67-CG66)))</f>
        <v>266.55500000000029</v>
      </c>
      <c r="BZ67" s="13">
        <f>BY67*VLOOKUP('Données projet'!$B$12,Paramètres!$A$1:$I$89,3,0)*VLOOKUP('Données projet'!$B$12,Paramètres!$A$1:$I$89,5,0)</f>
        <v>253.65373800000029</v>
      </c>
      <c r="CA67" s="13">
        <f t="shared" si="39"/>
        <v>61.36767194978637</v>
      </c>
      <c r="CB67" s="20">
        <f t="shared" si="10"/>
        <v>548.66228899587838</v>
      </c>
      <c r="CC67" s="59">
        <f t="shared" si="11"/>
        <v>841.99562232921176</v>
      </c>
      <c r="CD67" s="59">
        <f ca="1">AVERAGE(OFFSET($CC$3,0,0,'Données projet'!$E$12+1,1))-AVERAGE(OFFSET($H$3,0,0,'Données projet'!$E$12+1,1))</f>
        <v>603.61135046904178</v>
      </c>
      <c r="CE67" s="59">
        <f t="shared" si="40"/>
        <v>272.84936867513068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32.481965345112911</v>
      </c>
      <c r="CM67" s="21">
        <f>EXP(-LN(2)/2)*CM66+(1-EXP(-LN(2)/2))/(LN(2)/2)*CG67*CJ67*VLOOKUP('Données projet'!$B$12,Paramètres!$A$1:$I$89,3,0)*0.475*44/12</f>
        <v>1.1292863120154719</v>
      </c>
      <c r="CN67" s="22">
        <f t="shared" si="12"/>
        <v>33.611251657128385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19.519500000000001</v>
      </c>
      <c r="D68" s="11">
        <f t="shared" si="32"/>
        <v>6.3651728010353485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109.89633013772904</v>
      </c>
      <c r="H68" s="67">
        <f t="shared" ref="H68:H131" si="56">(B68+E68+F68)*44/12+(C68+D68)*0.475*44/12</f>
        <v>301.74913846180323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137.17948717948718</v>
      </c>
      <c r="L68" s="12">
        <f>VLOOKUP(A68,'Données projet'!$A$35:$I$55,9,0)</f>
        <v>3.2051282051282071</v>
      </c>
      <c r="M68" s="12">
        <f t="array" ref="M68">INDEX(L:L,MIN(IF(ISNUMBER(L68:L264),ROW(L68:L264),"")))</f>
        <v>3.2051282051282071</v>
      </c>
      <c r="N68" s="13">
        <f>IF('Données projet'!$A$36&gt;35,N67+M68-V67,IF(A68&lt;'Données projet'!$A$36,$K$205^A68,IF(A68='Données projet'!$A$36,'Données projet'!$B$36,N67+M68-V67)))</f>
        <v>137.17948717948724</v>
      </c>
      <c r="O68" s="13">
        <f>N68*VLOOKUP('Données projet'!$B$9,Paramètres!$A$1:$I$89,3,0)*VLOOKUP('Données projet'!$B$9,Paramètres!$A$1:$I$89,5,0)</f>
        <v>143.38000000000008</v>
      </c>
      <c r="P68" s="13">
        <f t="shared" si="33"/>
        <v>37.070237688614164</v>
      </c>
      <c r="Q68" s="20">
        <f t="shared" si="54"/>
        <v>314.28416397433648</v>
      </c>
      <c r="R68" s="59">
        <f t="shared" si="55"/>
        <v>607.61749730766974</v>
      </c>
      <c r="S68" s="59">
        <f ca="1">AVERAGE(OFFSET($R$3,0,0,'Données projet'!$E$9+1,1))-AVERAGE(OFFSET($H$3,0,0,'Données projet'!$E$9+1,1))</f>
        <v>225.9892575177542</v>
      </c>
      <c r="T68" s="59">
        <f t="shared" si="34"/>
        <v>215.88467215650428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10.897435897435898</v>
      </c>
      <c r="W68" s="16">
        <f>IF(ISNA(VLOOKUP(A68,'Données projet'!$A$35:$I$55,5,0)),0%,VLOOKUP(A68,'Données projet'!$A$35:$I$55,5,0)*VLOOKUP('Données projet'!$B$9,Paramètres!$A$1:$I$89,7,0))</f>
        <v>4.3000000000000003E-2</v>
      </c>
      <c r="X68" s="16">
        <f>IF(ISNA(VLOOKUP(A68,'Données projet'!$A$35:$I$55,6,0)),0%,VLOOKUP(A68,'Données projet'!$A$35:$I$55,6,0)*VLOOKUP('Données projet'!$B$9,Paramètres!$A$1:$I$89,7,0))</f>
        <v>0.215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1.5831854861158741</v>
      </c>
      <c r="AA68" s="21">
        <f>EXP(-LN(2)/25)*AA67+(1-EXP(-LN(2)/25))/(LN(2)/25)*Calculateur!V68*Calculateur!X68*VLOOKUP('Données projet'!$B$9,Paramètres!$A$1:$I$89,3,0)*0.475*44/12</f>
        <v>19.782560819865079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21.365746305980952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10.107499999999998</v>
      </c>
      <c r="AI68" s="13">
        <f>IF('Données projet'!$A$62&gt;35,AI67+AH68-AQ67,IF(A68&lt;'Données projet'!$A$62,$AF$205^A68,IF(A68='Données projet'!$A$62,'Données projet'!$B$62,AI67+AH68-AQ67)))</f>
        <v>276.66250000000031</v>
      </c>
      <c r="AJ68" s="13">
        <f>AI68*VLOOKUP('Données projet'!$B$10,Paramètres!$A$1:$I$89,3,0)*VLOOKUP('Données projet'!$B$10,Paramètres!$A$1:$I$89,5,0)</f>
        <v>280.53577500000034</v>
      </c>
      <c r="AK68" s="13">
        <f t="shared" si="35"/>
        <v>67.080220940060286</v>
      </c>
      <c r="AL68" s="20">
        <f t="shared" ref="AL68:AL131" si="58">(AJ68+AK68)*0.475*44/12</f>
        <v>605.43119292893903</v>
      </c>
      <c r="AM68" s="59">
        <f t="shared" ref="AM68:AM131" si="59">AL68+(AD68+AE68)*44/12</f>
        <v>898.76452626227228</v>
      </c>
      <c r="AN68" s="59">
        <f ca="1">AVERAGE(OFFSET($AM$3,0,0,'Données projet'!$E$10+1,1))-AVERAGE(OFFSET($H$3,0,0,'Données projet'!$E$10+1,1))</f>
        <v>644.15138437063933</v>
      </c>
      <c r="AO68" s="59">
        <f t="shared" si="36"/>
        <v>289.3097279858207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33.665465231949199</v>
      </c>
      <c r="AW68" s="21">
        <f>EXP(-LN(2)/2)*AW67+(1-EXP(-LN(2)/2))/(LN(2)/2)*AQ68*AT68*VLOOKUP('Données projet'!$B$10,Paramètres!$A$1:$I$89,3,0)*0.475*44/12</f>
        <v>0.85088837038153586</v>
      </c>
      <c r="AX68" s="21">
        <f t="shared" ref="AX68:AX131" si="60">SUM(AU68:AW68)</f>
        <v>34.516353602330732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10.107499999999998</v>
      </c>
      <c r="BD68" s="12">
        <f>IF('Données projet'!$A$88&gt;35,BD67+BC68-BL67,IF(A68&lt;'Données projet'!$A$88,$BA$205^A68,IF(A68='Données projet'!$A$88,'Données projet'!$B$88,BD67+BC68-BL67)))</f>
        <v>276.66250000000031</v>
      </c>
      <c r="BE68" s="13">
        <f>BD68*VLOOKUP('Données projet'!$B$11,Paramètres!$A$1:$I$89,3,0)*VLOOKUP('Données projet'!$B$11,Paramètres!$A$1:$I$89,5,0)</f>
        <v>250.32423000000026</v>
      </c>
      <c r="BF68" s="13">
        <f t="shared" si="37"/>
        <v>60.655364588948935</v>
      </c>
      <c r="BG68" s="20">
        <f t="shared" ref="BG68:BG131" si="61">(BE68+BF68)*0.475*44/12</f>
        <v>541.62279390908645</v>
      </c>
      <c r="BH68" s="59">
        <f t="shared" ref="BH68:BH131" si="62">BG68+(AY68+AZ68)*44/12</f>
        <v>834.95612724241983</v>
      </c>
      <c r="BI68" s="59">
        <f ca="1">AVERAGE(OFFSET($BH$3,0,0,'Données projet'!$E$11+1,1))-AVERAGE(OFFSET($H$3,0,0,'Données projet'!$E$11+1,1))</f>
        <v>573.17174498173017</v>
      </c>
      <c r="BJ68" s="59">
        <f t="shared" si="38"/>
        <v>260.48854096157231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30.039953591585441</v>
      </c>
      <c r="BR68" s="21">
        <f>EXP(-LN(2)/2)*BR67+(1-EXP(-LN(2)/2))/(LN(2)/2)*BL68*BO68*VLOOKUP('Données projet'!$B$11,Paramètres!$A$1:$I$89,3,0)*0.475*44/12</f>
        <v>0.75925423818660143</v>
      </c>
      <c r="BS68" s="22">
        <f t="shared" ref="BS68:BS131" si="63">SUM(BP68:BR68)</f>
        <v>30.799207829772044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10.107499999999998</v>
      </c>
      <c r="BY68" s="12">
        <f>IF('Données projet'!$A$114&gt;35,BY67+BX68-CG67,IF(A68&lt;'Données projet'!$A$114,$BV$205^A68,IF(A68='Données projet'!$A$114,'Données projet'!$B$114,BY67+BX68-CG67)))</f>
        <v>276.66250000000031</v>
      </c>
      <c r="BZ68" s="13">
        <f>BY68*VLOOKUP('Données projet'!$B$12,Paramètres!$A$1:$I$89,3,0)*VLOOKUP('Données projet'!$B$12,Paramètres!$A$1:$I$89,5,0)</f>
        <v>263.2720350000003</v>
      </c>
      <c r="CA68" s="13">
        <f t="shared" si="39"/>
        <v>63.419335122362007</v>
      </c>
      <c r="CB68" s="20">
        <f t="shared" ref="CB68:CB131" si="64">(BZ68+CA68)*0.475*44/12</f>
        <v>568.987469629781</v>
      </c>
      <c r="CC68" s="59">
        <f t="shared" ref="CC68:CC131" si="65">CB68+(BT68+BU68)*44/12</f>
        <v>862.32080296311437</v>
      </c>
      <c r="CD68" s="59">
        <f ca="1">AVERAGE(OFFSET($CC$3,0,0,'Données projet'!$E$12+1,1))-AVERAGE(OFFSET($H$3,0,0,'Données projet'!$E$12+1,1))</f>
        <v>603.61135046904178</v>
      </c>
      <c r="CE68" s="59">
        <f t="shared" si="40"/>
        <v>272.84936867513068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31.59374429459848</v>
      </c>
      <c r="CM68" s="21">
        <f>EXP(-LN(2)/2)*CM67+(1-EXP(-LN(2)/2))/(LN(2)/2)*CG68*CJ68*VLOOKUP('Données projet'!$B$12,Paramètres!$A$1:$I$89,3,0)*0.475*44/12</f>
        <v>0.79852600912728755</v>
      </c>
      <c r="CN68" s="22">
        <f t="shared" ref="CN68:CN131" si="66">SUM(CK68:CM68)</f>
        <v>32.392270303725766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19.819800000000001</v>
      </c>
      <c r="D69" s="11">
        <f t="shared" ref="D69:D132" si="86">IFERROR(EXP(-1.0587+0.8836*LN(C69)+0.284),0)</f>
        <v>6.4516229457083014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111.53832198002472</v>
      </c>
      <c r="H69" s="67">
        <f t="shared" si="56"/>
        <v>302.42272829710862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2.9487179487179476</v>
      </c>
      <c r="N69" s="13">
        <f>IF('Données projet'!$A$36&gt;35,N68+M69-V68,IF(A69&lt;'Données projet'!$A$36,$K$205^A69,IF(A69='Données projet'!$A$36,'Données projet'!$B$36,N68+M69-V68)))</f>
        <v>129.23076923076928</v>
      </c>
      <c r="O69" s="13">
        <f>N69*VLOOKUP('Données projet'!$B$9,Paramètres!$A$1:$I$89,3,0)*VLOOKUP('Données projet'!$B$9,Paramètres!$A$1:$I$89,5,0)</f>
        <v>135.07200000000006</v>
      </c>
      <c r="P69" s="13">
        <f t="shared" ref="P69:P132" si="87">EXP(-1.0587+0.8836*LN(O69)+0.284)</f>
        <v>35.165726241361661</v>
      </c>
      <c r="Q69" s="20">
        <f t="shared" si="54"/>
        <v>296.49737320370497</v>
      </c>
      <c r="R69" s="59">
        <f t="shared" si="55"/>
        <v>589.83070653703828</v>
      </c>
      <c r="S69" s="59">
        <f ca="1">AVERAGE(OFFSET($R$3,0,0,'Données projet'!$E$9+1,1))-AVERAGE(OFFSET($H$3,0,0,'Données projet'!$E$9+1,1))</f>
        <v>225.9892575177542</v>
      </c>
      <c r="T69" s="59">
        <f t="shared" ref="T69:T132" si="88">$T$3</f>
        <v>215.88467215650428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1.5521401843809386</v>
      </c>
      <c r="AA69" s="21">
        <f>EXP(-LN(2)/25)*AA68+(1-EXP(-LN(2)/25))/(LN(2)/25)*Calculateur!V69*Calculateur!X69*VLOOKUP('Données projet'!$B$9,Paramètres!$A$1:$I$89,3,0)*0.475*44/12</f>
        <v>19.241605653926207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20.793745838307146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10.107499999999998</v>
      </c>
      <c r="AH69" s="12">
        <f t="array" ref="AH69">INDEX(AG:AG,MIN(IF(ISNUMBER(AG69:AG265),ROW(AG69:AG265),"")))</f>
        <v>10.107499999999998</v>
      </c>
      <c r="AI69" s="13">
        <f>IF('Données projet'!$A$62&gt;35,AI68+AH69-AQ68,IF(A69&lt;'Données projet'!$A$62,$AF$205^A69,IF(A69='Données projet'!$A$62,'Données projet'!$B$62,AI68+AH69-AQ68)))</f>
        <v>286.77000000000032</v>
      </c>
      <c r="AJ69" s="13">
        <f>AI69*VLOOKUP('Données projet'!$B$10,Paramètres!$A$1:$I$89,3,0)*VLOOKUP('Données projet'!$B$10,Paramètres!$A$1:$I$89,5,0)</f>
        <v>290.78478000000035</v>
      </c>
      <c r="AK69" s="13">
        <f t="shared" ref="AK69:AK132" si="89">EXP(-1.0587+0.8836*LN(AJ69)+0.284)</f>
        <v>69.241105574743742</v>
      </c>
      <c r="AL69" s="20">
        <f t="shared" si="58"/>
        <v>627.04508404267926</v>
      </c>
      <c r="AM69" s="59">
        <f t="shared" si="59"/>
        <v>920.37841737601252</v>
      </c>
      <c r="AN69" s="59">
        <f ca="1">AVERAGE(OFFSET($AM$3,0,0,'Données projet'!$E$10+1,1))-AVERAGE(OFFSET($H$3,0,0,'Données projet'!$E$10+1,1))</f>
        <v>644.15138437063933</v>
      </c>
      <c r="AO69" s="59">
        <f t="shared" ref="AO69:AO132" si="90">$AO$3</f>
        <v>289.3097279858207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53.679999999999978</v>
      </c>
      <c r="AR69" s="16">
        <f>IF(ISNA(VLOOKUP(A69,'Données projet'!$A$61:$I$81,5,0)),0%,VLOOKUP(A69,'Données projet'!$A$61:$I$81,5,0)*VLOOKUP('Données projet'!$B$10,Paramètres!$A$1:$I$89,7,0))</f>
        <v>0.15049999999999999</v>
      </c>
      <c r="AS69" s="16">
        <f>IF(ISNA(VLOOKUP(A69,'Données projet'!$A$61:$I$81,6,0)),0%,VLOOKUP(A69,'Données projet'!$A$61:$I$81,6,0)*VLOOKUP('Données projet'!$B$10,Paramètres!$A$1:$I$89,7,0))</f>
        <v>8.6000000000000007E-2</v>
      </c>
      <c r="AT69" s="16">
        <f>IF(ISNA(VLOOKUP(A69,'Données projet'!$A$61:$I$81,7,0)),0%,VLOOKUP(A69,'Données projet'!$A$61:$I$81,7,0))</f>
        <v>0.1</v>
      </c>
      <c r="AU69" s="21">
        <f>EXP(-LN(2)/35)*AU68+(1-EXP(-LN(2)/35))/(LN(2)/35)*AQ69*AR69*VLOOKUP('Données projet'!$B$10,Paramètres!$A$1:$I$89,3,0)*0.475*44/12</f>
        <v>9.0559511774797787</v>
      </c>
      <c r="AV69" s="21">
        <f>EXP(-LN(2)/25)*AV68+(1-EXP(-LN(2)/25))/(LN(2)/25)*Calculateur!AQ69*Calculateur!AS69*VLOOKUP('Données projet'!$B$10,Paramètres!$A$1:$I$89,3,0)*0.475*44/12</f>
        <v>37.899335284566604</v>
      </c>
      <c r="AW69" s="21">
        <f>EXP(-LN(2)/2)*AW68+(1-EXP(-LN(2)/2))/(LN(2)/2)*AQ69*AT69*VLOOKUP('Données projet'!$B$10,Paramètres!$A$1:$I$89,3,0)*0.475*44/12</f>
        <v>5.7374293490177015</v>
      </c>
      <c r="AX69" s="21">
        <f t="shared" si="60"/>
        <v>52.692715811064083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286.77</v>
      </c>
      <c r="BB69" s="12">
        <f>VLOOKUP(A69,'Données projet'!$A$87:$I$107,9,0)</f>
        <v>10.107499999999998</v>
      </c>
      <c r="BC69" s="12">
        <f t="array" ref="BC69">INDEX(BB:BB,MIN(IF(ISNUMBER(BB69:BB265),ROW(BB69:BB265),"")))</f>
        <v>10.107499999999998</v>
      </c>
      <c r="BD69" s="12">
        <f>IF('Données projet'!$A$88&gt;35,BD68+BC69-BL68,IF(A69&lt;'Données projet'!$A$88,$BA$205^A69,IF(A69='Données projet'!$A$88,'Données projet'!$B$88,BD68+BC69-BL68)))</f>
        <v>286.77000000000032</v>
      </c>
      <c r="BE69" s="13">
        <f>BD69*VLOOKUP('Données projet'!$B$11,Paramètres!$A$1:$I$89,3,0)*VLOOKUP('Données projet'!$B$11,Paramètres!$A$1:$I$89,5,0)</f>
        <v>259.46949600000028</v>
      </c>
      <c r="BF69" s="13">
        <f t="shared" ref="BF69:BF132" si="91">EXP(-1.0587+0.8836*LN(BE69)+0.284)</f>
        <v>62.609282502673501</v>
      </c>
      <c r="BG69" s="20">
        <f t="shared" si="61"/>
        <v>560.95387255882349</v>
      </c>
      <c r="BH69" s="59">
        <f t="shared" si="62"/>
        <v>854.28720589215686</v>
      </c>
      <c r="BI69" s="59">
        <f ca="1">AVERAGE(OFFSET($BH$3,0,0,'Données projet'!$E$11+1,1))-AVERAGE(OFFSET($H$3,0,0,'Données projet'!$E$11+1,1))</f>
        <v>573.17174498173017</v>
      </c>
      <c r="BJ69" s="59">
        <f t="shared" ref="BJ69:BJ132" si="92">$BJ$3</f>
        <v>260.48854096157231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53.679999999999978</v>
      </c>
      <c r="BM69" s="16">
        <f>IF(ISNA(VLOOKUP(A69,'Données projet'!$A$87:$I$107,5,0)),0%,VLOOKUP(A69,'Données projet'!$A$87:$I$107,5,0)*VLOOKUP('Données projet'!$B$11,Paramètres!$A$1:$I$89,7,0))</f>
        <v>0.15049999999999999</v>
      </c>
      <c r="BN69" s="16">
        <f>IF(ISNA(VLOOKUP(A69,'Données projet'!$A$87:$I$107,6,0)),0%,VLOOKUP(A69,'Données projet'!$A$87:$I$107,6,0)*VLOOKUP('Données projet'!$B$11,Paramètres!$A$1:$I$89,7,0))</f>
        <v>8.6000000000000007E-2</v>
      </c>
      <c r="BO69" s="16">
        <f>IF(ISNA(VLOOKUP(A69,'Données projet'!$A$87:$I$107,7,0)),0%,VLOOKUP(A69,'Données projet'!$A$87:$I$107,7,0))</f>
        <v>0.1</v>
      </c>
      <c r="BP69" s="21">
        <f>EXP(-LN(2)/35)*BP68+(1-EXP(-LN(2)/35))/(LN(2)/35)*BL69*BM69*VLOOKUP('Données projet'!$B$11,Paramètres!$A$1:$I$89,3,0)*0.475*44/12</f>
        <v>8.0806948968281098</v>
      </c>
      <c r="BQ69" s="21">
        <f>EXP(-LN(2)/25)*BQ68+(1-EXP(-LN(2)/25))/(LN(2)/25)*Calculateur!BL69*Calculateur!BN69*VLOOKUP('Données projet'!$B$11,Paramètres!$A$1:$I$89,3,0)*0.475*44/12</f>
        <v>33.817868407767122</v>
      </c>
      <c r="BR69" s="21">
        <f>EXP(-LN(2)/2)*BR68+(1-EXP(-LN(2)/2))/(LN(2)/2)*BL69*BO69*VLOOKUP('Données projet'!$B$11,Paramètres!$A$1:$I$89,3,0)*0.475*44/12</f>
        <v>5.1195523422004099</v>
      </c>
      <c r="BS69" s="22">
        <f t="shared" si="63"/>
        <v>47.018115646795636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286.77</v>
      </c>
      <c r="BW69" s="12">
        <f>VLOOKUP(A69,'Données projet'!$A$113:$I$133,9,0)</f>
        <v>10.107499999999998</v>
      </c>
      <c r="BX69" s="12">
        <f t="array" ref="BX69">INDEX(BW:BW,MIN(IF(ISNUMBER(BW69:BW265),ROW(BW69:BW265),"")))</f>
        <v>10.107499999999998</v>
      </c>
      <c r="BY69" s="12">
        <f>IF('Données projet'!$A$114&gt;35,BY68+BX69-CG68,IF(A69&lt;'Données projet'!$A$114,$BV$205^A69,IF(A69='Données projet'!$A$114,'Données projet'!$B$114,BY68+BX69-CG68)))</f>
        <v>286.77000000000032</v>
      </c>
      <c r="BZ69" s="13">
        <f>BY69*VLOOKUP('Données projet'!$B$12,Paramètres!$A$1:$I$89,3,0)*VLOOKUP('Données projet'!$B$12,Paramètres!$A$1:$I$89,5,0)</f>
        <v>272.89033200000034</v>
      </c>
      <c r="CA69" s="13">
        <f t="shared" ref="CA69:CA132" si="93">EXP(-1.0587+0.8836*LN(BZ69)+0.284)</f>
        <v>65.462290033470751</v>
      </c>
      <c r="CB69" s="20">
        <f t="shared" si="64"/>
        <v>589.2974833749621</v>
      </c>
      <c r="CC69" s="59">
        <f t="shared" si="65"/>
        <v>882.63081670829547</v>
      </c>
      <c r="CD69" s="59">
        <f ca="1">AVERAGE(OFFSET($CC$3,0,0,'Données projet'!$E$12+1,1))-AVERAGE(OFFSET($H$3,0,0,'Données projet'!$E$12+1,1))</f>
        <v>603.61135046904178</v>
      </c>
      <c r="CE69" s="59">
        <f t="shared" ref="CE69:CE132" si="94">$CE$3</f>
        <v>272.84936867513068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53.679999999999978</v>
      </c>
      <c r="CH69" s="16">
        <f>IF(ISNA(VLOOKUP(A69,'Données projet'!$A$113:$I$133,5,0)),0%,VLOOKUP(A69,'Données projet'!$A$113:$I$133,5,0)*VLOOKUP('Données projet'!$B$12,Paramètres!$A$1:$I$89,7,0))</f>
        <v>0.15049999999999999</v>
      </c>
      <c r="CI69" s="16">
        <f>IF(ISNA(VLOOKUP(A69,'Données projet'!$A$113:$I$133,6,0)),0%,VLOOKUP(A69,'Données projet'!$A$113:$I$133,6,0)*VLOOKUP('Données projet'!$B$12,Paramètres!$A$1:$I$89,7,0))</f>
        <v>8.6000000000000007E-2</v>
      </c>
      <c r="CJ69" s="16">
        <f>IF(ISNA(VLOOKUP(A69,'Données projet'!$A$113:$I$133,7,0)),0%,VLOOKUP(A69,'Données projet'!$A$113:$I$133,7,0))</f>
        <v>0.1</v>
      </c>
      <c r="CK69" s="21">
        <f>EXP(-LN(2)/35)*CK68+(1-EXP(-LN(2)/35))/(LN(2)/35)*CG69*CH69*VLOOKUP('Données projet'!$B$12,Paramètres!$A$1:$I$89,3,0)*0.475*44/12</f>
        <v>8.4986618742502529</v>
      </c>
      <c r="CL69" s="21">
        <f>EXP(-LN(2)/25)*CL68+(1-EXP(-LN(2)/25))/(LN(2)/25)*Calculateur!CG69*Calculateur!CI69*VLOOKUP('Données projet'!$B$12,Paramètres!$A$1:$I$89,3,0)*0.475*44/12</f>
        <v>35.567068497824039</v>
      </c>
      <c r="CM69" s="21">
        <f>EXP(-LN(2)/2)*CM68+(1-EXP(-LN(2)/2))/(LN(2)/2)*CG69*CJ69*VLOOKUP('Données projet'!$B$12,Paramètres!$A$1:$I$89,3,0)*0.475*44/12</f>
        <v>5.3843567736935345</v>
      </c>
      <c r="CN69" s="22">
        <f t="shared" si="66"/>
        <v>49.450087145767824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20.120100000000001</v>
      </c>
      <c r="D70" s="11">
        <f t="shared" si="86"/>
        <v>6.5379207519684766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113.17966705221706</v>
      </c>
      <c r="H70" s="67">
        <f t="shared" si="56"/>
        <v>303.09605280967844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2.9487179487179476</v>
      </c>
      <c r="N70" s="13">
        <f>IF('Données projet'!$A$36&gt;35,N69+M70-V69,IF(A70&lt;'Données projet'!$A$36,$K$205^A70,IF(A70='Données projet'!$A$36,'Données projet'!$B$36,N69+M70-V69)))</f>
        <v>132.17948717948724</v>
      </c>
      <c r="O70" s="13">
        <f>N70*VLOOKUP('Données projet'!$B$9,Paramètres!$A$1:$I$89,3,0)*VLOOKUP('Données projet'!$B$9,Paramètres!$A$1:$I$89,5,0)</f>
        <v>138.15400000000008</v>
      </c>
      <c r="P70" s="13">
        <f t="shared" si="87"/>
        <v>35.873786682299354</v>
      </c>
      <c r="Q70" s="20">
        <f t="shared" si="54"/>
        <v>303.09839513833816</v>
      </c>
      <c r="R70" s="59">
        <f t="shared" si="55"/>
        <v>596.43172847167148</v>
      </c>
      <c r="S70" s="59">
        <f ca="1">AVERAGE(OFFSET($R$3,0,0,'Données projet'!$E$9+1,1))-AVERAGE(OFFSET($H$3,0,0,'Données projet'!$E$9+1,1))</f>
        <v>225.9892575177542</v>
      </c>
      <c r="T70" s="59">
        <f t="shared" si="88"/>
        <v>215.88467215650428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1.5217036620772608</v>
      </c>
      <c r="AA70" s="21">
        <f>EXP(-LN(2)/25)*AA69+(1-EXP(-LN(2)/25))/(LN(2)/25)*Calculateur!V70*Calculateur!X70*VLOOKUP('Données projet'!$B$9,Paramètres!$A$1:$I$89,3,0)*0.475*44/12</f>
        <v>18.71544293544753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20.237146597524792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9.733749999999997</v>
      </c>
      <c r="AI70" s="13">
        <f>IF('Données projet'!$A$62&gt;35,AI69+AH70-AQ69,IF(A70&lt;'Données projet'!$A$62,$AF$205^A70,IF(A70='Données projet'!$A$62,'Données projet'!$B$62,AI69+AH70-AQ69)))</f>
        <v>242.82375000000033</v>
      </c>
      <c r="AJ70" s="13">
        <f>AI70*VLOOKUP('Données projet'!$B$10,Paramètres!$A$1:$I$89,3,0)*VLOOKUP('Données projet'!$B$10,Paramètres!$A$1:$I$89,5,0)</f>
        <v>246.22328250000032</v>
      </c>
      <c r="AK70" s="13">
        <f t="shared" si="89"/>
        <v>59.776498563165894</v>
      </c>
      <c r="AL70" s="20">
        <f t="shared" si="58"/>
        <v>532.94961868501457</v>
      </c>
      <c r="AM70" s="59">
        <f t="shared" si="59"/>
        <v>826.28295201834794</v>
      </c>
      <c r="AN70" s="59">
        <f ca="1">AVERAGE(OFFSET($AM$3,0,0,'Données projet'!$E$10+1,1))-AVERAGE(OFFSET($H$3,0,0,'Données projet'!$E$10+1,1))</f>
        <v>644.15138437063933</v>
      </c>
      <c r="AO70" s="59">
        <f t="shared" si="90"/>
        <v>289.3097279858207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8.8783694984742105</v>
      </c>
      <c r="AV70" s="21">
        <f>EXP(-LN(2)/25)*AV69+(1-EXP(-LN(2)/25))/(LN(2)/25)*Calculateur!AQ70*Calculateur!AS70*VLOOKUP('Données projet'!$B$10,Paramètres!$A$1:$I$89,3,0)*0.475*44/12</f>
        <v>36.862975968170709</v>
      </c>
      <c r="AW70" s="21">
        <f>EXP(-LN(2)/2)*AW69+(1-EXP(-LN(2)/2))/(LN(2)/2)*AQ70*AT70*VLOOKUP('Données projet'!$B$10,Paramètres!$A$1:$I$89,3,0)*0.475*44/12</f>
        <v>4.0569751992691359</v>
      </c>
      <c r="AX70" s="21">
        <f t="shared" si="60"/>
        <v>49.798320665914048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9.733749999999997</v>
      </c>
      <c r="BD70" s="12">
        <f>IF('Données projet'!$A$88&gt;35,BD69+BC70-BL69,IF(A70&lt;'Données projet'!$A$88,$BA$205^A70,IF(A70='Données projet'!$A$88,'Données projet'!$B$88,BD69+BC70-BL69)))</f>
        <v>242.82375000000033</v>
      </c>
      <c r="BE70" s="13">
        <f>BD70*VLOOKUP('Données projet'!$B$11,Paramètres!$A$1:$I$89,3,0)*VLOOKUP('Données projet'!$B$11,Paramètres!$A$1:$I$89,5,0)</f>
        <v>219.70692900000031</v>
      </c>
      <c r="BF70" s="13">
        <f t="shared" si="91"/>
        <v>54.051183245794981</v>
      </c>
      <c r="BG70" s="20">
        <f t="shared" si="61"/>
        <v>476.79537882809342</v>
      </c>
      <c r="BH70" s="59">
        <f t="shared" si="62"/>
        <v>770.12871216142673</v>
      </c>
      <c r="BI70" s="59">
        <f ca="1">AVERAGE(OFFSET($BH$3,0,0,'Données projet'!$E$11+1,1))-AVERAGE(OFFSET($H$3,0,0,'Données projet'!$E$11+1,1))</f>
        <v>573.17174498173017</v>
      </c>
      <c r="BJ70" s="59">
        <f t="shared" si="92"/>
        <v>260.48854096157231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7.9222373986385248</v>
      </c>
      <c r="BQ70" s="21">
        <f>EXP(-LN(2)/25)*BQ69+(1-EXP(-LN(2)/25))/(LN(2)/25)*Calculateur!BL70*Calculateur!BN70*VLOOKUP('Données projet'!$B$11,Paramètres!$A$1:$I$89,3,0)*0.475*44/12</f>
        <v>32.893117017752324</v>
      </c>
      <c r="BR70" s="21">
        <f>EXP(-LN(2)/2)*BR69+(1-EXP(-LN(2)/2))/(LN(2)/2)*BL70*BO70*VLOOKUP('Données projet'!$B$11,Paramètres!$A$1:$I$89,3,0)*0.475*44/12</f>
        <v>3.6200701778093825</v>
      </c>
      <c r="BS70" s="22">
        <f t="shared" si="63"/>
        <v>44.435424594200228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9.733749999999997</v>
      </c>
      <c r="BY70" s="12">
        <f>IF('Données projet'!$A$114&gt;35,BY69+BX70-CG69,IF(A70&lt;'Données projet'!$A$114,$BV$205^A70,IF(A70='Données projet'!$A$114,'Données projet'!$B$114,BY69+BX70-CG69)))</f>
        <v>242.82375000000033</v>
      </c>
      <c r="BZ70" s="13">
        <f>BY70*VLOOKUP('Données projet'!$B$12,Paramètres!$A$1:$I$89,3,0)*VLOOKUP('Données projet'!$B$12,Paramètres!$A$1:$I$89,5,0)</f>
        <v>231.07108050000033</v>
      </c>
      <c r="CA70" s="13">
        <f t="shared" si="93"/>
        <v>56.514211517076802</v>
      </c>
      <c r="CB70" s="20">
        <f t="shared" si="64"/>
        <v>500.87771692974269</v>
      </c>
      <c r="CC70" s="59">
        <f t="shared" si="65"/>
        <v>794.211050263076</v>
      </c>
      <c r="CD70" s="59">
        <f ca="1">AVERAGE(OFFSET($CC$3,0,0,'Données projet'!$E$12+1,1))-AVERAGE(OFFSET($H$3,0,0,'Données projet'!$E$12+1,1))</f>
        <v>603.61135046904178</v>
      </c>
      <c r="CE70" s="59">
        <f t="shared" si="94"/>
        <v>272.84936867513068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8.3320082985681037</v>
      </c>
      <c r="CL70" s="21">
        <f>EXP(-LN(2)/25)*CL69+(1-EXP(-LN(2)/25))/(LN(2)/25)*Calculateur!CG70*Calculateur!CI70*VLOOKUP('Données projet'!$B$12,Paramètres!$A$1:$I$89,3,0)*0.475*44/12</f>
        <v>34.594485139360195</v>
      </c>
      <c r="CM70" s="21">
        <f>EXP(-LN(2)/2)*CM69+(1-EXP(-LN(2)/2))/(LN(2)/2)*CG70*CJ70*VLOOKUP('Données projet'!$B$12,Paramètres!$A$1:$I$89,3,0)*0.475*44/12</f>
        <v>3.8073151870064192</v>
      </c>
      <c r="CN70" s="22">
        <f t="shared" si="66"/>
        <v>46.733808624934717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20.420400000000001</v>
      </c>
      <c r="D71" s="11">
        <f t="shared" si="86"/>
        <v>6.624068756169029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114.82037612268256</v>
      </c>
      <c r="H71" s="67">
        <f t="shared" si="56"/>
        <v>303.76911641699439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2.9487179487179476</v>
      </c>
      <c r="N71" s="13">
        <f>IF('Données projet'!$A$36&gt;35,N70+M71-V70,IF(A71&lt;'Données projet'!$A$36,$K$205^A71,IF(A71='Données projet'!$A$36,'Données projet'!$B$36,N70+M71-V70)))</f>
        <v>135.1282051282052</v>
      </c>
      <c r="O71" s="13">
        <f>N71*VLOOKUP('Données projet'!$B$9,Paramètres!$A$1:$I$89,3,0)*VLOOKUP('Données projet'!$B$9,Paramètres!$A$1:$I$89,5,0)</f>
        <v>141.23600000000008</v>
      </c>
      <c r="P71" s="13">
        <f t="shared" si="87"/>
        <v>36.580010725228504</v>
      </c>
      <c r="Q71" s="20">
        <f t="shared" si="54"/>
        <v>309.69621867977315</v>
      </c>
      <c r="R71" s="59">
        <f t="shared" si="55"/>
        <v>603.02955201310647</v>
      </c>
      <c r="S71" s="59">
        <f ca="1">AVERAGE(OFFSET($R$3,0,0,'Données projet'!$E$9+1,1))-AVERAGE(OFFSET($H$3,0,0,'Données projet'!$E$9+1,1))</f>
        <v>225.9892575177542</v>
      </c>
      <c r="T71" s="59">
        <f t="shared" si="88"/>
        <v>215.88467215650428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1.4918639814115127</v>
      </c>
      <c r="AA71" s="21">
        <f>EXP(-LN(2)/25)*AA70+(1-EXP(-LN(2)/25))/(LN(2)/25)*Calculateur!V71*Calculateur!X71*VLOOKUP('Données projet'!$B$9,Paramètres!$A$1:$I$89,3,0)*0.475*44/12</f>
        <v>18.203668164175347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19.69553214558686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9.733749999999997</v>
      </c>
      <c r="AI71" s="13">
        <f>IF('Données projet'!$A$62&gt;35,AI70+AH71-AQ70,IF(A71&lt;'Données projet'!$A$62,$AF$205^A71,IF(A71='Données projet'!$A$62,'Données projet'!$B$62,AI70+AH71-AQ70)))</f>
        <v>252.55750000000032</v>
      </c>
      <c r="AJ71" s="13">
        <f>AI71*VLOOKUP('Données projet'!$B$10,Paramètres!$A$1:$I$89,3,0)*VLOOKUP('Données projet'!$B$10,Paramètres!$A$1:$I$89,5,0)</f>
        <v>256.09330500000038</v>
      </c>
      <c r="AK71" s="13">
        <f t="shared" si="89"/>
        <v>61.888896112284726</v>
      </c>
      <c r="AL71" s="20">
        <f t="shared" si="58"/>
        <v>553.81900027056327</v>
      </c>
      <c r="AM71" s="59">
        <f t="shared" si="59"/>
        <v>847.15233360389652</v>
      </c>
      <c r="AN71" s="59">
        <f ca="1">AVERAGE(OFFSET($AM$3,0,0,'Données projet'!$E$10+1,1))-AVERAGE(OFFSET($H$3,0,0,'Données projet'!$E$10+1,1))</f>
        <v>644.15138437063933</v>
      </c>
      <c r="AO71" s="59">
        <f t="shared" si="90"/>
        <v>289.3097279858207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8.7042700878798112</v>
      </c>
      <c r="AV71" s="21">
        <f>EXP(-LN(2)/25)*AV70+(1-EXP(-LN(2)/25))/(LN(2)/25)*Calculateur!AQ71*Calculateur!AS71*VLOOKUP('Données projet'!$B$10,Paramètres!$A$1:$I$89,3,0)*0.475*44/12</f>
        <v>35.854955951781427</v>
      </c>
      <c r="AW71" s="21">
        <f>EXP(-LN(2)/2)*AW70+(1-EXP(-LN(2)/2))/(LN(2)/2)*AQ71*AT71*VLOOKUP('Données projet'!$B$10,Paramètres!$A$1:$I$89,3,0)*0.475*44/12</f>
        <v>2.8687146745088512</v>
      </c>
      <c r="AX71" s="21">
        <f t="shared" si="60"/>
        <v>47.427940714170091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9.733749999999997</v>
      </c>
      <c r="BD71" s="12">
        <f>IF('Données projet'!$A$88&gt;35,BD70+BC71-BL70,IF(A71&lt;'Données projet'!$A$88,$BA$205^A71,IF(A71='Données projet'!$A$88,'Données projet'!$B$88,BD70+BC71-BL70)))</f>
        <v>252.55750000000032</v>
      </c>
      <c r="BE71" s="13">
        <f>BD71*VLOOKUP('Données projet'!$B$11,Paramètres!$A$1:$I$89,3,0)*VLOOKUP('Données projet'!$B$11,Paramètres!$A$1:$I$89,5,0)</f>
        <v>228.51402600000029</v>
      </c>
      <c r="BF71" s="13">
        <f t="shared" si="91"/>
        <v>55.96125810397254</v>
      </c>
      <c r="BG71" s="20">
        <f t="shared" si="61"/>
        <v>495.46111981441936</v>
      </c>
      <c r="BH71" s="59">
        <f t="shared" si="62"/>
        <v>788.79445314775262</v>
      </c>
      <c r="BI71" s="59">
        <f ca="1">AVERAGE(OFFSET($BH$3,0,0,'Données projet'!$E$11+1,1))-AVERAGE(OFFSET($H$3,0,0,'Données projet'!$E$11+1,1))</f>
        <v>573.17174498173017</v>
      </c>
      <c r="BJ71" s="59">
        <f t="shared" si="92"/>
        <v>260.48854096157231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7.7668871553389076</v>
      </c>
      <c r="BQ71" s="21">
        <f>EXP(-LN(2)/25)*BQ70+(1-EXP(-LN(2)/25))/(LN(2)/25)*Calculateur!BL71*Calculateur!BN71*VLOOKUP('Données projet'!$B$11,Paramètres!$A$1:$I$89,3,0)*0.475*44/12</f>
        <v>31.993653003128042</v>
      </c>
      <c r="BR71" s="21">
        <f>EXP(-LN(2)/2)*BR70+(1-EXP(-LN(2)/2))/(LN(2)/2)*BL71*BO71*VLOOKUP('Données projet'!$B$11,Paramètres!$A$1:$I$89,3,0)*0.475*44/12</f>
        <v>2.5597761711002054</v>
      </c>
      <c r="BS71" s="22">
        <f t="shared" si="63"/>
        <v>42.320316329567156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9.733749999999997</v>
      </c>
      <c r="BY71" s="12">
        <f>IF('Données projet'!$A$114&gt;35,BY70+BX71-CG70,IF(A71&lt;'Données projet'!$A$114,$BV$205^A71,IF(A71='Données projet'!$A$114,'Données projet'!$B$114,BY70+BX71-CG70)))</f>
        <v>252.55750000000032</v>
      </c>
      <c r="BZ71" s="13">
        <f>BY71*VLOOKUP('Données projet'!$B$12,Paramètres!$A$1:$I$89,3,0)*VLOOKUP('Données projet'!$B$12,Paramètres!$A$1:$I$89,5,0)</f>
        <v>240.33371700000029</v>
      </c>
      <c r="CA71" s="13">
        <f t="shared" si="93"/>
        <v>58.511325512853986</v>
      </c>
      <c r="CB71" s="20">
        <f t="shared" si="64"/>
        <v>520.48844904322118</v>
      </c>
      <c r="CC71" s="59">
        <f t="shared" si="65"/>
        <v>813.82178237655444</v>
      </c>
      <c r="CD71" s="59">
        <f ca="1">AVERAGE(OFFSET($CC$3,0,0,'Données projet'!$E$12+1,1))-AVERAGE(OFFSET($H$3,0,0,'Données projet'!$E$12+1,1))</f>
        <v>603.61135046904178</v>
      </c>
      <c r="CE71" s="59">
        <f t="shared" si="94"/>
        <v>272.84936867513068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8.1686226978564367</v>
      </c>
      <c r="CL71" s="21">
        <f>EXP(-LN(2)/25)*CL70+(1-EXP(-LN(2)/25))/(LN(2)/25)*Calculateur!CG71*Calculateur!CI71*VLOOKUP('Données projet'!$B$12,Paramètres!$A$1:$I$89,3,0)*0.475*44/12</f>
        <v>33.648497123979482</v>
      </c>
      <c r="CM71" s="21">
        <f>EXP(-LN(2)/2)*CM70+(1-EXP(-LN(2)/2))/(LN(2)/2)*CG71*CJ71*VLOOKUP('Données projet'!$B$12,Paramètres!$A$1:$I$89,3,0)*0.475*44/12</f>
        <v>2.6921783868467677</v>
      </c>
      <c r="CN71" s="22">
        <f t="shared" si="66"/>
        <v>44.509298208682686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20.720700000000001</v>
      </c>
      <c r="D72" s="11">
        <f t="shared" si="86"/>
        <v>6.7100694157818674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116.46045962489846</v>
      </c>
      <c r="H72" s="67">
        <f t="shared" si="56"/>
        <v>304.44192339915344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2.9487179487179476</v>
      </c>
      <c r="N72" s="13">
        <f>IF('Données projet'!$A$36&gt;35,N71+M72-V71,IF(A72&lt;'Données projet'!$A$36,$K$205^A72,IF(A72='Données projet'!$A$36,'Données projet'!$B$36,N71+M72-V71)))</f>
        <v>138.07692307692315</v>
      </c>
      <c r="O72" s="13">
        <f>N72*VLOOKUP('Données projet'!$B$9,Paramètres!$A$1:$I$89,3,0)*VLOOKUP('Données projet'!$B$9,Paramètres!$A$1:$I$89,5,0)</f>
        <v>144.3180000000001</v>
      </c>
      <c r="P72" s="13">
        <f t="shared" si="87"/>
        <v>37.284443058265509</v>
      </c>
      <c r="Q72" s="20">
        <f t="shared" si="54"/>
        <v>316.29092165981257</v>
      </c>
      <c r="R72" s="59">
        <f t="shared" si="55"/>
        <v>609.62425499314588</v>
      </c>
      <c r="S72" s="59">
        <f ca="1">AVERAGE(OFFSET($R$3,0,0,'Données projet'!$E$9+1,1))-AVERAGE(OFFSET($H$3,0,0,'Données projet'!$E$9+1,1))</f>
        <v>225.9892575177542</v>
      </c>
      <c r="T72" s="59">
        <f t="shared" si="88"/>
        <v>215.88467215650428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1.4626094386832118</v>
      </c>
      <c r="AA72" s="21">
        <f>EXP(-LN(2)/25)*AA71+(1-EXP(-LN(2)/25))/(LN(2)/25)*Calculateur!V72*Calculateur!X72*VLOOKUP('Données projet'!$B$9,Paramètres!$A$1:$I$89,3,0)*0.475*44/12</f>
        <v>17.70588790093667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19.168497339619883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9.733749999999997</v>
      </c>
      <c r="AI72" s="13">
        <f>IF('Données projet'!$A$62&gt;35,AI71+AH72-AQ71,IF(A72&lt;'Données projet'!$A$62,$AF$205^A72,IF(A72='Données projet'!$A$62,'Données projet'!$B$62,AI71+AH72-AQ71)))</f>
        <v>262.29125000000033</v>
      </c>
      <c r="AJ72" s="13">
        <f>AI72*VLOOKUP('Données projet'!$B$10,Paramètres!$A$1:$I$89,3,0)*VLOOKUP('Données projet'!$B$10,Paramètres!$A$1:$I$89,5,0)</f>
        <v>265.96332750000033</v>
      </c>
      <c r="AK72" s="13">
        <f t="shared" si="89"/>
        <v>63.991835900335317</v>
      </c>
      <c r="AL72" s="20">
        <f t="shared" si="58"/>
        <v>574.67190958891786</v>
      </c>
      <c r="AM72" s="59">
        <f t="shared" si="59"/>
        <v>868.00524292225123</v>
      </c>
      <c r="AN72" s="59">
        <f ca="1">AVERAGE(OFFSET($AM$3,0,0,'Données projet'!$E$10+1,1))-AVERAGE(OFFSET($H$3,0,0,'Données projet'!$E$10+1,1))</f>
        <v>644.15138437063933</v>
      </c>
      <c r="AO72" s="59">
        <f t="shared" si="90"/>
        <v>289.3097279858207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8.5335846605370129</v>
      </c>
      <c r="AV72" s="21">
        <f>EXP(-LN(2)/25)*AV71+(1-EXP(-LN(2)/25))/(LN(2)/25)*Calculateur!AQ72*Calculateur!AS72*VLOOKUP('Données projet'!$B$10,Paramètres!$A$1:$I$89,3,0)*0.475*44/12</f>
        <v>34.874500295749776</v>
      </c>
      <c r="AW72" s="21">
        <f>EXP(-LN(2)/2)*AW71+(1-EXP(-LN(2)/2))/(LN(2)/2)*AQ72*AT72*VLOOKUP('Données projet'!$B$10,Paramètres!$A$1:$I$89,3,0)*0.475*44/12</f>
        <v>2.0284875996345684</v>
      </c>
      <c r="AX72" s="21">
        <f t="shared" si="60"/>
        <v>45.436572555921352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9.733749999999997</v>
      </c>
      <c r="BD72" s="12">
        <f>IF('Données projet'!$A$88&gt;35,BD71+BC72-BL71,IF(A72&lt;'Données projet'!$A$88,$BA$205^A72,IF(A72='Données projet'!$A$88,'Données projet'!$B$88,BD71+BC72-BL71)))</f>
        <v>262.29125000000033</v>
      </c>
      <c r="BE72" s="13">
        <f>BD72*VLOOKUP('Données projet'!$B$11,Paramètres!$A$1:$I$89,3,0)*VLOOKUP('Données projet'!$B$11,Paramètres!$A$1:$I$89,5,0)</f>
        <v>237.32112300000028</v>
      </c>
      <c r="BF72" s="13">
        <f t="shared" si="91"/>
        <v>57.862781053141006</v>
      </c>
      <c r="BG72" s="20">
        <f t="shared" si="61"/>
        <v>514.11196622588784</v>
      </c>
      <c r="BH72" s="59">
        <f t="shared" si="62"/>
        <v>807.44529955922121</v>
      </c>
      <c r="BI72" s="59">
        <f ca="1">AVERAGE(OFFSET($BH$3,0,0,'Données projet'!$E$11+1,1))-AVERAGE(OFFSET($H$3,0,0,'Données projet'!$E$11+1,1))</f>
        <v>573.17174498173017</v>
      </c>
      <c r="BJ72" s="59">
        <f t="shared" si="92"/>
        <v>260.48854096157231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7.6145832355561032</v>
      </c>
      <c r="BQ72" s="21">
        <f>EXP(-LN(2)/25)*BQ71+(1-EXP(-LN(2)/25))/(LN(2)/25)*Calculateur!BL72*Calculateur!BN72*VLOOKUP('Données projet'!$B$11,Paramètres!$A$1:$I$89,3,0)*0.475*44/12</f>
        <v>31.118784879284416</v>
      </c>
      <c r="BR72" s="21">
        <f>EXP(-LN(2)/2)*BR71+(1-EXP(-LN(2)/2))/(LN(2)/2)*BL72*BO72*VLOOKUP('Données projet'!$B$11,Paramètres!$A$1:$I$89,3,0)*0.475*44/12</f>
        <v>1.8100350889046914</v>
      </c>
      <c r="BS72" s="22">
        <f t="shared" si="63"/>
        <v>40.543403203745207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9.733749999999997</v>
      </c>
      <c r="BY72" s="12">
        <f>IF('Données projet'!$A$114&gt;35,BY71+BX72-CG71,IF(A72&lt;'Données projet'!$A$114,$BV$205^A72,IF(A72='Données projet'!$A$114,'Données projet'!$B$114,BY71+BX72-CG71)))</f>
        <v>262.29125000000033</v>
      </c>
      <c r="BZ72" s="13">
        <f>BY72*VLOOKUP('Données projet'!$B$12,Paramètres!$A$1:$I$89,3,0)*VLOOKUP('Données projet'!$B$12,Paramètres!$A$1:$I$89,5,0)</f>
        <v>249.5963535000003</v>
      </c>
      <c r="CA72" s="13">
        <f t="shared" si="93"/>
        <v>60.49949790244262</v>
      </c>
      <c r="CB72" s="20">
        <f t="shared" si="64"/>
        <v>540.0836078592547</v>
      </c>
      <c r="CC72" s="59">
        <f t="shared" si="65"/>
        <v>833.41694119258796</v>
      </c>
      <c r="CD72" s="59">
        <f ca="1">AVERAGE(OFFSET($CC$3,0,0,'Données projet'!$E$12+1,1))-AVERAGE(OFFSET($H$3,0,0,'Données projet'!$E$12+1,1))</f>
        <v>603.61135046904178</v>
      </c>
      <c r="CE72" s="59">
        <f t="shared" si="94"/>
        <v>272.84936867513068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8.0084409891193502</v>
      </c>
      <c r="CL72" s="21">
        <f>EXP(-LN(2)/25)*CL71+(1-EXP(-LN(2)/25))/(LN(2)/25)*Calculateur!CG72*Calculateur!CI72*VLOOKUP('Données projet'!$B$12,Paramètres!$A$1:$I$89,3,0)*0.475*44/12</f>
        <v>32.728377200626703</v>
      </c>
      <c r="CM72" s="21">
        <f>EXP(-LN(2)/2)*CM71+(1-EXP(-LN(2)/2))/(LN(2)/2)*CG72*CJ72*VLOOKUP('Données projet'!$B$12,Paramètres!$A$1:$I$89,3,0)*0.475*44/12</f>
        <v>1.9036575935032101</v>
      </c>
      <c r="CN72" s="22">
        <f t="shared" si="66"/>
        <v>42.640475783249265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21.021000000000001</v>
      </c>
      <c r="D73" s="11">
        <f t="shared" si="86"/>
        <v>6.7959251129578737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118.09992767255801</v>
      </c>
      <c r="H73" s="67">
        <f t="shared" si="56"/>
        <v>305.11447790506833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141.02564102564102</v>
      </c>
      <c r="L73" s="12">
        <f>VLOOKUP(A73,'Données projet'!$A$35:$I$55,9,0)</f>
        <v>2.9487179487179476</v>
      </c>
      <c r="M73" s="12">
        <f t="array" ref="M73">INDEX(L:L,MIN(IF(ISNUMBER(L73:L269),ROW(L73:L269),"")))</f>
        <v>2.9487179487179476</v>
      </c>
      <c r="N73" s="13">
        <f>IF('Données projet'!$A$36&gt;35,N72+M73-V72,IF(A73&lt;'Données projet'!$A$36,$K$205^A73,IF(A73='Données projet'!$A$36,'Données projet'!$B$36,N72+M73-V72)))</f>
        <v>141.02564102564111</v>
      </c>
      <c r="O73" s="13">
        <f>N73*VLOOKUP('Données projet'!$B$9,Paramètres!$A$1:$I$89,3,0)*VLOOKUP('Données projet'!$B$9,Paramètres!$A$1:$I$89,5,0)</f>
        <v>147.40000000000009</v>
      </c>
      <c r="P73" s="13">
        <f t="shared" si="87"/>
        <v>37.987126351804257</v>
      </c>
      <c r="Q73" s="20">
        <f t="shared" si="54"/>
        <v>322.88257839605922</v>
      </c>
      <c r="R73" s="59">
        <f t="shared" si="55"/>
        <v>616.21591172939247</v>
      </c>
      <c r="S73" s="59">
        <f ca="1">AVERAGE(OFFSET($R$3,0,0,'Données projet'!$E$9+1,1))-AVERAGE(OFFSET($H$3,0,0,'Données projet'!$E$9+1,1))</f>
        <v>225.9892575177542</v>
      </c>
      <c r="T73" s="59">
        <f t="shared" si="88"/>
        <v>215.88467215650428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10.256410256410255</v>
      </c>
      <c r="W73" s="16">
        <f>IF(ISNA(VLOOKUP(A73,'Données projet'!$A$35:$I$55,5,0)),0%,VLOOKUP(A73,'Données projet'!$A$35:$I$55,5,0)*VLOOKUP('Données projet'!$B$9,Paramètres!$A$1:$I$89,7,0))</f>
        <v>4.3000000000000003E-2</v>
      </c>
      <c r="X73" s="16">
        <f>IF(ISNA(VLOOKUP(A73,'Données projet'!$A$35:$I$55,6,0)),0%,VLOOKUP(A73,'Données projet'!$A$35:$I$55,6,0)*VLOOKUP('Données projet'!$B$9,Paramètres!$A$1:$I$89,7,0))</f>
        <v>0.215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1.9435061858438125</v>
      </c>
      <c r="AA73" s="21">
        <f>EXP(-LN(2)/25)*AA72+(1-EXP(-LN(2)/25))/(LN(2)/25)*Calculateur!V73*Calculateur!X73*VLOOKUP('Données projet'!$B$9,Paramètres!$A$1:$I$89,3,0)*0.475*44/12</f>
        <v>19.75957558952868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21.703081775372493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9.733749999999997</v>
      </c>
      <c r="AI73" s="13">
        <f>IF('Données projet'!$A$62&gt;35,AI72+AH73-AQ72,IF(A73&lt;'Données projet'!$A$62,$AF$205^A73,IF(A73='Données projet'!$A$62,'Données projet'!$B$62,AI72+AH73-AQ72)))</f>
        <v>272.02500000000032</v>
      </c>
      <c r="AJ73" s="13">
        <f>AI73*VLOOKUP('Données projet'!$B$10,Paramètres!$A$1:$I$89,3,0)*VLOOKUP('Données projet'!$B$10,Paramètres!$A$1:$I$89,5,0)</f>
        <v>275.83335000000034</v>
      </c>
      <c r="AK73" s="13">
        <f t="shared" si="89"/>
        <v>66.085709101140665</v>
      </c>
      <c r="AL73" s="20">
        <f t="shared" si="58"/>
        <v>595.50902793448722</v>
      </c>
      <c r="AM73" s="59">
        <f t="shared" si="59"/>
        <v>888.84236126782048</v>
      </c>
      <c r="AN73" s="59">
        <f ca="1">AVERAGE(OFFSET($AM$3,0,0,'Données projet'!$E$10+1,1))-AVERAGE(OFFSET($H$3,0,0,'Données projet'!$E$10+1,1))</f>
        <v>644.15138437063933</v>
      </c>
      <c r="AO73" s="59">
        <f t="shared" si="90"/>
        <v>289.3097279858207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8.3662462703165765</v>
      </c>
      <c r="AV73" s="21">
        <f>EXP(-LN(2)/25)*AV72+(1-EXP(-LN(2)/25))/(LN(2)/25)*Calculateur!AQ73*Calculateur!AS73*VLOOKUP('Données projet'!$B$10,Paramètres!$A$1:$I$89,3,0)*0.475*44/12</f>
        <v>33.920855251192236</v>
      </c>
      <c r="AW73" s="21">
        <f>EXP(-LN(2)/2)*AW72+(1-EXP(-LN(2)/2))/(LN(2)/2)*AQ73*AT73*VLOOKUP('Données projet'!$B$10,Paramètres!$A$1:$I$89,3,0)*0.475*44/12</f>
        <v>1.4343573372544258</v>
      </c>
      <c r="AX73" s="21">
        <f t="shared" si="60"/>
        <v>43.721458858763242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9.733749999999997</v>
      </c>
      <c r="BD73" s="12">
        <f>IF('Données projet'!$A$88&gt;35,BD72+BC73-BL72,IF(A73&lt;'Données projet'!$A$88,$BA$205^A73,IF(A73='Données projet'!$A$88,'Données projet'!$B$88,BD72+BC73-BL72)))</f>
        <v>272.02500000000032</v>
      </c>
      <c r="BE73" s="13">
        <f>BD73*VLOOKUP('Données projet'!$B$11,Paramètres!$A$1:$I$89,3,0)*VLOOKUP('Données projet'!$B$11,Paramètres!$A$1:$I$89,5,0)</f>
        <v>246.12822000000025</v>
      </c>
      <c r="BF73" s="13">
        <f t="shared" si="91"/>
        <v>59.756105801003123</v>
      </c>
      <c r="BG73" s="20">
        <f t="shared" si="61"/>
        <v>532.74853410341427</v>
      </c>
      <c r="BH73" s="59">
        <f t="shared" si="62"/>
        <v>826.08186743674764</v>
      </c>
      <c r="BI73" s="59">
        <f ca="1">AVERAGE(OFFSET($BH$3,0,0,'Données projet'!$E$11+1,1))-AVERAGE(OFFSET($H$3,0,0,'Données projet'!$E$11+1,1))</f>
        <v>573.17174498173017</v>
      </c>
      <c r="BJ73" s="59">
        <f t="shared" si="92"/>
        <v>260.48854096157231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7.4652659027440214</v>
      </c>
      <c r="BQ73" s="21">
        <f>EXP(-LN(2)/25)*BQ72+(1-EXP(-LN(2)/25))/(LN(2)/25)*Calculateur!BL73*Calculateur!BN73*VLOOKUP('Données projet'!$B$11,Paramètres!$A$1:$I$89,3,0)*0.475*44/12</f>
        <v>30.267840070294611</v>
      </c>
      <c r="BR73" s="21">
        <f>EXP(-LN(2)/2)*BR72+(1-EXP(-LN(2)/2))/(LN(2)/2)*BL73*BO73*VLOOKUP('Données projet'!$B$11,Paramètres!$A$1:$I$89,3,0)*0.475*44/12</f>
        <v>1.2798880855501029</v>
      </c>
      <c r="BS73" s="22">
        <f t="shared" si="63"/>
        <v>39.012994058588738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9.733749999999997</v>
      </c>
      <c r="BY73" s="12">
        <f>IF('Données projet'!$A$114&gt;35,BY72+BX73-CG72,IF(A73&lt;'Données projet'!$A$114,$BV$205^A73,IF(A73='Données projet'!$A$114,'Données projet'!$B$114,BY72+BX73-CG72)))</f>
        <v>272.02500000000032</v>
      </c>
      <c r="BZ73" s="13">
        <f>BY73*VLOOKUP('Données projet'!$B$12,Paramètres!$A$1:$I$89,3,0)*VLOOKUP('Données projet'!$B$12,Paramètres!$A$1:$I$89,5,0)</f>
        <v>258.85899000000029</v>
      </c>
      <c r="CA73" s="13">
        <f t="shared" si="93"/>
        <v>62.47909851145463</v>
      </c>
      <c r="CB73" s="20">
        <f t="shared" si="64"/>
        <v>559.66383749078398</v>
      </c>
      <c r="CC73" s="59">
        <f t="shared" si="65"/>
        <v>852.99717082411735</v>
      </c>
      <c r="CD73" s="59">
        <f ca="1">AVERAGE(OFFSET($CC$3,0,0,'Données projet'!$E$12+1,1))-AVERAGE(OFFSET($H$3,0,0,'Données projet'!$E$12+1,1))</f>
        <v>603.61135046904178</v>
      </c>
      <c r="CE73" s="59">
        <f t="shared" si="94"/>
        <v>272.84936867513068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7.8514003459894024</v>
      </c>
      <c r="CL73" s="21">
        <f>EXP(-LN(2)/25)*CL72+(1-EXP(-LN(2)/25))/(LN(2)/25)*Calculateur!CG73*Calculateur!CI73*VLOOKUP('Données projet'!$B$12,Paramètres!$A$1:$I$89,3,0)*0.475*44/12</f>
        <v>31.833418004965012</v>
      </c>
      <c r="CM73" s="21">
        <f>EXP(-LN(2)/2)*CM72+(1-EXP(-LN(2)/2))/(LN(2)/2)*CG73*CJ73*VLOOKUP('Données projet'!$B$12,Paramètres!$A$1:$I$89,3,0)*0.475*44/12</f>
        <v>1.3460891934233841</v>
      </c>
      <c r="CN73" s="22">
        <f t="shared" si="66"/>
        <v>41.030907544377797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21.321300000000001</v>
      </c>
      <c r="D74" s="11">
        <f t="shared" si="86"/>
        <v>6.8816381578778465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119.73879007379719</v>
      </c>
      <c r="H74" s="67">
        <f t="shared" si="56"/>
        <v>305.78678395830394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2.4358974358974366</v>
      </c>
      <c r="N74" s="13">
        <f>IF('Données projet'!$A$36&gt;35,N73+M74-V73,IF(A74&lt;'Données projet'!$A$36,$K$205^A74,IF(A74='Données projet'!$A$36,'Données projet'!$B$36,N73+M74-V73)))</f>
        <v>133.20512820512829</v>
      </c>
      <c r="O74" s="13">
        <f>N74*VLOOKUP('Données projet'!$B$9,Paramètres!$A$1:$I$89,3,0)*VLOOKUP('Données projet'!$B$9,Paramètres!$A$1:$I$89,5,0)</f>
        <v>139.22600000000011</v>
      </c>
      <c r="P74" s="13">
        <f t="shared" si="87"/>
        <v>36.119635793564029</v>
      </c>
      <c r="Q74" s="20">
        <f t="shared" si="54"/>
        <v>305.39364900712422</v>
      </c>
      <c r="R74" s="59">
        <f t="shared" si="55"/>
        <v>598.72698234045754</v>
      </c>
      <c r="S74" s="59">
        <f ca="1">AVERAGE(OFFSET($R$3,0,0,'Données projet'!$E$9+1,1))-AVERAGE(OFFSET($H$3,0,0,'Données projet'!$E$9+1,1))</f>
        <v>225.9892575177542</v>
      </c>
      <c r="T74" s="59">
        <f t="shared" si="88"/>
        <v>215.88467215650428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1.905395214961138</v>
      </c>
      <c r="AA74" s="21">
        <f>EXP(-LN(2)/25)*AA73+(1-EXP(-LN(2)/25))/(LN(2)/25)*Calculateur!V74*Calculateur!X74*VLOOKUP('Données projet'!$B$9,Paramètres!$A$1:$I$89,3,0)*0.475*44/12</f>
        <v>19.219248955922097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21.124644170883236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9.733749999999997</v>
      </c>
      <c r="AI74" s="13">
        <f>IF('Données projet'!$A$62&gt;35,AI73+AH74-AQ73,IF(A74&lt;'Données projet'!$A$62,$AF$205^A74,IF(A74='Données projet'!$A$62,'Données projet'!$B$62,AI73+AH74-AQ73)))</f>
        <v>281.7587500000003</v>
      </c>
      <c r="AJ74" s="13">
        <f>AI74*VLOOKUP('Données projet'!$B$10,Paramètres!$A$1:$I$89,3,0)*VLOOKUP('Données projet'!$B$10,Paramètres!$A$1:$I$89,5,0)</f>
        <v>285.70337250000034</v>
      </c>
      <c r="AK74" s="13">
        <f t="shared" si="89"/>
        <v>68.170877307212365</v>
      </c>
      <c r="AL74" s="20">
        <f t="shared" si="58"/>
        <v>616.3309850808954</v>
      </c>
      <c r="AM74" s="59">
        <f t="shared" si="59"/>
        <v>909.66431841422877</v>
      </c>
      <c r="AN74" s="59">
        <f ca="1">AVERAGE(OFFSET($AM$3,0,0,'Données projet'!$E$10+1,1))-AVERAGE(OFFSET($H$3,0,0,'Données projet'!$E$10+1,1))</f>
        <v>644.15138437063933</v>
      </c>
      <c r="AO74" s="59">
        <f t="shared" si="90"/>
        <v>289.3097279858207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8.2021892838620225</v>
      </c>
      <c r="AV74" s="21">
        <f>EXP(-LN(2)/25)*AV73+(1-EXP(-LN(2)/25))/(LN(2)/25)*Calculateur!AQ74*Calculateur!AS74*VLOOKUP('Données projet'!$B$10,Paramètres!$A$1:$I$89,3,0)*0.475*44/12</f>
        <v>32.993287680528134</v>
      </c>
      <c r="AW74" s="21">
        <f>EXP(-LN(2)/2)*AW73+(1-EXP(-LN(2)/2))/(LN(2)/2)*AQ74*AT74*VLOOKUP('Données projet'!$B$10,Paramètres!$A$1:$I$89,3,0)*0.475*44/12</f>
        <v>1.0142437998172844</v>
      </c>
      <c r="AX74" s="21">
        <f t="shared" si="60"/>
        <v>42.209720764207439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9.733749999999997</v>
      </c>
      <c r="BD74" s="12">
        <f>IF('Données projet'!$A$88&gt;35,BD73+BC74-BL73,IF(A74&lt;'Données projet'!$A$88,$BA$205^A74,IF(A74='Données projet'!$A$88,'Données projet'!$B$88,BD73+BC74-BL73)))</f>
        <v>281.7587500000003</v>
      </c>
      <c r="BE74" s="13">
        <f>BD74*VLOOKUP('Données projet'!$B$11,Paramètres!$A$1:$I$89,3,0)*VLOOKUP('Données projet'!$B$11,Paramètres!$A$1:$I$89,5,0)</f>
        <v>254.93531700000028</v>
      </c>
      <c r="BF74" s="13">
        <f t="shared" si="91"/>
        <v>61.641559307209917</v>
      </c>
      <c r="BG74" s="20">
        <f t="shared" si="61"/>
        <v>551.37139290172445</v>
      </c>
      <c r="BH74" s="59">
        <f t="shared" si="62"/>
        <v>844.70472623505771</v>
      </c>
      <c r="BI74" s="59">
        <f ca="1">AVERAGE(OFFSET($BH$3,0,0,'Données projet'!$E$11+1,1))-AVERAGE(OFFSET($H$3,0,0,'Données projet'!$E$11+1,1))</f>
        <v>573.17174498173017</v>
      </c>
      <c r="BJ74" s="59">
        <f t="shared" si="92"/>
        <v>260.48854096157231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7.3188765917538046</v>
      </c>
      <c r="BQ74" s="21">
        <f>EXP(-LN(2)/25)*BQ73+(1-EXP(-LN(2)/25))/(LN(2)/25)*Calculateur!BL74*Calculateur!BN74*VLOOKUP('Données projet'!$B$11,Paramètres!$A$1:$I$89,3,0)*0.475*44/12</f>
        <v>29.440164391855873</v>
      </c>
      <c r="BR74" s="21">
        <f>EXP(-LN(2)/2)*BR73+(1-EXP(-LN(2)/2))/(LN(2)/2)*BL74*BO74*VLOOKUP('Données projet'!$B$11,Paramètres!$A$1:$I$89,3,0)*0.475*44/12</f>
        <v>0.90501754445234595</v>
      </c>
      <c r="BS74" s="22">
        <f t="shared" si="63"/>
        <v>37.664058528062029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9.733749999999997</v>
      </c>
      <c r="BY74" s="12">
        <f>IF('Données projet'!$A$114&gt;35,BY73+BX74-CG73,IF(A74&lt;'Données projet'!$A$114,$BV$205^A74,IF(A74='Données projet'!$A$114,'Données projet'!$B$114,BY73+BX74-CG73)))</f>
        <v>281.7587500000003</v>
      </c>
      <c r="BZ74" s="13">
        <f>BY74*VLOOKUP('Données projet'!$B$12,Paramètres!$A$1:$I$89,3,0)*VLOOKUP('Données projet'!$B$12,Paramètres!$A$1:$I$89,5,0)</f>
        <v>268.12162650000027</v>
      </c>
      <c r="CA74" s="13">
        <f t="shared" si="93"/>
        <v>64.450469198583448</v>
      </c>
      <c r="CB74" s="20">
        <f t="shared" si="64"/>
        <v>579.2297333416999</v>
      </c>
      <c r="CC74" s="59">
        <f t="shared" si="65"/>
        <v>872.56306667503327</v>
      </c>
      <c r="CD74" s="59">
        <f ca="1">AVERAGE(OFFSET($CC$3,0,0,'Données projet'!$E$12+1,1))-AVERAGE(OFFSET($H$3,0,0,'Données projet'!$E$12+1,1))</f>
        <v>603.61135046904178</v>
      </c>
      <c r="CE74" s="59">
        <f t="shared" si="94"/>
        <v>272.84936867513068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7.6974391740858987</v>
      </c>
      <c r="CL74" s="21">
        <f>EXP(-LN(2)/25)*CL73+(1-EXP(-LN(2)/25))/(LN(2)/25)*Calculateur!CG74*Calculateur!CI74*VLOOKUP('Données projet'!$B$12,Paramètres!$A$1:$I$89,3,0)*0.475*44/12</f>
        <v>30.962931515572546</v>
      </c>
      <c r="CM74" s="21">
        <f>EXP(-LN(2)/2)*CM73+(1-EXP(-LN(2)/2))/(LN(2)/2)*CG74*CJ74*VLOOKUP('Données projet'!$B$12,Paramètres!$A$1:$I$89,3,0)*0.475*44/12</f>
        <v>0.95182879675160514</v>
      </c>
      <c r="CN74" s="22">
        <f t="shared" si="66"/>
        <v>39.612199486410049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21.621600000000001</v>
      </c>
      <c r="D75" s="11">
        <f t="shared" si="86"/>
        <v>6.9672107919092996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121.37705634459739</v>
      </c>
      <c r="H75" s="67">
        <f t="shared" si="56"/>
        <v>306.45884546257537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2.4358974358974366</v>
      </c>
      <c r="N75" s="13">
        <f>IF('Données projet'!$A$36&gt;35,N74+M75-V74,IF(A75&lt;'Données projet'!$A$36,$K$205^A75,IF(A75='Données projet'!$A$36,'Données projet'!$B$36,N74+M75-V74)))</f>
        <v>135.64102564102572</v>
      </c>
      <c r="O75" s="13">
        <f>N75*VLOOKUP('Données projet'!$B$9,Paramètres!$A$1:$I$89,3,0)*VLOOKUP('Données projet'!$B$9,Paramètres!$A$1:$I$89,5,0)</f>
        <v>141.77200000000011</v>
      </c>
      <c r="P75" s="13">
        <f t="shared" si="87"/>
        <v>36.702648176707207</v>
      </c>
      <c r="Q75" s="20">
        <f t="shared" si="54"/>
        <v>310.84334557443191</v>
      </c>
      <c r="R75" s="59">
        <f t="shared" si="55"/>
        <v>604.17667890776522</v>
      </c>
      <c r="S75" s="59">
        <f ca="1">AVERAGE(OFFSET($R$3,0,0,'Données projet'!$E$9+1,1))-AVERAGE(OFFSET($H$3,0,0,'Données projet'!$E$9+1,1))</f>
        <v>225.9892575177542</v>
      </c>
      <c r="T75" s="59">
        <f t="shared" si="88"/>
        <v>215.88467215650428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1.8680315769720759</v>
      </c>
      <c r="AA75" s="21">
        <f>EXP(-LN(2)/25)*AA74+(1-EXP(-LN(2)/25))/(LN(2)/25)*Calculateur!V75*Calculateur!X75*VLOOKUP('Données projet'!$B$9,Paramètres!$A$1:$I$89,3,0)*0.475*44/12</f>
        <v>18.693697582526031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20.561729159498107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9.733749999999997</v>
      </c>
      <c r="AI75" s="13">
        <f>IF('Données projet'!$A$62&gt;35,AI74+AH75-AQ74,IF(A75&lt;'Données projet'!$A$62,$AF$205^A75,IF(A75='Données projet'!$A$62,'Données projet'!$B$62,AI74+AH75-AQ74)))</f>
        <v>291.49250000000029</v>
      </c>
      <c r="AJ75" s="13">
        <f>AI75*VLOOKUP('Données projet'!$B$10,Paramètres!$A$1:$I$89,3,0)*VLOOKUP('Données projet'!$B$10,Paramètres!$A$1:$I$89,5,0)</f>
        <v>295.57339500000029</v>
      </c>
      <c r="AK75" s="13">
        <f t="shared" si="89"/>
        <v>70.247675710683964</v>
      </c>
      <c r="AL75" s="20">
        <f t="shared" si="58"/>
        <v>637.13836482110844</v>
      </c>
      <c r="AM75" s="59">
        <f t="shared" si="59"/>
        <v>930.47169815444181</v>
      </c>
      <c r="AN75" s="59">
        <f ca="1">AVERAGE(OFFSET($AM$3,0,0,'Données projet'!$E$10+1,1))-AVERAGE(OFFSET($H$3,0,0,'Données projet'!$E$10+1,1))</f>
        <v>644.15138437063933</v>
      </c>
      <c r="AO75" s="59">
        <f t="shared" si="90"/>
        <v>289.3097279858207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8.041349354846961</v>
      </c>
      <c r="AV75" s="21">
        <f>EXP(-LN(2)/25)*AV74+(1-EXP(-LN(2)/25))/(LN(2)/25)*Calculateur!AQ75*Calculateur!AS75*VLOOKUP('Données projet'!$B$10,Paramètres!$A$1:$I$89,3,0)*0.475*44/12</f>
        <v>32.091084493862503</v>
      </c>
      <c r="AW75" s="21">
        <f>EXP(-LN(2)/2)*AW74+(1-EXP(-LN(2)/2))/(LN(2)/2)*AQ75*AT75*VLOOKUP('Données projet'!$B$10,Paramètres!$A$1:$I$89,3,0)*0.475*44/12</f>
        <v>0.71717866862721313</v>
      </c>
      <c r="AX75" s="21">
        <f t="shared" si="60"/>
        <v>40.849612517336681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9.733749999999997</v>
      </c>
      <c r="BD75" s="12">
        <f>IF('Données projet'!$A$88&gt;35,BD74+BC75-BL74,IF(A75&lt;'Données projet'!$A$88,$BA$205^A75,IF(A75='Données projet'!$A$88,'Données projet'!$B$88,BD74+BC75-BL74)))</f>
        <v>291.49250000000029</v>
      </c>
      <c r="BE75" s="13">
        <f>BD75*VLOOKUP('Données projet'!$B$11,Paramètres!$A$1:$I$89,3,0)*VLOOKUP('Données projet'!$B$11,Paramètres!$A$1:$I$89,5,0)</f>
        <v>263.74241400000022</v>
      </c>
      <c r="BF75" s="13">
        <f t="shared" si="91"/>
        <v>63.519444659628142</v>
      </c>
      <c r="BG75" s="20">
        <f t="shared" si="61"/>
        <v>569.98107049885277</v>
      </c>
      <c r="BH75" s="59">
        <f t="shared" si="62"/>
        <v>863.31440383218614</v>
      </c>
      <c r="BI75" s="59">
        <f ca="1">AVERAGE(OFFSET($BH$3,0,0,'Données projet'!$E$11+1,1))-AVERAGE(OFFSET($H$3,0,0,'Données projet'!$E$11+1,1))</f>
        <v>573.17174498173017</v>
      </c>
      <c r="BJ75" s="59">
        <f t="shared" si="92"/>
        <v>260.48854096157231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7.175357885863443</v>
      </c>
      <c r="BQ75" s="21">
        <f>EXP(-LN(2)/25)*BQ74+(1-EXP(-LN(2)/25))/(LN(2)/25)*Calculateur!BL75*Calculateur!BN75*VLOOKUP('Données projet'!$B$11,Paramètres!$A$1:$I$89,3,0)*0.475*44/12</f>
        <v>28.635121548369614</v>
      </c>
      <c r="BR75" s="21">
        <f>EXP(-LN(2)/2)*BR74+(1-EXP(-LN(2)/2))/(LN(2)/2)*BL75*BO75*VLOOKUP('Données projet'!$B$11,Paramètres!$A$1:$I$89,3,0)*0.475*44/12</f>
        <v>0.63994404277505157</v>
      </c>
      <c r="BS75" s="22">
        <f t="shared" si="63"/>
        <v>36.450423477008108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9.733749999999997</v>
      </c>
      <c r="BY75" s="12">
        <f>IF('Données projet'!$A$114&gt;35,BY74+BX75-CG74,IF(A75&lt;'Données projet'!$A$114,$BV$205^A75,IF(A75='Données projet'!$A$114,'Données projet'!$B$114,BY74+BX75-CG74)))</f>
        <v>291.49250000000029</v>
      </c>
      <c r="BZ75" s="13">
        <f>BY75*VLOOKUP('Données projet'!$B$12,Paramètres!$A$1:$I$89,3,0)*VLOOKUP('Données projet'!$B$12,Paramètres!$A$1:$I$89,5,0)</f>
        <v>277.38426300000032</v>
      </c>
      <c r="CA75" s="13">
        <f t="shared" si="93"/>
        <v>66.413926862937842</v>
      </c>
      <c r="CB75" s="20">
        <f t="shared" si="64"/>
        <v>598.78184734461729</v>
      </c>
      <c r="CC75" s="59">
        <f t="shared" si="65"/>
        <v>892.11518067795055</v>
      </c>
      <c r="CD75" s="59">
        <f ca="1">AVERAGE(OFFSET($CC$3,0,0,'Données projet'!$E$12+1,1))-AVERAGE(OFFSET($H$3,0,0,'Données projet'!$E$12+1,1))</f>
        <v>603.61135046904178</v>
      </c>
      <c r="CE75" s="59">
        <f t="shared" si="94"/>
        <v>272.84936867513068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7.5464970868563803</v>
      </c>
      <c r="CL75" s="21">
        <f>EXP(-LN(2)/25)*CL74+(1-EXP(-LN(2)/25))/(LN(2)/25)*Calculateur!CG75*Calculateur!CI75*VLOOKUP('Données projet'!$B$12,Paramètres!$A$1:$I$89,3,0)*0.475*44/12</f>
        <v>30.116248525009414</v>
      </c>
      <c r="CM75" s="21">
        <f>EXP(-LN(2)/2)*CM74+(1-EXP(-LN(2)/2))/(LN(2)/2)*CG75*CJ75*VLOOKUP('Données projet'!$B$12,Paramètres!$A$1:$I$89,3,0)*0.475*44/12</f>
        <v>0.67304459671169214</v>
      </c>
      <c r="CN75" s="22">
        <f t="shared" si="66"/>
        <v>38.335790208577485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21.921900000000001</v>
      </c>
      <c r="D76" s="11">
        <f t="shared" si="86"/>
        <v>7.0526451905829166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123.01473572142221</v>
      </c>
      <c r="H76" s="67">
        <f t="shared" si="56"/>
        <v>307.13066620693195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2.4358974358974366</v>
      </c>
      <c r="N76" s="13">
        <f>IF('Données projet'!$A$36&gt;35,N75+M76-V75,IF(A76&lt;'Données projet'!$A$36,$K$205^A76,IF(A76='Données projet'!$A$36,'Données projet'!$B$36,N75+M76-V75)))</f>
        <v>138.07692307692315</v>
      </c>
      <c r="O76" s="13">
        <f>N76*VLOOKUP('Données projet'!$B$9,Paramètres!$A$1:$I$89,3,0)*VLOOKUP('Données projet'!$B$9,Paramètres!$A$1:$I$89,5,0)</f>
        <v>144.3180000000001</v>
      </c>
      <c r="P76" s="13">
        <f t="shared" si="87"/>
        <v>37.284443058265509</v>
      </c>
      <c r="Q76" s="20">
        <f t="shared" si="54"/>
        <v>316.29092165981257</v>
      </c>
      <c r="R76" s="59">
        <f t="shared" si="55"/>
        <v>609.62425499314588</v>
      </c>
      <c r="S76" s="59">
        <f ca="1">AVERAGE(OFFSET($R$3,0,0,'Données projet'!$E$9+1,1))-AVERAGE(OFFSET($H$3,0,0,'Données projet'!$E$9+1,1))</f>
        <v>225.9892575177542</v>
      </c>
      <c r="T76" s="59">
        <f t="shared" si="88"/>
        <v>215.88467215650428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1.8314006171344104</v>
      </c>
      <c r="AA76" s="21">
        <f>EXP(-LN(2)/25)*AA75+(1-EXP(-LN(2)/25))/(LN(2)/25)*Calculateur!V76*Calculateur!X76*VLOOKUP('Données projet'!$B$9,Paramètres!$A$1:$I$89,3,0)*0.475*44/12</f>
        <v>18.182517439073028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20.013918056207437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9.733749999999997</v>
      </c>
      <c r="AI76" s="13">
        <f>IF('Données projet'!$A$62&gt;35,AI75+AH76-AQ75,IF(A76&lt;'Données projet'!$A$62,$AF$205^A76,IF(A76='Données projet'!$A$62,'Données projet'!$B$62,AI75+AH76-AQ75)))</f>
        <v>301.22625000000028</v>
      </c>
      <c r="AJ76" s="13">
        <f>AI76*VLOOKUP('Données projet'!$B$10,Paramètres!$A$1:$I$89,3,0)*VLOOKUP('Données projet'!$B$10,Paramètres!$A$1:$I$89,5,0)</f>
        <v>305.44341750000029</v>
      </c>
      <c r="AK76" s="13">
        <f t="shared" si="89"/>
        <v>72.316415847426583</v>
      </c>
      <c r="AL76" s="20">
        <f t="shared" si="58"/>
        <v>657.93170974676843</v>
      </c>
      <c r="AM76" s="59">
        <f t="shared" si="59"/>
        <v>951.2650430801018</v>
      </c>
      <c r="AN76" s="59">
        <f ca="1">AVERAGE(OFFSET($AM$3,0,0,'Données projet'!$E$10+1,1))-AVERAGE(OFFSET($H$3,0,0,'Données projet'!$E$10+1,1))</f>
        <v>644.15138437063933</v>
      </c>
      <c r="AO76" s="59">
        <f t="shared" si="90"/>
        <v>289.3097279858207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7.883663398737216</v>
      </c>
      <c r="AV76" s="21">
        <f>EXP(-LN(2)/25)*AV75+(1-EXP(-LN(2)/25))/(LN(2)/25)*Calculateur!AQ76*Calculateur!AS76*VLOOKUP('Données projet'!$B$10,Paramètres!$A$1:$I$89,3,0)*0.475*44/12</f>
        <v>31.213552100781044</v>
      </c>
      <c r="AW76" s="21">
        <f>EXP(-LN(2)/2)*AW75+(1-EXP(-LN(2)/2))/(LN(2)/2)*AQ76*AT76*VLOOKUP('Données projet'!$B$10,Paramètres!$A$1:$I$89,3,0)*0.475*44/12</f>
        <v>0.50712189990864232</v>
      </c>
      <c r="AX76" s="21">
        <f t="shared" si="60"/>
        <v>39.604337399426896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9.733749999999997</v>
      </c>
      <c r="BD76" s="12">
        <f>IF('Données projet'!$A$88&gt;35,BD75+BC76-BL75,IF(A76&lt;'Données projet'!$A$88,$BA$205^A76,IF(A76='Données projet'!$A$88,'Données projet'!$B$88,BD75+BC76-BL75)))</f>
        <v>301.22625000000028</v>
      </c>
      <c r="BE76" s="13">
        <f>BD76*VLOOKUP('Données projet'!$B$11,Paramètres!$A$1:$I$89,3,0)*VLOOKUP('Données projet'!$B$11,Paramètres!$A$1:$I$89,5,0)</f>
        <v>272.54951100000028</v>
      </c>
      <c r="BF76" s="13">
        <f t="shared" si="91"/>
        <v>65.390043555628168</v>
      </c>
      <c r="BG76" s="20">
        <f t="shared" si="61"/>
        <v>588.57805751771946</v>
      </c>
      <c r="BH76" s="59">
        <f t="shared" si="62"/>
        <v>881.91139085105283</v>
      </c>
      <c r="BI76" s="59">
        <f ca="1">AVERAGE(OFFSET($BH$3,0,0,'Données projet'!$E$11+1,1))-AVERAGE(OFFSET($H$3,0,0,'Données projet'!$E$11+1,1))</f>
        <v>573.17174498173017</v>
      </c>
      <c r="BJ76" s="59">
        <f t="shared" si="92"/>
        <v>260.48854096157231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7.0346534942578245</v>
      </c>
      <c r="BQ76" s="21">
        <f>EXP(-LN(2)/25)*BQ75+(1-EXP(-LN(2)/25))/(LN(2)/25)*Calculateur!BL76*Calculateur!BN76*VLOOKUP('Données projet'!$B$11,Paramètres!$A$1:$I$89,3,0)*0.475*44/12</f>
        <v>27.852092643773851</v>
      </c>
      <c r="BR76" s="21">
        <f>EXP(-LN(2)/2)*BR75+(1-EXP(-LN(2)/2))/(LN(2)/2)*BL76*BO76*VLOOKUP('Données projet'!$B$11,Paramètres!$A$1:$I$89,3,0)*0.475*44/12</f>
        <v>0.45250877222617303</v>
      </c>
      <c r="BS76" s="22">
        <f t="shared" si="63"/>
        <v>35.33925491025785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9.733749999999997</v>
      </c>
      <c r="BY76" s="12">
        <f>IF('Données projet'!$A$114&gt;35,BY75+BX76-CG75,IF(A76&lt;'Données projet'!$A$114,$BV$205^A76,IF(A76='Données projet'!$A$114,'Données projet'!$B$114,BY75+BX76-CG75)))</f>
        <v>301.22625000000028</v>
      </c>
      <c r="BZ76" s="13">
        <f>BY76*VLOOKUP('Données projet'!$B$12,Paramètres!$A$1:$I$89,3,0)*VLOOKUP('Données projet'!$B$12,Paramètres!$A$1:$I$89,5,0)</f>
        <v>286.64689950000025</v>
      </c>
      <c r="CA76" s="13">
        <f t="shared" si="93"/>
        <v>68.369766038399021</v>
      </c>
      <c r="CB76" s="20">
        <f t="shared" si="64"/>
        <v>618.32069247937864</v>
      </c>
      <c r="CC76" s="59">
        <f t="shared" si="65"/>
        <v>911.65402581271201</v>
      </c>
      <c r="CD76" s="59">
        <f ca="1">AVERAGE(OFFSET($CC$3,0,0,'Données projet'!$E$12+1,1))-AVERAGE(OFFSET($H$3,0,0,'Données projet'!$E$12+1,1))</f>
        <v>603.61135046904178</v>
      </c>
      <c r="CE76" s="59">
        <f t="shared" si="94"/>
        <v>272.84936867513068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7.3985148818918498</v>
      </c>
      <c r="CL76" s="21">
        <f>EXP(-LN(2)/25)*CL75+(1-EXP(-LN(2)/25))/(LN(2)/25)*Calculateur!CG76*Calculateur!CI76*VLOOKUP('Données projet'!$B$12,Paramètres!$A$1:$I$89,3,0)*0.475*44/12</f>
        <v>29.292718125348355</v>
      </c>
      <c r="CM76" s="21">
        <f>EXP(-LN(2)/2)*CM75+(1-EXP(-LN(2)/2))/(LN(2)/2)*CG76*CJ76*VLOOKUP('Données projet'!$B$12,Paramètres!$A$1:$I$89,3,0)*0.475*44/12</f>
        <v>0.47591439837580263</v>
      </c>
      <c r="CN76" s="22">
        <f t="shared" si="66"/>
        <v>37.167147405616006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22.222200000000001</v>
      </c>
      <c r="D77" s="11">
        <f t="shared" si="86"/>
        <v>7.1379434664012633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124.65183717314225</v>
      </c>
      <c r="H77" s="67">
        <f t="shared" si="56"/>
        <v>307.80224987064889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2.4358974358974366</v>
      </c>
      <c r="N77" s="13">
        <f>IF('Données projet'!$A$36&gt;35,N76+M77-V76,IF(A77&lt;'Données projet'!$A$36,$K$205^A77,IF(A77='Données projet'!$A$36,'Données projet'!$B$36,N76+M77-V76)))</f>
        <v>140.51282051282058</v>
      </c>
      <c r="O77" s="13">
        <f>N77*VLOOKUP('Données projet'!$B$9,Paramètres!$A$1:$I$89,3,0)*VLOOKUP('Données projet'!$B$9,Paramètres!$A$1:$I$89,5,0)</f>
        <v>146.86400000000009</v>
      </c>
      <c r="P77" s="13">
        <f t="shared" si="87"/>
        <v>37.865044394930777</v>
      </c>
      <c r="Q77" s="20">
        <f t="shared" si="54"/>
        <v>321.73641898783791</v>
      </c>
      <c r="R77" s="59">
        <f t="shared" si="55"/>
        <v>615.06975232117122</v>
      </c>
      <c r="S77" s="59">
        <f ca="1">AVERAGE(OFFSET($R$3,0,0,'Données projet'!$E$9+1,1))-AVERAGE(OFFSET($H$3,0,0,'Données projet'!$E$9+1,1))</f>
        <v>225.9892575177542</v>
      </c>
      <c r="T77" s="59">
        <f t="shared" si="88"/>
        <v>215.88467215650428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1.7954879680764821</v>
      </c>
      <c r="AA77" s="21">
        <f>EXP(-LN(2)/25)*AA76+(1-EXP(-LN(2)/25))/(LN(2)/25)*Calculateur!V77*Calculateur!X77*VLOOKUP('Données projet'!$B$9,Paramètres!$A$1:$I$89,3,0)*0.475*44/12</f>
        <v>17.685315543524542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19.480803511601025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9.733749999999997</v>
      </c>
      <c r="AH77" s="12">
        <f t="array" ref="AH77">INDEX(AG:AG,MIN(IF(ISNUMBER(AG77:AG273),ROW(AG77:AG273),"")))</f>
        <v>9.733749999999997</v>
      </c>
      <c r="AI77" s="13">
        <f>IF('Données projet'!$A$62&gt;35,AI76+AH77-AQ76,IF(A77&lt;'Données projet'!$A$62,$AF$205^A77,IF(A77='Données projet'!$A$62,'Données projet'!$B$62,AI76+AH77-AQ76)))</f>
        <v>310.96000000000026</v>
      </c>
      <c r="AJ77" s="13">
        <f>AI77*VLOOKUP('Données projet'!$B$10,Paramètres!$A$1:$I$89,3,0)*VLOOKUP('Données projet'!$B$10,Paramètres!$A$1:$I$89,5,0)</f>
        <v>315.31344000000024</v>
      </c>
      <c r="AK77" s="13">
        <f t="shared" si="89"/>
        <v>74.377387976510789</v>
      </c>
      <c r="AL77" s="20">
        <f t="shared" si="58"/>
        <v>678.71152539242337</v>
      </c>
      <c r="AM77" s="59">
        <f t="shared" si="59"/>
        <v>972.04485872575674</v>
      </c>
      <c r="AN77" s="59">
        <f ca="1">AVERAGE(OFFSET($AM$3,0,0,'Données projet'!$E$10+1,1))-AVERAGE(OFFSET($H$3,0,0,'Données projet'!$E$10+1,1))</f>
        <v>644.15138437063933</v>
      </c>
      <c r="AO77" s="59">
        <f t="shared" si="90"/>
        <v>289.3097279858207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51.339999999999975</v>
      </c>
      <c r="AR77" s="16">
        <f>IF(ISNA(VLOOKUP(A77,'Données projet'!$A$61:$I$81,5,0)),0%,VLOOKUP(A77,'Données projet'!$A$61:$I$81,5,0)*VLOOKUP('Données projet'!$B$10,Paramètres!$A$1:$I$89,7,0))</f>
        <v>0.15049999999999999</v>
      </c>
      <c r="AS77" s="16">
        <f>IF(ISNA(VLOOKUP(A77,'Données projet'!$A$61:$I$81,6,0)),0%,VLOOKUP(A77,'Données projet'!$A$61:$I$81,6,0)*VLOOKUP('Données projet'!$B$10,Paramètres!$A$1:$I$89,7,0))</f>
        <v>8.6000000000000007E-2</v>
      </c>
      <c r="AT77" s="16">
        <f>IF(ISNA(VLOOKUP(A77,'Données projet'!$A$61:$I$81,7,0)),0%,VLOOKUP(A77,'Données projet'!$A$61:$I$81,7,0))</f>
        <v>0.1</v>
      </c>
      <c r="AU77" s="21">
        <f>EXP(-LN(2)/35)*AU76+(1-EXP(-LN(2)/35))/(LN(2)/35)*AQ77*AR77*VLOOKUP('Données projet'!$B$10,Paramètres!$A$1:$I$89,3,0)*0.475*44/12</f>
        <v>16.390256852917666</v>
      </c>
      <c r="AV77" s="21">
        <f>EXP(-LN(2)/25)*AV76+(1-EXP(-LN(2)/25))/(LN(2)/25)*Calculateur!AQ77*Calculateur!AS77*VLOOKUP('Données projet'!$B$10,Paramètres!$A$1:$I$89,3,0)*0.475*44/12</f>
        <v>35.289778671626223</v>
      </c>
      <c r="AW77" s="21">
        <f>EXP(-LN(2)/2)*AW76+(1-EXP(-LN(2)/2))/(LN(2)/2)*AQ77*AT77*VLOOKUP('Données projet'!$B$10,Paramètres!$A$1:$I$89,3,0)*0.475*44/12</f>
        <v>5.2704734544118432</v>
      </c>
      <c r="AX77" s="21">
        <f t="shared" si="60"/>
        <v>56.950508978955732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310.95999999999998</v>
      </c>
      <c r="BB77" s="12">
        <f>VLOOKUP(A77,'Données projet'!$A$87:$I$107,9,0)</f>
        <v>9.733749999999997</v>
      </c>
      <c r="BC77" s="12">
        <f t="array" ref="BC77">INDEX(BB:BB,MIN(IF(ISNUMBER(BB77:BB273),ROW(BB77:BB273),"")))</f>
        <v>9.733749999999997</v>
      </c>
      <c r="BD77" s="12">
        <f>IF('Données projet'!$A$88&gt;35,BD76+BC77-BL76,IF(A77&lt;'Données projet'!$A$88,$BA$205^A77,IF(A77='Données projet'!$A$88,'Données projet'!$B$88,BD76+BC77-BL76)))</f>
        <v>310.96000000000026</v>
      </c>
      <c r="BE77" s="13">
        <f>BD77*VLOOKUP('Données projet'!$B$11,Paramètres!$A$1:$I$89,3,0)*VLOOKUP('Données projet'!$B$11,Paramètres!$A$1:$I$89,5,0)</f>
        <v>281.35660800000022</v>
      </c>
      <c r="BF77" s="13">
        <f t="shared" si="91"/>
        <v>67.253618453644265</v>
      </c>
      <c r="BG77" s="20">
        <f t="shared" si="61"/>
        <v>607.16281107343082</v>
      </c>
      <c r="BH77" s="59">
        <f t="shared" si="62"/>
        <v>900.49614440676419</v>
      </c>
      <c r="BI77" s="59">
        <f ca="1">AVERAGE(OFFSET($BH$3,0,0,'Données projet'!$E$11+1,1))-AVERAGE(OFFSET($H$3,0,0,'Données projet'!$E$11+1,1))</f>
        <v>573.17174498173017</v>
      </c>
      <c r="BJ77" s="59">
        <f t="shared" si="92"/>
        <v>260.48854096157231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51.339999999999975</v>
      </c>
      <c r="BM77" s="16">
        <f>IF(ISNA(VLOOKUP(A77,'Données projet'!$A$87:$I$107,5,0)),0%,VLOOKUP(A77,'Données projet'!$A$87:$I$107,5,0)*VLOOKUP('Données projet'!$B$11,Paramètres!$A$1:$I$89,7,0))</f>
        <v>0.15049999999999999</v>
      </c>
      <c r="BN77" s="16">
        <f>IF(ISNA(VLOOKUP(A77,'Données projet'!$A$87:$I$107,6,0)),0%,VLOOKUP(A77,'Données projet'!$A$87:$I$107,6,0)*VLOOKUP('Données projet'!$B$11,Paramètres!$A$1:$I$89,7,0))</f>
        <v>8.6000000000000007E-2</v>
      </c>
      <c r="BO77" s="16">
        <f>IF(ISNA(VLOOKUP(A77,'Données projet'!$A$87:$I$107,7,0)),0%,VLOOKUP(A77,'Données projet'!$A$87:$I$107,7,0))</f>
        <v>0.1</v>
      </c>
      <c r="BP77" s="21">
        <f>EXP(-LN(2)/35)*BP76+(1-EXP(-LN(2)/35))/(LN(2)/35)*BL77*BM77*VLOOKUP('Données projet'!$B$11,Paramètres!$A$1:$I$89,3,0)*0.475*44/12</f>
        <v>14.625152268757301</v>
      </c>
      <c r="BQ77" s="21">
        <f>EXP(-LN(2)/25)*BQ76+(1-EXP(-LN(2)/25))/(LN(2)/25)*Calculateur!BL77*Calculateur!BN77*VLOOKUP('Données projet'!$B$11,Paramètres!$A$1:$I$89,3,0)*0.475*44/12</f>
        <v>31.489340968528012</v>
      </c>
      <c r="BR77" s="21">
        <f>EXP(-LN(2)/2)*BR76+(1-EXP(-LN(2)/2))/(LN(2)/2)*BL77*BO77*VLOOKUP('Données projet'!$B$11,Paramètres!$A$1:$I$89,3,0)*0.475*44/12</f>
        <v>4.7028840054751821</v>
      </c>
      <c r="BS77" s="22">
        <f t="shared" si="63"/>
        <v>50.8173772427605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310.95999999999998</v>
      </c>
      <c r="BW77" s="12">
        <f>VLOOKUP(A77,'Données projet'!$A$113:$I$133,9,0)</f>
        <v>9.733749999999997</v>
      </c>
      <c r="BX77" s="12">
        <f t="array" ref="BX77">INDEX(BW:BW,MIN(IF(ISNUMBER(BW77:BW273),ROW(BW77:BW273),"")))</f>
        <v>9.733749999999997</v>
      </c>
      <c r="BY77" s="12">
        <f>IF('Données projet'!$A$114&gt;35,BY76+BX77-CG76,IF(A77&lt;'Données projet'!$A$114,$BV$205^A77,IF(A77='Données projet'!$A$114,'Données projet'!$B$114,BY76+BX77-CG76)))</f>
        <v>310.96000000000026</v>
      </c>
      <c r="BZ77" s="13">
        <f>BY77*VLOOKUP('Données projet'!$B$12,Paramètres!$A$1:$I$89,3,0)*VLOOKUP('Données projet'!$B$12,Paramètres!$A$1:$I$89,5,0)</f>
        <v>295.90953600000029</v>
      </c>
      <c r="CA77" s="13">
        <f t="shared" si="93"/>
        <v>70.318261143223381</v>
      </c>
      <c r="CB77" s="20">
        <f t="shared" si="64"/>
        <v>637.8467466911145</v>
      </c>
      <c r="CC77" s="59">
        <f t="shared" si="65"/>
        <v>931.18008002444776</v>
      </c>
      <c r="CD77" s="59">
        <f ca="1">AVERAGE(OFFSET($CC$3,0,0,'Données projet'!$E$12+1,1))-AVERAGE(OFFSET($H$3,0,0,'Données projet'!$E$12+1,1))</f>
        <v>603.61135046904178</v>
      </c>
      <c r="CE77" s="59">
        <f t="shared" si="94"/>
        <v>272.84936867513068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51.339999999999975</v>
      </c>
      <c r="CH77" s="16">
        <f>IF(ISNA(VLOOKUP(A77,'Données projet'!$A$113:$I$133,5,0)),0%,VLOOKUP(A77,'Données projet'!$A$113:$I$133,5,0)*VLOOKUP('Données projet'!$B$12,Paramètres!$A$1:$I$89,7,0))</f>
        <v>0.15049999999999999</v>
      </c>
      <c r="CI77" s="16">
        <f>IF(ISNA(VLOOKUP(A77,'Données projet'!$A$113:$I$133,6,0)),0%,VLOOKUP(A77,'Données projet'!$A$113:$I$133,6,0)*VLOOKUP('Données projet'!$B$12,Paramètres!$A$1:$I$89,7,0))</f>
        <v>8.6000000000000007E-2</v>
      </c>
      <c r="CJ77" s="16">
        <f>IF(ISNA(VLOOKUP(A77,'Données projet'!$A$113:$I$133,7,0)),0%,VLOOKUP(A77,'Données projet'!$A$113:$I$133,7,0))</f>
        <v>0.1</v>
      </c>
      <c r="CK77" s="21">
        <f>EXP(-LN(2)/35)*CK76+(1-EXP(-LN(2)/35))/(LN(2)/35)*CG77*CH77*VLOOKUP('Données projet'!$B$12,Paramètres!$A$1:$I$89,3,0)*0.475*44/12</f>
        <v>15.381625661968885</v>
      </c>
      <c r="CL77" s="21">
        <f>EXP(-LN(2)/25)*CL76+(1-EXP(-LN(2)/25))/(LN(2)/25)*Calculateur!CG77*Calculateur!CI77*VLOOKUP('Données projet'!$B$12,Paramètres!$A$1:$I$89,3,0)*0.475*44/12</f>
        <v>33.118099984141523</v>
      </c>
      <c r="CM77" s="21">
        <f>EXP(-LN(2)/2)*CM76+(1-EXP(-LN(2)/2))/(LN(2)/2)*CG77*CJ77*VLOOKUP('Données projet'!$B$12,Paramètres!$A$1:$I$89,3,0)*0.475*44/12</f>
        <v>4.9461366264480375</v>
      </c>
      <c r="CN77" s="22">
        <f t="shared" si="66"/>
        <v>53.445862272558443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22.522500000000001</v>
      </c>
      <c r="D78" s="11">
        <f t="shared" si="86"/>
        <v>7.2231076714913254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126.28836941229655</v>
      </c>
      <c r="H78" s="67">
        <f t="shared" si="56"/>
        <v>308.4736000278474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142.94871794871796</v>
      </c>
      <c r="L78" s="12">
        <f>VLOOKUP(A78,'Données projet'!$A$35:$I$55,9,0)</f>
        <v>2.4358974358974366</v>
      </c>
      <c r="M78" s="12">
        <f t="array" ref="M78">INDEX(L:L,MIN(IF(ISNUMBER(L78:L274),ROW(L78:L274),"")))</f>
        <v>2.4358974358974366</v>
      </c>
      <c r="N78" s="13">
        <f>IF('Données projet'!$A$36&gt;35,N77+M78-V77,IF(A78&lt;'Données projet'!$A$36,$K$205^A78,IF(A78='Données projet'!$A$36,'Données projet'!$B$36,N77+M78-V77)))</f>
        <v>142.94871794871801</v>
      </c>
      <c r="O78" s="13">
        <f>N78*VLOOKUP('Données projet'!$B$9,Paramètres!$A$1:$I$89,3,0)*VLOOKUP('Données projet'!$B$9,Paramètres!$A$1:$I$89,5,0)</f>
        <v>149.41000000000008</v>
      </c>
      <c r="P78" s="13">
        <f t="shared" si="87"/>
        <v>38.444475265192452</v>
      </c>
      <c r="Q78" s="20">
        <f t="shared" si="54"/>
        <v>327.17987775354368</v>
      </c>
      <c r="R78" s="59">
        <f t="shared" si="55"/>
        <v>620.51321108687694</v>
      </c>
      <c r="S78" s="59">
        <f ca="1">AVERAGE(OFFSET($R$3,0,0,'Données projet'!$E$9+1,1))-AVERAGE(OFFSET($H$3,0,0,'Données projet'!$E$9+1,1))</f>
        <v>225.9892575177542</v>
      </c>
      <c r="T78" s="59">
        <f t="shared" si="88"/>
        <v>215.88467215650428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8.9743589743589745</v>
      </c>
      <c r="W78" s="16">
        <f>IF(ISNA(VLOOKUP(A78,'Données projet'!$A$35:$I$55,5,0)),0%,VLOOKUP(A78,'Données projet'!$A$35:$I$55,5,0)*VLOOKUP('Données projet'!$B$9,Paramètres!$A$1:$I$89,7,0))</f>
        <v>4.3000000000000003E-2</v>
      </c>
      <c r="X78" s="16">
        <f>IF(ISNA(VLOOKUP(A78,'Données projet'!$A$35:$I$55,6,0)),0%,VLOOKUP(A78,'Données projet'!$A$35:$I$55,6,0)*VLOOKUP('Données projet'!$B$9,Paramètres!$A$1:$I$89,7,0))</f>
        <v>0.215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2.2061599670428471</v>
      </c>
      <c r="AA78" s="21">
        <f>EXP(-LN(2)/25)*AA77+(1-EXP(-LN(2)/25))/(LN(2)/25)*Calculateur!V78*Calculateur!X78*VLOOKUP('Données projet'!$B$9,Paramètres!$A$1:$I$89,3,0)*0.475*44/12</f>
        <v>19.422333768767427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21.628493735810274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9.546999999999997</v>
      </c>
      <c r="AI78" s="13">
        <f>IF('Données projet'!$A$62&gt;35,AI77+AH78-AQ77,IF(A78&lt;'Données projet'!$A$62,$AF$205^A78,IF(A78='Données projet'!$A$62,'Données projet'!$B$62,AI77+AH78-AQ77)))</f>
        <v>269.16700000000031</v>
      </c>
      <c r="AJ78" s="13">
        <f>AI78*VLOOKUP('Données projet'!$B$10,Paramètres!$A$1:$I$89,3,0)*VLOOKUP('Données projet'!$B$10,Paramètres!$A$1:$I$89,5,0)</f>
        <v>272.93533800000034</v>
      </c>
      <c r="AK78" s="13">
        <f t="shared" si="89"/>
        <v>65.471829519996945</v>
      </c>
      <c r="AL78" s="20">
        <f t="shared" si="58"/>
        <v>589.39248343066197</v>
      </c>
      <c r="AM78" s="59">
        <f t="shared" si="59"/>
        <v>882.72581676399523</v>
      </c>
      <c r="AN78" s="59">
        <f ca="1">AVERAGE(OFFSET($AM$3,0,0,'Données projet'!$E$10+1,1))-AVERAGE(OFFSET($H$3,0,0,'Données projet'!$E$10+1,1))</f>
        <v>644.15138437063933</v>
      </c>
      <c r="AO78" s="59">
        <f t="shared" si="90"/>
        <v>289.3097279858207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16.068853913101503</v>
      </c>
      <c r="AV78" s="21">
        <f>EXP(-LN(2)/25)*AV77+(1-EXP(-LN(2)/25))/(LN(2)/25)*Calculateur!AQ78*Calculateur!AS78*VLOOKUP('Données projet'!$B$10,Paramètres!$A$1:$I$89,3,0)*0.475*44/12</f>
        <v>34.324777818041802</v>
      </c>
      <c r="AW78" s="21">
        <f>EXP(-LN(2)/2)*AW77+(1-EXP(-LN(2)/2))/(LN(2)/2)*AQ78*AT78*VLOOKUP('Données projet'!$B$10,Paramètres!$A$1:$I$89,3,0)*0.475*44/12</f>
        <v>3.7267875196783029</v>
      </c>
      <c r="AX78" s="21">
        <f t="shared" si="60"/>
        <v>54.120419250821605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9.546999999999997</v>
      </c>
      <c r="BD78" s="12">
        <f>IF('Données projet'!$A$88&gt;35,BD77+BC78-BL77,IF(A78&lt;'Données projet'!$A$88,$BA$205^A78,IF(A78='Données projet'!$A$88,'Données projet'!$B$88,BD77+BC78-BL77)))</f>
        <v>269.16700000000031</v>
      </c>
      <c r="BE78" s="13">
        <f>BD78*VLOOKUP('Données projet'!$B$11,Paramètres!$A$1:$I$89,3,0)*VLOOKUP('Données projet'!$B$11,Paramètres!$A$1:$I$89,5,0)</f>
        <v>243.54230160000029</v>
      </c>
      <c r="BF78" s="13">
        <f t="shared" si="91"/>
        <v>59.201022808040776</v>
      </c>
      <c r="BG78" s="20">
        <f t="shared" si="61"/>
        <v>527.27795667733812</v>
      </c>
      <c r="BH78" s="59">
        <f t="shared" si="62"/>
        <v>820.61129001067138</v>
      </c>
      <c r="BI78" s="59">
        <f ca="1">AVERAGE(OFFSET($BH$3,0,0,'Données projet'!$E$11+1,1))-AVERAGE(OFFSET($H$3,0,0,'Données projet'!$E$11+1,1))</f>
        <v>573.17174498173017</v>
      </c>
      <c r="BJ78" s="59">
        <f t="shared" si="92"/>
        <v>260.48854096157231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14.338361953229031</v>
      </c>
      <c r="BQ78" s="21">
        <f>EXP(-LN(2)/25)*BQ77+(1-EXP(-LN(2)/25))/(LN(2)/25)*Calculateur!BL78*Calculateur!BN78*VLOOKUP('Données projet'!$B$11,Paramètres!$A$1:$I$89,3,0)*0.475*44/12</f>
        <v>30.628263283791142</v>
      </c>
      <c r="BR78" s="21">
        <f>EXP(-LN(2)/2)*BR77+(1-EXP(-LN(2)/2))/(LN(2)/2)*BL78*BO78*VLOOKUP('Données projet'!$B$11,Paramètres!$A$1:$I$89,3,0)*0.475*44/12</f>
        <v>3.3254411714052541</v>
      </c>
      <c r="BS78" s="22">
        <f t="shared" si="63"/>
        <v>48.292066408425427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9.546999999999997</v>
      </c>
      <c r="BY78" s="12">
        <f>IF('Données projet'!$A$114&gt;35,BY77+BX78-CG77,IF(A78&lt;'Données projet'!$A$114,$BV$205^A78,IF(A78='Données projet'!$A$114,'Données projet'!$B$114,BY77+BX78-CG77)))</f>
        <v>269.16700000000031</v>
      </c>
      <c r="BZ78" s="13">
        <f>BY78*VLOOKUP('Données projet'!$B$12,Paramètres!$A$1:$I$89,3,0)*VLOOKUP('Données projet'!$B$12,Paramètres!$A$1:$I$89,5,0)</f>
        <v>256.13931720000033</v>
      </c>
      <c r="CA78" s="13">
        <f t="shared" si="93"/>
        <v>61.898721250680353</v>
      </c>
      <c r="CB78" s="20">
        <f t="shared" si="64"/>
        <v>553.91625030160219</v>
      </c>
      <c r="CC78" s="59">
        <f t="shared" si="65"/>
        <v>847.24958363493556</v>
      </c>
      <c r="CD78" s="59">
        <f ca="1">AVERAGE(OFFSET($CC$3,0,0,'Données projet'!$E$12+1,1))-AVERAGE(OFFSET($H$3,0,0,'Données projet'!$E$12+1,1))</f>
        <v>603.61135046904178</v>
      </c>
      <c r="CE78" s="59">
        <f t="shared" si="94"/>
        <v>272.84936867513068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15.080001364602946</v>
      </c>
      <c r="CL78" s="21">
        <f>EXP(-LN(2)/25)*CL77+(1-EXP(-LN(2)/25))/(LN(2)/25)*Calculateur!CG78*Calculateur!CI78*VLOOKUP('Données projet'!$B$12,Paramètres!$A$1:$I$89,3,0)*0.475*44/12</f>
        <v>32.212483798469989</v>
      </c>
      <c r="CM78" s="21">
        <f>EXP(-LN(2)/2)*CM77+(1-EXP(-LN(2)/2))/(LN(2)/2)*CG78*CJ78*VLOOKUP('Données projet'!$B$12,Paramètres!$A$1:$I$89,3,0)*0.475*44/12</f>
        <v>3.4974467492365608</v>
      </c>
      <c r="CN78" s="22">
        <f t="shared" si="66"/>
        <v>50.789931912309498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22.822800000000001</v>
      </c>
      <c r="D79" s="11">
        <f t="shared" si="86"/>
        <v>7.3081398001116291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127.9243409057371</v>
      </c>
      <c r="H79" s="67">
        <f t="shared" si="56"/>
        <v>309.14472015186112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2.3076923076923093</v>
      </c>
      <c r="N79" s="13">
        <f>IF('Données projet'!$A$36&gt;35,N78+M79-V78,IF(A79&lt;'Données projet'!$A$36,$K$205^A79,IF(A79='Données projet'!$A$36,'Données projet'!$B$36,N78+M79-V78)))</f>
        <v>136.28205128205136</v>
      </c>
      <c r="O79" s="13">
        <f>N79*VLOOKUP('Données projet'!$B$9,Paramètres!$A$1:$I$89,3,0)*VLOOKUP('Données projet'!$B$9,Paramètres!$A$1:$I$89,5,0)</f>
        <v>142.44200000000009</v>
      </c>
      <c r="P79" s="13">
        <f t="shared" si="87"/>
        <v>36.855869139220644</v>
      </c>
      <c r="Q79" s="20">
        <f t="shared" si="54"/>
        <v>312.27712208414272</v>
      </c>
      <c r="R79" s="59">
        <f t="shared" si="55"/>
        <v>605.61045541747603</v>
      </c>
      <c r="S79" s="59">
        <f ca="1">AVERAGE(OFFSET($R$3,0,0,'Données projet'!$E$9+1,1))-AVERAGE(OFFSET($H$3,0,0,'Données projet'!$E$9+1,1))</f>
        <v>225.9892575177542</v>
      </c>
      <c r="T79" s="59">
        <f t="shared" si="88"/>
        <v>215.88467215650428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2.1628985157138474</v>
      </c>
      <c r="AA79" s="21">
        <f>EXP(-LN(2)/25)*AA78+(1-EXP(-LN(2)/25))/(LN(2)/25)*Calculateur!V79*Calculateur!X79*VLOOKUP('Données projet'!$B$9,Paramètres!$A$1:$I$89,3,0)*0.475*44/12</f>
        <v>18.89122903048434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21.054127546198188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9.546999999999997</v>
      </c>
      <c r="AI79" s="13">
        <f>IF('Données projet'!$A$62&gt;35,AI78+AH79-AQ78,IF(A79&lt;'Données projet'!$A$62,$AF$205^A79,IF(A79='Données projet'!$A$62,'Données projet'!$B$62,AI78+AH79-AQ78)))</f>
        <v>278.71400000000028</v>
      </c>
      <c r="AJ79" s="13">
        <f>AI79*VLOOKUP('Données projet'!$B$10,Paramètres!$A$1:$I$89,3,0)*VLOOKUP('Données projet'!$B$10,Paramètres!$A$1:$I$89,5,0)</f>
        <v>282.61599600000028</v>
      </c>
      <c r="AK79" s="13">
        <f t="shared" si="89"/>
        <v>67.519544470872418</v>
      </c>
      <c r="AL79" s="20">
        <f t="shared" si="58"/>
        <v>609.81939965343656</v>
      </c>
      <c r="AM79" s="59">
        <f t="shared" si="59"/>
        <v>903.15273298676993</v>
      </c>
      <c r="AN79" s="59">
        <f ca="1">AVERAGE(OFFSET($AM$3,0,0,'Données projet'!$E$10+1,1))-AVERAGE(OFFSET($H$3,0,0,'Données projet'!$E$10+1,1))</f>
        <v>644.15138437063933</v>
      </c>
      <c r="AO79" s="59">
        <f t="shared" si="90"/>
        <v>289.3097279858207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15.753753488898697</v>
      </c>
      <c r="AV79" s="21">
        <f>EXP(-LN(2)/25)*AV78+(1-EXP(-LN(2)/25))/(LN(2)/25)*Calculateur!AQ79*Calculateur!AS79*VLOOKUP('Données projet'!$B$10,Paramètres!$A$1:$I$89,3,0)*0.475*44/12</f>
        <v>33.386164963545838</v>
      </c>
      <c r="AW79" s="21">
        <f>EXP(-LN(2)/2)*AW78+(1-EXP(-LN(2)/2))/(LN(2)/2)*AQ79*AT79*VLOOKUP('Données projet'!$B$10,Paramètres!$A$1:$I$89,3,0)*0.475*44/12</f>
        <v>2.6352367272059221</v>
      </c>
      <c r="AX79" s="21">
        <f t="shared" si="60"/>
        <v>51.775155179650454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9.546999999999997</v>
      </c>
      <c r="BD79" s="12">
        <f>IF('Données projet'!$A$88&gt;35,BD78+BC79-BL78,IF(A79&lt;'Données projet'!$A$88,$BA$205^A79,IF(A79='Données projet'!$A$88,'Données projet'!$B$88,BD78+BC79-BL78)))</f>
        <v>278.71400000000028</v>
      </c>
      <c r="BE79" s="13">
        <f>BD79*VLOOKUP('Données projet'!$B$11,Paramètres!$A$1:$I$89,3,0)*VLOOKUP('Données projet'!$B$11,Paramètres!$A$1:$I$89,5,0)</f>
        <v>252.18042720000025</v>
      </c>
      <c r="BF79" s="13">
        <f t="shared" si="91"/>
        <v>61.052610283141384</v>
      </c>
      <c r="BG79" s="20">
        <f t="shared" si="61"/>
        <v>545.54754028313835</v>
      </c>
      <c r="BH79" s="59">
        <f t="shared" si="62"/>
        <v>838.88087361647172</v>
      </c>
      <c r="BI79" s="59">
        <f ca="1">AVERAGE(OFFSET($BH$3,0,0,'Données projet'!$E$11+1,1))-AVERAGE(OFFSET($H$3,0,0,'Données projet'!$E$11+1,1))</f>
        <v>573.17174498173017</v>
      </c>
      <c r="BJ79" s="59">
        <f t="shared" si="92"/>
        <v>260.48854096157231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14.057195420863451</v>
      </c>
      <c r="BQ79" s="21">
        <f>EXP(-LN(2)/25)*BQ78+(1-EXP(-LN(2)/25))/(LN(2)/25)*Calculateur!BL79*Calculateur!BN79*VLOOKUP('Données projet'!$B$11,Paramètres!$A$1:$I$89,3,0)*0.475*44/12</f>
        <v>29.790731813625509</v>
      </c>
      <c r="BR79" s="21">
        <f>EXP(-LN(2)/2)*BR78+(1-EXP(-LN(2)/2))/(LN(2)/2)*BL79*BO79*VLOOKUP('Données projet'!$B$11,Paramètres!$A$1:$I$89,3,0)*0.475*44/12</f>
        <v>2.3514420027375915</v>
      </c>
      <c r="BS79" s="22">
        <f t="shared" si="63"/>
        <v>46.199369237226556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9.546999999999997</v>
      </c>
      <c r="BY79" s="12">
        <f>IF('Données projet'!$A$114&gt;35,BY78+BX79-CG78,IF(A79&lt;'Données projet'!$A$114,$BV$205^A79,IF(A79='Données projet'!$A$114,'Données projet'!$B$114,BY78+BX79-CG78)))</f>
        <v>278.71400000000028</v>
      </c>
      <c r="BZ79" s="13">
        <f>BY79*VLOOKUP('Données projet'!$B$12,Paramètres!$A$1:$I$89,3,0)*VLOOKUP('Données projet'!$B$12,Paramètres!$A$1:$I$89,5,0)</f>
        <v>265.22424240000026</v>
      </c>
      <c r="CA79" s="13">
        <f t="shared" si="93"/>
        <v>63.834682684389406</v>
      </c>
      <c r="CB79" s="20">
        <f t="shared" si="64"/>
        <v>573.11096118864532</v>
      </c>
      <c r="CC79" s="59">
        <f t="shared" si="65"/>
        <v>866.44429452197869</v>
      </c>
      <c r="CD79" s="59">
        <f ca="1">AVERAGE(OFFSET($CC$3,0,0,'Données projet'!$E$12+1,1))-AVERAGE(OFFSET($H$3,0,0,'Données projet'!$E$12+1,1))</f>
        <v>603.61135046904178</v>
      </c>
      <c r="CE79" s="59">
        <f t="shared" si="94"/>
        <v>272.84936867513068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14.784291735735698</v>
      </c>
      <c r="CL79" s="21">
        <f>EXP(-LN(2)/25)*CL78+(1-EXP(-LN(2)/25))/(LN(2)/25)*Calculateur!CG79*Calculateur!CI79*VLOOKUP('Données projet'!$B$12,Paramètres!$A$1:$I$89,3,0)*0.475*44/12</f>
        <v>31.331631735019926</v>
      </c>
      <c r="CM79" s="21">
        <f>EXP(-LN(2)/2)*CM78+(1-EXP(-LN(2)/2))/(LN(2)/2)*CG79*CJ79*VLOOKUP('Données projet'!$B$12,Paramètres!$A$1:$I$89,3,0)*0.475*44/12</f>
        <v>2.4730683132240188</v>
      </c>
      <c r="CN79" s="22">
        <f t="shared" si="66"/>
        <v>48.588991783979644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23.123100000000001</v>
      </c>
      <c r="D80" s="11">
        <f t="shared" si="86"/>
        <v>7.3930417910235686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129.55975988469655</v>
      </c>
      <c r="H80" s="67">
        <f t="shared" si="56"/>
        <v>309.81561361936605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2.3076923076923093</v>
      </c>
      <c r="N80" s="13">
        <f>IF('Données projet'!$A$36&gt;35,N79+M80-V79,IF(A80&lt;'Données projet'!$A$36,$K$205^A80,IF(A80='Données projet'!$A$36,'Données projet'!$B$36,N79+M80-V79)))</f>
        <v>138.58974358974368</v>
      </c>
      <c r="O80" s="13">
        <f>N80*VLOOKUP('Données projet'!$B$9,Paramètres!$A$1:$I$89,3,0)*VLOOKUP('Données projet'!$B$9,Paramètres!$A$1:$I$89,5,0)</f>
        <v>144.8540000000001</v>
      </c>
      <c r="P80" s="13">
        <f t="shared" si="87"/>
        <v>37.406773318436038</v>
      </c>
      <c r="Q80" s="20">
        <f t="shared" si="54"/>
        <v>317.43751352960959</v>
      </c>
      <c r="R80" s="59">
        <f t="shared" si="55"/>
        <v>610.7708468629429</v>
      </c>
      <c r="S80" s="59">
        <f ca="1">AVERAGE(OFFSET($R$3,0,0,'Données projet'!$E$9+1,1))-AVERAGE(OFFSET($H$3,0,0,'Données projet'!$E$9+1,1))</f>
        <v>225.9892575177542</v>
      </c>
      <c r="T80" s="59">
        <f t="shared" si="88"/>
        <v>215.88467215650428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2.1204853950585294</v>
      </c>
      <c r="AA80" s="21">
        <f>EXP(-LN(2)/25)*AA79+(1-EXP(-LN(2)/25))/(LN(2)/25)*Calculateur!V80*Calculateur!X80*VLOOKUP('Données projet'!$B$9,Paramètres!$A$1:$I$89,3,0)*0.475*44/12</f>
        <v>18.374647379199185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20.495132774257716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9.546999999999997</v>
      </c>
      <c r="AI80" s="13">
        <f>IF('Données projet'!$A$62&gt;35,AI79+AH80-AQ79,IF(A80&lt;'Données projet'!$A$62,$AF$205^A80,IF(A80='Données projet'!$A$62,'Données projet'!$B$62,AI79+AH80-AQ79)))</f>
        <v>288.26100000000031</v>
      </c>
      <c r="AJ80" s="13">
        <f>AI80*VLOOKUP('Données projet'!$B$10,Paramètres!$A$1:$I$89,3,0)*VLOOKUP('Données projet'!$B$10,Paramètres!$A$1:$I$89,5,0)</f>
        <v>292.29665400000033</v>
      </c>
      <c r="AK80" s="13">
        <f t="shared" si="89"/>
        <v>69.559109473742168</v>
      </c>
      <c r="AL80" s="20">
        <f t="shared" si="58"/>
        <v>630.23212138343479</v>
      </c>
      <c r="AM80" s="59">
        <f t="shared" si="59"/>
        <v>923.56545471676804</v>
      </c>
      <c r="AN80" s="59">
        <f ca="1">AVERAGE(OFFSET($AM$3,0,0,'Données projet'!$E$10+1,1))-AVERAGE(OFFSET($H$3,0,0,'Données projet'!$E$10+1,1))</f>
        <v>644.15138437063933</v>
      </c>
      <c r="AO80" s="59">
        <f t="shared" si="90"/>
        <v>289.3097279858207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15.444831991822229</v>
      </c>
      <c r="AV80" s="21">
        <f>EXP(-LN(2)/25)*AV79+(1-EXP(-LN(2)/25))/(LN(2)/25)*Calculateur!AQ80*Calculateur!AS80*VLOOKUP('Données projet'!$B$10,Paramètres!$A$1:$I$89,3,0)*0.475*44/12</f>
        <v>32.473218526915566</v>
      </c>
      <c r="AW80" s="21">
        <f>EXP(-LN(2)/2)*AW79+(1-EXP(-LN(2)/2))/(LN(2)/2)*AQ80*AT80*VLOOKUP('Données projet'!$B$10,Paramètres!$A$1:$I$89,3,0)*0.475*44/12</f>
        <v>1.8633937598391517</v>
      </c>
      <c r="AX80" s="21">
        <f t="shared" si="60"/>
        <v>49.781444278576942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9.546999999999997</v>
      </c>
      <c r="BD80" s="12">
        <f>IF('Données projet'!$A$88&gt;35,BD79+BC80-BL79,IF(A80&lt;'Données projet'!$A$88,$BA$205^A80,IF(A80='Données projet'!$A$88,'Données projet'!$B$88,BD79+BC80-BL79)))</f>
        <v>288.26100000000031</v>
      </c>
      <c r="BE80" s="13">
        <f>BD80*VLOOKUP('Données projet'!$B$11,Paramètres!$A$1:$I$89,3,0)*VLOOKUP('Données projet'!$B$11,Paramètres!$A$1:$I$89,5,0)</f>
        <v>260.8185528000003</v>
      </c>
      <c r="BF80" s="13">
        <f t="shared" si="91"/>
        <v>62.896828401660521</v>
      </c>
      <c r="BG80" s="20">
        <f t="shared" si="61"/>
        <v>563.80428892622592</v>
      </c>
      <c r="BH80" s="59">
        <f t="shared" si="62"/>
        <v>857.13762225955929</v>
      </c>
      <c r="BI80" s="59">
        <f ca="1">AVERAGE(OFFSET($BH$3,0,0,'Données projet'!$E$11+1,1))-AVERAGE(OFFSET($H$3,0,0,'Données projet'!$E$11+1,1))</f>
        <v>573.17174498173017</v>
      </c>
      <c r="BJ80" s="59">
        <f t="shared" si="92"/>
        <v>260.48854096157231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13.781542392702908</v>
      </c>
      <c r="BQ80" s="21">
        <f>EXP(-LN(2)/25)*BQ79+(1-EXP(-LN(2)/25))/(LN(2)/25)*Calculateur!BL80*Calculateur!BN80*VLOOKUP('Données projet'!$B$11,Paramètres!$A$1:$I$89,3,0)*0.475*44/12</f>
        <v>28.976102685555421</v>
      </c>
      <c r="BR80" s="21">
        <f>EXP(-LN(2)/2)*BR79+(1-EXP(-LN(2)/2))/(LN(2)/2)*BL80*BO80*VLOOKUP('Données projet'!$B$11,Paramètres!$A$1:$I$89,3,0)*0.475*44/12</f>
        <v>1.6627205857026273</v>
      </c>
      <c r="BS80" s="22">
        <f t="shared" si="63"/>
        <v>44.420365663960958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9.546999999999997</v>
      </c>
      <c r="BY80" s="12">
        <f>IF('Données projet'!$A$114&gt;35,BY79+BX80-CG79,IF(A80&lt;'Données projet'!$A$114,$BV$205^A80,IF(A80='Données projet'!$A$114,'Données projet'!$B$114,BY79+BX80-CG79)))</f>
        <v>288.26100000000031</v>
      </c>
      <c r="BZ80" s="13">
        <f>BY80*VLOOKUP('Données projet'!$B$12,Paramètres!$A$1:$I$89,3,0)*VLOOKUP('Données projet'!$B$12,Paramètres!$A$1:$I$89,5,0)</f>
        <v>274.30916760000031</v>
      </c>
      <c r="CA80" s="13">
        <f t="shared" si="93"/>
        <v>65.762938951410732</v>
      </c>
      <c r="CB80" s="20">
        <f t="shared" si="64"/>
        <v>592.29225224370759</v>
      </c>
      <c r="CC80" s="59">
        <f t="shared" si="65"/>
        <v>885.62558557704097</v>
      </c>
      <c r="CD80" s="59">
        <f ca="1">AVERAGE(OFFSET($CC$3,0,0,'Données projet'!$E$12+1,1))-AVERAGE(OFFSET($H$3,0,0,'Données projet'!$E$12+1,1))</f>
        <v>603.61135046904178</v>
      </c>
      <c r="CE80" s="59">
        <f t="shared" si="94"/>
        <v>272.84936867513068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14.494380792325472</v>
      </c>
      <c r="CL80" s="21">
        <f>EXP(-LN(2)/25)*CL79+(1-EXP(-LN(2)/25))/(LN(2)/25)*Calculateur!CG80*Calculateur!CI80*VLOOKUP('Données projet'!$B$12,Paramètres!$A$1:$I$89,3,0)*0.475*44/12</f>
        <v>30.474866617566903</v>
      </c>
      <c r="CM80" s="21">
        <f>EXP(-LN(2)/2)*CM79+(1-EXP(-LN(2)/2))/(LN(2)/2)*CG80*CJ80*VLOOKUP('Données projet'!$B$12,Paramètres!$A$1:$I$89,3,0)*0.475*44/12</f>
        <v>1.7487233746182804</v>
      </c>
      <c r="CN80" s="22">
        <f t="shared" si="66"/>
        <v>46.717970784510655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23.423400000000001</v>
      </c>
      <c r="D81" s="11">
        <f t="shared" si="86"/>
        <v>7.477815529736108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131.19463435431825</v>
      </c>
      <c r="H81" s="67">
        <f t="shared" si="56"/>
        <v>310.48628371429038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2.3076923076923093</v>
      </c>
      <c r="N81" s="13">
        <f>IF('Données projet'!$A$36&gt;35,N80+M81-V80,IF(A81&lt;'Données projet'!$A$36,$K$205^A81,IF(A81='Données projet'!$A$36,'Données projet'!$B$36,N80+M81-V80)))</f>
        <v>140.897435897436</v>
      </c>
      <c r="O81" s="13">
        <f>N81*VLOOKUP('Données projet'!$B$9,Paramètres!$A$1:$I$89,3,0)*VLOOKUP('Données projet'!$B$9,Paramètres!$A$1:$I$89,5,0)</f>
        <v>147.2660000000001</v>
      </c>
      <c r="P81" s="13">
        <f t="shared" si="87"/>
        <v>37.95661071420276</v>
      </c>
      <c r="Q81" s="20">
        <f t="shared" si="54"/>
        <v>322.59604699390326</v>
      </c>
      <c r="R81" s="59">
        <f t="shared" si="55"/>
        <v>615.92938032723657</v>
      </c>
      <c r="S81" s="59">
        <f ca="1">AVERAGE(OFFSET($R$3,0,0,'Données projet'!$E$9+1,1))-AVERAGE(OFFSET($H$3,0,0,'Données projet'!$E$9+1,1))</f>
        <v>225.9892575177542</v>
      </c>
      <c r="T81" s="59">
        <f t="shared" si="88"/>
        <v>215.88467215650428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2.0789039698298133</v>
      </c>
      <c r="AA81" s="21">
        <f>EXP(-LN(2)/25)*AA80+(1-EXP(-LN(2)/25))/(LN(2)/25)*Calculateur!V81*Calculateur!X81*VLOOKUP('Données projet'!$B$9,Paramètres!$A$1:$I$89,3,0)*0.475*44/12</f>
        <v>17.872191680334275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19.951095650164088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9.546999999999997</v>
      </c>
      <c r="AI81" s="13">
        <f>IF('Données projet'!$A$62&gt;35,AI80+AH81-AQ80,IF(A81&lt;'Données projet'!$A$62,$AF$205^A81,IF(A81='Données projet'!$A$62,'Données projet'!$B$62,AI80+AH81-AQ80)))</f>
        <v>297.80800000000033</v>
      </c>
      <c r="AJ81" s="13">
        <f>AI81*VLOOKUP('Données projet'!$B$10,Paramètres!$A$1:$I$89,3,0)*VLOOKUP('Données projet'!$B$10,Paramètres!$A$1:$I$89,5,0)</f>
        <v>301.97731200000038</v>
      </c>
      <c r="AK81" s="13">
        <f t="shared" si="89"/>
        <v>71.590825399464663</v>
      </c>
      <c r="AL81" s="20">
        <f t="shared" si="58"/>
        <v>650.63117263740162</v>
      </c>
      <c r="AM81" s="59">
        <f t="shared" si="59"/>
        <v>943.96450597073499</v>
      </c>
      <c r="AN81" s="59">
        <f ca="1">AVERAGE(OFFSET($AM$3,0,0,'Données projet'!$E$10+1,1))-AVERAGE(OFFSET($H$3,0,0,'Données projet'!$E$10+1,1))</f>
        <v>644.15138437063933</v>
      </c>
      <c r="AO81" s="59">
        <f t="shared" si="90"/>
        <v>289.3097279858207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15.14196825687992</v>
      </c>
      <c r="AV81" s="21">
        <f>EXP(-LN(2)/25)*AV80+(1-EXP(-LN(2)/25))/(LN(2)/25)*Calculateur!AQ81*Calculateur!AS81*VLOOKUP('Données projet'!$B$10,Paramètres!$A$1:$I$89,3,0)*0.475*44/12</f>
        <v>31.585236658604718</v>
      </c>
      <c r="AW81" s="21">
        <f>EXP(-LN(2)/2)*AW80+(1-EXP(-LN(2)/2))/(LN(2)/2)*AQ81*AT81*VLOOKUP('Données projet'!$B$10,Paramètres!$A$1:$I$89,3,0)*0.475*44/12</f>
        <v>1.3176183636029613</v>
      </c>
      <c r="AX81" s="21">
        <f t="shared" si="60"/>
        <v>48.044823279087595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9.546999999999997</v>
      </c>
      <c r="BD81" s="12">
        <f>IF('Données projet'!$A$88&gt;35,BD80+BC81-BL80,IF(A81&lt;'Données projet'!$A$88,$BA$205^A81,IF(A81='Données projet'!$A$88,'Données projet'!$B$88,BD80+BC81-BL80)))</f>
        <v>297.80800000000033</v>
      </c>
      <c r="BE81" s="13">
        <f>BD81*VLOOKUP('Données projet'!$B$11,Paramètres!$A$1:$I$89,3,0)*VLOOKUP('Données projet'!$B$11,Paramètres!$A$1:$I$89,5,0)</f>
        <v>269.45667840000027</v>
      </c>
      <c r="BF81" s="13">
        <f t="shared" si="91"/>
        <v>64.733949217436958</v>
      </c>
      <c r="BG81" s="20">
        <f t="shared" si="61"/>
        <v>582.04867643370324</v>
      </c>
      <c r="BH81" s="59">
        <f t="shared" si="62"/>
        <v>875.38200976703661</v>
      </c>
      <c r="BI81" s="59">
        <f ca="1">AVERAGE(OFFSET($BH$3,0,0,'Données projet'!$E$11+1,1))-AVERAGE(OFFSET($H$3,0,0,'Données projet'!$E$11+1,1))</f>
        <v>573.17174498173017</v>
      </c>
      <c r="BJ81" s="59">
        <f t="shared" si="92"/>
        <v>260.48854096157231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13.51129475229285</v>
      </c>
      <c r="BQ81" s="21">
        <f>EXP(-LN(2)/25)*BQ80+(1-EXP(-LN(2)/25))/(LN(2)/25)*Calculateur!BL81*Calculateur!BN81*VLOOKUP('Données projet'!$B$11,Paramètres!$A$1:$I$89,3,0)*0.475*44/12</f>
        <v>28.183749633831894</v>
      </c>
      <c r="BR81" s="21">
        <f>EXP(-LN(2)/2)*BR80+(1-EXP(-LN(2)/2))/(LN(2)/2)*BL81*BO81*VLOOKUP('Données projet'!$B$11,Paramètres!$A$1:$I$89,3,0)*0.475*44/12</f>
        <v>1.175721001368796</v>
      </c>
      <c r="BS81" s="22">
        <f t="shared" si="63"/>
        <v>42.870765387493535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9.546999999999997</v>
      </c>
      <c r="BY81" s="12">
        <f>IF('Données projet'!$A$114&gt;35,BY80+BX81-CG80,IF(A81&lt;'Données projet'!$A$114,$BV$205^A81,IF(A81='Données projet'!$A$114,'Données projet'!$B$114,BY80+BX81-CG80)))</f>
        <v>297.80800000000033</v>
      </c>
      <c r="BZ81" s="13">
        <f>BY81*VLOOKUP('Données projet'!$B$12,Paramètres!$A$1:$I$89,3,0)*VLOOKUP('Données projet'!$B$12,Paramètres!$A$1:$I$89,5,0)</f>
        <v>283.39409280000029</v>
      </c>
      <c r="CA81" s="13">
        <f t="shared" si="93"/>
        <v>67.683774502652653</v>
      </c>
      <c r="CB81" s="20">
        <f t="shared" si="64"/>
        <v>611.46061888545398</v>
      </c>
      <c r="CC81" s="59">
        <f t="shared" si="65"/>
        <v>904.79395221878735</v>
      </c>
      <c r="CD81" s="59">
        <f ca="1">AVERAGE(OFFSET($CC$3,0,0,'Données projet'!$E$12+1,1))-AVERAGE(OFFSET($H$3,0,0,'Données projet'!$E$12+1,1))</f>
        <v>603.61135046904178</v>
      </c>
      <c r="CE81" s="59">
        <f t="shared" si="94"/>
        <v>272.84936867513068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14.210154825687306</v>
      </c>
      <c r="CL81" s="21">
        <f>EXP(-LN(2)/25)*CL80+(1-EXP(-LN(2)/25))/(LN(2)/25)*Calculateur!CG81*Calculateur!CI81*VLOOKUP('Données projet'!$B$12,Paramètres!$A$1:$I$89,3,0)*0.475*44/12</f>
        <v>29.641529787305952</v>
      </c>
      <c r="CM81" s="21">
        <f>EXP(-LN(2)/2)*CM80+(1-EXP(-LN(2)/2))/(LN(2)/2)*CG81*CJ81*VLOOKUP('Données projet'!$B$12,Paramètres!$A$1:$I$89,3,0)*0.475*44/12</f>
        <v>1.2365341566120094</v>
      </c>
      <c r="CN81" s="22">
        <f t="shared" si="66"/>
        <v>45.08821876960527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23.723700000000001</v>
      </c>
      <c r="D82" s="11">
        <f t="shared" si="86"/>
        <v>7.5624628506320404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132.82897210268342</v>
      </c>
      <c r="H82" s="67">
        <f t="shared" si="56"/>
        <v>311.15673363151751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2.3076923076923093</v>
      </c>
      <c r="N82" s="13">
        <f>IF('Données projet'!$A$36&gt;35,N81+M82-V81,IF(A82&lt;'Données projet'!$A$36,$K$205^A82,IF(A82='Données projet'!$A$36,'Données projet'!$B$36,N81+M82-V81)))</f>
        <v>143.20512820512832</v>
      </c>
      <c r="O82" s="13">
        <f>N82*VLOOKUP('Données projet'!$B$9,Paramètres!$A$1:$I$89,3,0)*VLOOKUP('Données projet'!$B$9,Paramètres!$A$1:$I$89,5,0)</f>
        <v>149.67800000000014</v>
      </c>
      <c r="P82" s="13">
        <f t="shared" si="87"/>
        <v>38.505400815815293</v>
      </c>
      <c r="Q82" s="20">
        <f t="shared" si="54"/>
        <v>327.7527564208786</v>
      </c>
      <c r="R82" s="59">
        <f t="shared" si="55"/>
        <v>621.08608975421191</v>
      </c>
      <c r="S82" s="59">
        <f ca="1">AVERAGE(OFFSET($R$3,0,0,'Données projet'!$E$9+1,1))-AVERAGE(OFFSET($H$3,0,0,'Données projet'!$E$9+1,1))</f>
        <v>225.9892575177542</v>
      </c>
      <c r="T82" s="59">
        <f t="shared" si="88"/>
        <v>215.88467215650428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2.0381379309876668</v>
      </c>
      <c r="AA82" s="21">
        <f>EXP(-LN(2)/25)*AA81+(1-EXP(-LN(2)/25))/(LN(2)/25)*Calculateur!V82*Calculateur!X82*VLOOKUP('Données projet'!$B$9,Paramètres!$A$1:$I$89,3,0)*0.475*44/12</f>
        <v>17.383475658977822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19.421613589965489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9.546999999999997</v>
      </c>
      <c r="AI82" s="13">
        <f>IF('Données projet'!$A$62&gt;35,AI81+AH82-AQ81,IF(A82&lt;'Données projet'!$A$62,$AF$205^A82,IF(A82='Données projet'!$A$62,'Données projet'!$B$62,AI81+AH82-AQ81)))</f>
        <v>307.35500000000036</v>
      </c>
      <c r="AJ82" s="13">
        <f>AI82*VLOOKUP('Données projet'!$B$10,Paramètres!$A$1:$I$89,3,0)*VLOOKUP('Données projet'!$B$10,Paramètres!$A$1:$I$89,5,0)</f>
        <v>311.65797000000038</v>
      </c>
      <c r="AK82" s="13">
        <f t="shared" si="89"/>
        <v>73.614972733257659</v>
      </c>
      <c r="AL82" s="20">
        <f t="shared" si="58"/>
        <v>671.0170419270911</v>
      </c>
      <c r="AM82" s="59">
        <f t="shared" si="59"/>
        <v>964.35037526042447</v>
      </c>
      <c r="AN82" s="59">
        <f ca="1">AVERAGE(OFFSET($AM$3,0,0,'Données projet'!$E$10+1,1))-AVERAGE(OFFSET($H$3,0,0,'Données projet'!$E$10+1,1))</f>
        <v>644.15138437063933</v>
      </c>
      <c r="AO82" s="59">
        <f t="shared" si="90"/>
        <v>289.3097279858207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14.845043495051193</v>
      </c>
      <c r="AV82" s="21">
        <f>EXP(-LN(2)/25)*AV81+(1-EXP(-LN(2)/25))/(LN(2)/25)*Calculateur!AQ82*Calculateur!AS82*VLOOKUP('Données projet'!$B$10,Paramètres!$A$1:$I$89,3,0)*0.475*44/12</f>
        <v>30.721536701179765</v>
      </c>
      <c r="AW82" s="21">
        <f>EXP(-LN(2)/2)*AW81+(1-EXP(-LN(2)/2))/(LN(2)/2)*AQ82*AT82*VLOOKUP('Données projet'!$B$10,Paramètres!$A$1:$I$89,3,0)*0.475*44/12</f>
        <v>0.93169687991957595</v>
      </c>
      <c r="AX82" s="21">
        <f t="shared" si="60"/>
        <v>46.498277076150536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9.546999999999997</v>
      </c>
      <c r="BD82" s="12">
        <f>IF('Données projet'!$A$88&gt;35,BD81+BC82-BL81,IF(A82&lt;'Données projet'!$A$88,$BA$205^A82,IF(A82='Données projet'!$A$88,'Données projet'!$B$88,BD81+BC82-BL81)))</f>
        <v>307.35500000000036</v>
      </c>
      <c r="BE82" s="13">
        <f>BD82*VLOOKUP('Données projet'!$B$11,Paramètres!$A$1:$I$89,3,0)*VLOOKUP('Données projet'!$B$11,Paramètres!$A$1:$I$89,5,0)</f>
        <v>278.09480400000029</v>
      </c>
      <c r="BF82" s="13">
        <f t="shared" si="91"/>
        <v>66.564226351179173</v>
      </c>
      <c r="BG82" s="20">
        <f t="shared" si="61"/>
        <v>600.28114452830425</v>
      </c>
      <c r="BH82" s="59">
        <f t="shared" si="62"/>
        <v>893.61447786163762</v>
      </c>
      <c r="BI82" s="59">
        <f ca="1">AVERAGE(OFFSET($BH$3,0,0,'Données projet'!$E$11+1,1))-AVERAGE(OFFSET($H$3,0,0,'Données projet'!$E$11+1,1))</f>
        <v>573.17174498173017</v>
      </c>
      <c r="BJ82" s="59">
        <f t="shared" si="92"/>
        <v>260.48854096157231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13.246346503276447</v>
      </c>
      <c r="BQ82" s="21">
        <f>EXP(-LN(2)/25)*BQ81+(1-EXP(-LN(2)/25))/(LN(2)/25)*Calculateur!BL82*Calculateur!BN82*VLOOKUP('Données projet'!$B$11,Paramètres!$A$1:$I$89,3,0)*0.475*44/12</f>
        <v>27.413063517975782</v>
      </c>
      <c r="BR82" s="21">
        <f>EXP(-LN(2)/2)*BR81+(1-EXP(-LN(2)/2))/(LN(2)/2)*BL82*BO82*VLOOKUP('Données projet'!$B$11,Paramètres!$A$1:$I$89,3,0)*0.475*44/12</f>
        <v>0.83136029285131385</v>
      </c>
      <c r="BS82" s="22">
        <f t="shared" si="63"/>
        <v>41.490770314103543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9.546999999999997</v>
      </c>
      <c r="BY82" s="12">
        <f>IF('Données projet'!$A$114&gt;35,BY81+BX82-CG81,IF(A82&lt;'Données projet'!$A$114,$BV$205^A82,IF(A82='Données projet'!$A$114,'Données projet'!$B$114,BY81+BX82-CG81)))</f>
        <v>307.35500000000036</v>
      </c>
      <c r="BZ82" s="13">
        <f>BY82*VLOOKUP('Données projet'!$B$12,Paramètres!$A$1:$I$89,3,0)*VLOOKUP('Données projet'!$B$12,Paramètres!$A$1:$I$89,5,0)</f>
        <v>292.47901800000034</v>
      </c>
      <c r="CA82" s="13">
        <f t="shared" si="93"/>
        <v>69.597454515924511</v>
      </c>
      <c r="CB82" s="20">
        <f t="shared" si="64"/>
        <v>630.61652296523562</v>
      </c>
      <c r="CC82" s="59">
        <f t="shared" si="65"/>
        <v>923.94985629856887</v>
      </c>
      <c r="CD82" s="59">
        <f ca="1">AVERAGE(OFFSET($CC$3,0,0,'Données projet'!$E$12+1,1))-AVERAGE(OFFSET($H$3,0,0,'Données projet'!$E$12+1,1))</f>
        <v>603.61135046904178</v>
      </c>
      <c r="CE82" s="59">
        <f t="shared" si="94"/>
        <v>272.84936867513068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13.931502356894192</v>
      </c>
      <c r="CL82" s="21">
        <f>EXP(-LN(2)/25)*CL81+(1-EXP(-LN(2)/25))/(LN(2)/25)*Calculateur!CG82*Calculateur!CI82*VLOOKUP('Données projet'!$B$12,Paramètres!$A$1:$I$89,3,0)*0.475*44/12</f>
        <v>28.830980596491766</v>
      </c>
      <c r="CM82" s="21">
        <f>EXP(-LN(2)/2)*CM81+(1-EXP(-LN(2)/2))/(LN(2)/2)*CG82*CJ82*VLOOKUP('Données projet'!$B$12,Paramètres!$A$1:$I$89,3,0)*0.475*44/12</f>
        <v>0.87436168730914021</v>
      </c>
      <c r="CN82" s="22">
        <f t="shared" si="66"/>
        <v>43.636844640695095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24.024000000000001</v>
      </c>
      <c r="D83" s="11">
        <f t="shared" si="86"/>
        <v>7.6469855389835617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134.46278070936884</v>
      </c>
      <c r="H83" s="67">
        <f t="shared" si="56"/>
        <v>311.82696648039638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145.51282051282053</v>
      </c>
      <c r="L83" s="12">
        <f>VLOOKUP(A83,'Données projet'!$A$35:$I$55,9,0)</f>
        <v>2.3076923076923093</v>
      </c>
      <c r="M83" s="12">
        <f t="array" ref="M83">INDEX(L:L,MIN(IF(ISNUMBER(L83:L279),ROW(L83:L279),"")))</f>
        <v>2.3076923076923093</v>
      </c>
      <c r="N83" s="13">
        <f>IF('Données projet'!$A$36&gt;35,N82+M83-V82,IF(A83&lt;'Données projet'!$A$36,$K$205^A83,IF(A83='Données projet'!$A$36,'Données projet'!$B$36,N82+M83-V82)))</f>
        <v>145.51282051282064</v>
      </c>
      <c r="O83" s="13">
        <f>N83*VLOOKUP('Données projet'!$B$9,Paramètres!$A$1:$I$89,3,0)*VLOOKUP('Données projet'!$B$9,Paramètres!$A$1:$I$89,5,0)</f>
        <v>152.09000000000015</v>
      </c>
      <c r="P83" s="13">
        <f t="shared" si="87"/>
        <v>39.053162448424175</v>
      </c>
      <c r="Q83" s="20">
        <f t="shared" si="54"/>
        <v>332.90767459767238</v>
      </c>
      <c r="R83" s="59">
        <f t="shared" si="55"/>
        <v>626.2410079310057</v>
      </c>
      <c r="S83" s="59">
        <f ca="1">AVERAGE(OFFSET($R$3,0,0,'Données projet'!$E$9+1,1))-AVERAGE(OFFSET($H$3,0,0,'Données projet'!$E$9+1,1))</f>
        <v>225.9892575177542</v>
      </c>
      <c r="T83" s="59">
        <f t="shared" si="88"/>
        <v>215.88467215650428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8.3333333333333339</v>
      </c>
      <c r="W83" s="16">
        <f>IF(ISNA(VLOOKUP(A83,'Données projet'!$A$35:$I$55,5,0)),0%,VLOOKUP(A83,'Données projet'!$A$35:$I$55,5,0)*VLOOKUP('Données projet'!$B$9,Paramètres!$A$1:$I$89,7,0))</f>
        <v>4.3000000000000003E-2</v>
      </c>
      <c r="X83" s="16">
        <f>IF(ISNA(VLOOKUP(A83,'Données projet'!$A$35:$I$55,6,0)),0%,VLOOKUP(A83,'Données projet'!$A$35:$I$55,6,0)*VLOOKUP('Données projet'!$B$9,Paramètres!$A$1:$I$89,7,0))</f>
        <v>0.215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2.4122031105488624</v>
      </c>
      <c r="AA83" s="21">
        <f>EXP(-LN(2)/25)*AA82+(1-EXP(-LN(2)/25))/(LN(2)/25)*Calculateur!V83*Calculateur!X83*VLOOKUP('Données projet'!$B$9,Paramètres!$A$1:$I$89,3,0)*0.475*44/12</f>
        <v>18.970131703964501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21.382334814513364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9.546999999999997</v>
      </c>
      <c r="AI83" s="13">
        <f>IF('Données projet'!$A$62&gt;35,AI82+AH83-AQ82,IF(A83&lt;'Données projet'!$A$62,$AF$205^A83,IF(A83='Données projet'!$A$62,'Données projet'!$B$62,AI82+AH83-AQ82)))</f>
        <v>316.90200000000038</v>
      </c>
      <c r="AJ83" s="13">
        <f>AI83*VLOOKUP('Données projet'!$B$10,Paramètres!$A$1:$I$89,3,0)*VLOOKUP('Données projet'!$B$10,Paramètres!$A$1:$I$89,5,0)</f>
        <v>321.33862800000043</v>
      </c>
      <c r="AK83" s="13">
        <f t="shared" si="89"/>
        <v>75.631813545776993</v>
      </c>
      <c r="AL83" s="20">
        <f t="shared" si="58"/>
        <v>691.39018569222901</v>
      </c>
      <c r="AM83" s="59">
        <f t="shared" si="59"/>
        <v>984.72351902556238</v>
      </c>
      <c r="AN83" s="59">
        <f ca="1">AVERAGE(OFFSET($AM$3,0,0,'Données projet'!$E$10+1,1))-AVERAGE(OFFSET($H$3,0,0,'Données projet'!$E$10+1,1))</f>
        <v>644.15138437063933</v>
      </c>
      <c r="AO83" s="59">
        <f t="shared" si="90"/>
        <v>289.3097279858207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14.553941246695706</v>
      </c>
      <c r="AV83" s="21">
        <f>EXP(-LN(2)/25)*AV82+(1-EXP(-LN(2)/25))/(LN(2)/25)*Calculateur!AQ83*Calculateur!AS83*VLOOKUP('Données projet'!$B$10,Paramètres!$A$1:$I$89,3,0)*0.475*44/12</f>
        <v>29.881454664510606</v>
      </c>
      <c r="AW83" s="21">
        <f>EXP(-LN(2)/2)*AW82+(1-EXP(-LN(2)/2))/(LN(2)/2)*AQ83*AT83*VLOOKUP('Données projet'!$B$10,Paramètres!$A$1:$I$89,3,0)*0.475*44/12</f>
        <v>0.65880918180148063</v>
      </c>
      <c r="AX83" s="21">
        <f t="shared" si="60"/>
        <v>45.094205093007794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9.546999999999997</v>
      </c>
      <c r="BD83" s="12">
        <f>IF('Données projet'!$A$88&gt;35,BD82+BC83-BL82,IF(A83&lt;'Données projet'!$A$88,$BA$205^A83,IF(A83='Données projet'!$A$88,'Données projet'!$B$88,BD82+BC83-BL82)))</f>
        <v>316.90200000000038</v>
      </c>
      <c r="BE83" s="13">
        <f>BD83*VLOOKUP('Données projet'!$B$11,Paramètres!$A$1:$I$89,3,0)*VLOOKUP('Données projet'!$B$11,Paramètres!$A$1:$I$89,5,0)</f>
        <v>286.73292960000038</v>
      </c>
      <c r="BF83" s="13">
        <f t="shared" si="91"/>
        <v>68.387896772756079</v>
      </c>
      <c r="BG83" s="20">
        <f t="shared" si="61"/>
        <v>618.50210593255088</v>
      </c>
      <c r="BH83" s="59">
        <f t="shared" si="62"/>
        <v>911.83543926588413</v>
      </c>
      <c r="BI83" s="59">
        <f ca="1">AVERAGE(OFFSET($BH$3,0,0,'Données projet'!$E$11+1,1))-AVERAGE(OFFSET($H$3,0,0,'Données projet'!$E$11+1,1))</f>
        <v>573.17174498173017</v>
      </c>
      <c r="BJ83" s="59">
        <f t="shared" si="92"/>
        <v>260.48854096157231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12.986593727820781</v>
      </c>
      <c r="BQ83" s="21">
        <f>EXP(-LN(2)/25)*BQ82+(1-EXP(-LN(2)/25))/(LN(2)/25)*Calculateur!BL83*Calculateur!BN83*VLOOKUP('Données projet'!$B$11,Paramètres!$A$1:$I$89,3,0)*0.475*44/12</f>
        <v>26.663451854486379</v>
      </c>
      <c r="BR83" s="21">
        <f>EXP(-LN(2)/2)*BR82+(1-EXP(-LN(2)/2))/(LN(2)/2)*BL83*BO83*VLOOKUP('Données projet'!$B$11,Paramètres!$A$1:$I$89,3,0)*0.475*44/12</f>
        <v>0.5878605006843981</v>
      </c>
      <c r="BS83" s="22">
        <f t="shared" si="63"/>
        <v>40.237906082991557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9.546999999999997</v>
      </c>
      <c r="BY83" s="12">
        <f>IF('Données projet'!$A$114&gt;35,BY82+BX83-CG82,IF(A83&lt;'Données projet'!$A$114,$BV$205^A83,IF(A83='Données projet'!$A$114,'Données projet'!$B$114,BY82+BX83-CG82)))</f>
        <v>316.90200000000038</v>
      </c>
      <c r="BZ83" s="13">
        <f>BY83*VLOOKUP('Données projet'!$B$12,Paramètres!$A$1:$I$89,3,0)*VLOOKUP('Données projet'!$B$12,Paramètres!$A$1:$I$89,5,0)</f>
        <v>301.56394320000038</v>
      </c>
      <c r="CA83" s="13">
        <f t="shared" si="93"/>
        <v>71.504226759443313</v>
      </c>
      <c r="CB83" s="20">
        <f t="shared" si="64"/>
        <v>649.76039601269781</v>
      </c>
      <c r="CC83" s="59">
        <f t="shared" si="65"/>
        <v>943.09372934603107</v>
      </c>
      <c r="CD83" s="59">
        <f ca="1">AVERAGE(OFFSET($CC$3,0,0,'Données projet'!$E$12+1,1))-AVERAGE(OFFSET($H$3,0,0,'Données projet'!$E$12+1,1))</f>
        <v>603.61135046904178</v>
      </c>
      <c r="CE83" s="59">
        <f t="shared" si="94"/>
        <v>272.84936867513068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13.658314093052889</v>
      </c>
      <c r="CL83" s="21">
        <f>EXP(-LN(2)/25)*CL82+(1-EXP(-LN(2)/25))/(LN(2)/25)*Calculateur!CG83*Calculateur!CI83*VLOOKUP('Données projet'!$B$12,Paramètres!$A$1:$I$89,3,0)*0.475*44/12</f>
        <v>28.042595915925325</v>
      </c>
      <c r="CM83" s="21">
        <f>EXP(-LN(2)/2)*CM82+(1-EXP(-LN(2)/2))/(LN(2)/2)*CG83*CJ83*VLOOKUP('Données projet'!$B$12,Paramètres!$A$1:$I$89,3,0)*0.475*44/12</f>
        <v>0.61826707830600469</v>
      </c>
      <c r="CN83" s="22">
        <f t="shared" si="66"/>
        <v>42.319177087284217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24.324300000000001</v>
      </c>
      <c r="D84" s="11">
        <f t="shared" si="86"/>
        <v>7.7313853328641731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136.09606755356367</v>
      </c>
      <c r="H84" s="67">
        <f t="shared" si="56"/>
        <v>312.49698528807176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2.0512820512820498</v>
      </c>
      <c r="N84" s="13">
        <f>IF('Données projet'!$A$36&gt;35,N83+M84-V83,IF(A84&lt;'Données projet'!$A$36,$K$205^A84,IF(A84='Données projet'!$A$36,'Données projet'!$B$36,N83+M84-V83)))</f>
        <v>139.23076923076934</v>
      </c>
      <c r="O84" s="13">
        <f>N84*VLOOKUP('Données projet'!$B$9,Paramètres!$A$1:$I$89,3,0)*VLOOKUP('Données projet'!$B$9,Paramètres!$A$1:$I$89,5,0)</f>
        <v>145.52400000000011</v>
      </c>
      <c r="P84" s="13">
        <f t="shared" si="87"/>
        <v>37.55961209074934</v>
      </c>
      <c r="Q84" s="20">
        <f t="shared" si="54"/>
        <v>318.87062439138862</v>
      </c>
      <c r="R84" s="59">
        <f t="shared" si="55"/>
        <v>612.20395772472193</v>
      </c>
      <c r="S84" s="59">
        <f ca="1">AVERAGE(OFFSET($R$3,0,0,'Données projet'!$E$9+1,1))-AVERAGE(OFFSET($H$3,0,0,'Données projet'!$E$9+1,1))</f>
        <v>225.9892575177542</v>
      </c>
      <c r="T84" s="59">
        <f t="shared" si="88"/>
        <v>215.88467215650428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2.3649012788496178</v>
      </c>
      <c r="AA84" s="21">
        <f>EXP(-LN(2)/25)*AA83+(1-EXP(-LN(2)/25))/(LN(2)/25)*Calculateur!V84*Calculateur!X84*VLOOKUP('Données projet'!$B$9,Paramètres!$A$1:$I$89,3,0)*0.475*44/12</f>
        <v>18.451392454923724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20.816293733773342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9.546999999999997</v>
      </c>
      <c r="AI84" s="13">
        <f>IF('Données projet'!$A$62&gt;35,AI83+AH84-AQ83,IF(A84&lt;'Données projet'!$A$62,$AF$205^A84,IF(A84='Données projet'!$A$62,'Données projet'!$B$62,AI83+AH84-AQ83)))</f>
        <v>326.44900000000041</v>
      </c>
      <c r="AJ84" s="13">
        <f>AI84*VLOOKUP('Données projet'!$B$10,Paramètres!$A$1:$I$89,3,0)*VLOOKUP('Données projet'!$B$10,Paramètres!$A$1:$I$89,5,0)</f>
        <v>331.01928600000042</v>
      </c>
      <c r="AK84" s="13">
        <f t="shared" si="89"/>
        <v>77.641593219997347</v>
      </c>
      <c r="AL84" s="20">
        <f t="shared" si="58"/>
        <v>711.75103130816262</v>
      </c>
      <c r="AM84" s="59">
        <f t="shared" si="59"/>
        <v>1005.084364641496</v>
      </c>
      <c r="AN84" s="59">
        <f ca="1">AVERAGE(OFFSET($AM$3,0,0,'Données projet'!$E$10+1,1))-AVERAGE(OFFSET($H$3,0,0,'Données projet'!$E$10+1,1))</f>
        <v>644.15138437063933</v>
      </c>
      <c r="AO84" s="59">
        <f t="shared" si="90"/>
        <v>289.3097279858207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14.268547335875629</v>
      </c>
      <c r="AV84" s="21">
        <f>EXP(-LN(2)/25)*AV83+(1-EXP(-LN(2)/25))/(LN(2)/25)*Calculateur!AQ84*Calculateur!AS84*VLOOKUP('Données projet'!$B$10,Paramètres!$A$1:$I$89,3,0)*0.475*44/12</f>
        <v>29.064344715312156</v>
      </c>
      <c r="AW84" s="21">
        <f>EXP(-LN(2)/2)*AW83+(1-EXP(-LN(2)/2))/(LN(2)/2)*AQ84*AT84*VLOOKUP('Données projet'!$B$10,Paramètres!$A$1:$I$89,3,0)*0.475*44/12</f>
        <v>0.46584843995978797</v>
      </c>
      <c r="AX84" s="21">
        <f t="shared" si="60"/>
        <v>43.798740491147569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9.546999999999997</v>
      </c>
      <c r="BD84" s="12">
        <f>IF('Données projet'!$A$88&gt;35,BD83+BC84-BL83,IF(A84&lt;'Données projet'!$A$88,$BA$205^A84,IF(A84='Données projet'!$A$88,'Données projet'!$B$88,BD83+BC84-BL83)))</f>
        <v>326.44900000000041</v>
      </c>
      <c r="BE84" s="13">
        <f>BD84*VLOOKUP('Données projet'!$B$11,Paramètres!$A$1:$I$89,3,0)*VLOOKUP('Données projet'!$B$11,Paramètres!$A$1:$I$89,5,0)</f>
        <v>295.37105520000034</v>
      </c>
      <c r="BF84" s="13">
        <f t="shared" si="91"/>
        <v>70.205182362680091</v>
      </c>
      <c r="BG84" s="20">
        <f t="shared" si="61"/>
        <v>636.71194708833502</v>
      </c>
      <c r="BH84" s="59">
        <f t="shared" si="62"/>
        <v>930.04528042166839</v>
      </c>
      <c r="BI84" s="59">
        <f ca="1">AVERAGE(OFFSET($BH$3,0,0,'Données projet'!$E$11+1,1))-AVERAGE(OFFSET($H$3,0,0,'Données projet'!$E$11+1,1))</f>
        <v>573.17174498173017</v>
      </c>
      <c r="BJ84" s="59">
        <f t="shared" si="92"/>
        <v>260.48854096157231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12.731934545858252</v>
      </c>
      <c r="BQ84" s="21">
        <f>EXP(-LN(2)/25)*BQ83+(1-EXP(-LN(2)/25))/(LN(2)/25)*Calculateur!BL84*Calculateur!BN84*VLOOKUP('Données projet'!$B$11,Paramètres!$A$1:$I$89,3,0)*0.475*44/12</f>
        <v>25.934338361355454</v>
      </c>
      <c r="BR84" s="21">
        <f>EXP(-LN(2)/2)*BR83+(1-EXP(-LN(2)/2))/(LN(2)/2)*BL84*BO84*VLOOKUP('Données projet'!$B$11,Paramètres!$A$1:$I$89,3,0)*0.475*44/12</f>
        <v>0.41568014642565698</v>
      </c>
      <c r="BS84" s="22">
        <f t="shared" si="63"/>
        <v>39.081953053639367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9.546999999999997</v>
      </c>
      <c r="BY84" s="12">
        <f>IF('Données projet'!$A$114&gt;35,BY83+BX84-CG83,IF(A84&lt;'Données projet'!$A$114,$BV$205^A84,IF(A84='Données projet'!$A$114,'Données projet'!$B$114,BY83+BX84-CG83)))</f>
        <v>326.44900000000041</v>
      </c>
      <c r="BZ84" s="13">
        <f>BY84*VLOOKUP('Données projet'!$B$12,Paramètres!$A$1:$I$89,3,0)*VLOOKUP('Données projet'!$B$12,Paramètres!$A$1:$I$89,5,0)</f>
        <v>310.64886840000037</v>
      </c>
      <c r="CA84" s="13">
        <f t="shared" si="93"/>
        <v>73.404323224471185</v>
      </c>
      <c r="CB84" s="20">
        <f t="shared" si="64"/>
        <v>668.89264207928784</v>
      </c>
      <c r="CC84" s="59">
        <f t="shared" si="65"/>
        <v>962.22597541262121</v>
      </c>
      <c r="CD84" s="59">
        <f ca="1">AVERAGE(OFFSET($CC$3,0,0,'Données projet'!$E$12+1,1))-AVERAGE(OFFSET($H$3,0,0,'Données projet'!$E$12+1,1))</f>
        <v>603.61135046904178</v>
      </c>
      <c r="CE84" s="59">
        <f t="shared" si="94"/>
        <v>272.84936867513068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13.390482884437125</v>
      </c>
      <c r="CL84" s="21">
        <f>EXP(-LN(2)/25)*CL83+(1-EXP(-LN(2)/25))/(LN(2)/25)*Calculateur!CG84*Calculateur!CI84*VLOOKUP('Données projet'!$B$12,Paramètres!$A$1:$I$89,3,0)*0.475*44/12</f>
        <v>27.27576965590832</v>
      </c>
      <c r="CM84" s="21">
        <f>EXP(-LN(2)/2)*CM83+(1-EXP(-LN(2)/2))/(LN(2)/2)*CG84*CJ84*VLOOKUP('Données projet'!$B$12,Paramètres!$A$1:$I$89,3,0)*0.475*44/12</f>
        <v>0.43718084365457011</v>
      </c>
      <c r="CN84" s="22">
        <f t="shared" si="66"/>
        <v>41.10343338400002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24.624600000000001</v>
      </c>
      <c r="D85" s="11">
        <f t="shared" si="86"/>
        <v>7.8156639249634869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137.72883982177481</v>
      </c>
      <c r="H85" s="67">
        <f t="shared" si="56"/>
        <v>313.16679300264474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2.0512820512820498</v>
      </c>
      <c r="N85" s="13">
        <f>IF('Données projet'!$A$36&gt;35,N84+M85-V84,IF(A85&lt;'Données projet'!$A$36,$K$205^A85,IF(A85='Données projet'!$A$36,'Données projet'!$B$36,N84+M85-V84)))</f>
        <v>141.28205128205138</v>
      </c>
      <c r="O85" s="13">
        <f>N85*VLOOKUP('Données projet'!$B$9,Paramètres!$A$1:$I$89,3,0)*VLOOKUP('Données projet'!$B$9,Paramètres!$A$1:$I$89,5,0)</f>
        <v>147.66800000000012</v>
      </c>
      <c r="P85" s="13">
        <f t="shared" si="87"/>
        <v>38.04814794346445</v>
      </c>
      <c r="Q85" s="20">
        <f t="shared" si="54"/>
        <v>323.45562433486742</v>
      </c>
      <c r="R85" s="59">
        <f t="shared" si="55"/>
        <v>616.78895766820074</v>
      </c>
      <c r="S85" s="59">
        <f ca="1">AVERAGE(OFFSET($R$3,0,0,'Données projet'!$E$9+1,1))-AVERAGE(OFFSET($H$3,0,0,'Données projet'!$E$9+1,1))</f>
        <v>225.9892575177542</v>
      </c>
      <c r="T85" s="59">
        <f t="shared" si="88"/>
        <v>215.88467215650428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2.318527007218727</v>
      </c>
      <c r="AA85" s="21">
        <f>EXP(-LN(2)/25)*AA84+(1-EXP(-LN(2)/25))/(LN(2)/25)*Calculateur!V85*Calculateur!X85*VLOOKUP('Données projet'!$B$9,Paramètres!$A$1:$I$89,3,0)*0.475*44/12</f>
        <v>17.946838157927278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20.265365165146005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9.546999999999997</v>
      </c>
      <c r="AI85" s="13">
        <f>IF('Données projet'!$A$62&gt;35,AI84+AH85-AQ84,IF(A85&lt;'Données projet'!$A$62,$AF$205^A85,IF(A85='Données projet'!$A$62,'Données projet'!$B$62,AI84+AH85-AQ84)))</f>
        <v>335.99600000000044</v>
      </c>
      <c r="AJ85" s="13">
        <f>AI85*VLOOKUP('Données projet'!$B$10,Paramètres!$A$1:$I$89,3,0)*VLOOKUP('Données projet'!$B$10,Paramètres!$A$1:$I$89,5,0)</f>
        <v>340.69994400000047</v>
      </c>
      <c r="AK85" s="13">
        <f t="shared" si="89"/>
        <v>79.644541970406692</v>
      </c>
      <c r="AL85" s="20">
        <f t="shared" si="58"/>
        <v>732.09997973179236</v>
      </c>
      <c r="AM85" s="59">
        <f t="shared" si="59"/>
        <v>1025.4333130651257</v>
      </c>
      <c r="AN85" s="59">
        <f ca="1">AVERAGE(OFFSET($AM$3,0,0,'Données projet'!$E$10+1,1))-AVERAGE(OFFSET($H$3,0,0,'Données projet'!$E$10+1,1))</f>
        <v>644.15138437063933</v>
      </c>
      <c r="AO85" s="59">
        <f t="shared" si="90"/>
        <v>289.3097279858207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13.988749825573638</v>
      </c>
      <c r="AV85" s="21">
        <f>EXP(-LN(2)/25)*AV84+(1-EXP(-LN(2)/25))/(LN(2)/25)*Calculateur!AQ85*Calculateur!AS85*VLOOKUP('Données projet'!$B$10,Paramètres!$A$1:$I$89,3,0)*0.475*44/12</f>
        <v>28.269578680644486</v>
      </c>
      <c r="AW85" s="21">
        <f>EXP(-LN(2)/2)*AW84+(1-EXP(-LN(2)/2))/(LN(2)/2)*AQ85*AT85*VLOOKUP('Données projet'!$B$10,Paramètres!$A$1:$I$89,3,0)*0.475*44/12</f>
        <v>0.32940459090074031</v>
      </c>
      <c r="AX85" s="21">
        <f t="shared" si="60"/>
        <v>42.587733097118864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9.546999999999997</v>
      </c>
      <c r="BD85" s="12">
        <f>IF('Données projet'!$A$88&gt;35,BD84+BC85-BL84,IF(A85&lt;'Données projet'!$A$88,$BA$205^A85,IF(A85='Données projet'!$A$88,'Données projet'!$B$88,BD84+BC85-BL84)))</f>
        <v>335.99600000000044</v>
      </c>
      <c r="BE85" s="13">
        <f>BD85*VLOOKUP('Données projet'!$B$11,Paramètres!$A$1:$I$89,3,0)*VLOOKUP('Données projet'!$B$11,Paramètres!$A$1:$I$89,5,0)</f>
        <v>304.00918080000037</v>
      </c>
      <c r="BF85" s="13">
        <f t="shared" si="91"/>
        <v>72.016291285794935</v>
      </c>
      <c r="BG85" s="20">
        <f t="shared" si="61"/>
        <v>654.91103054942675</v>
      </c>
      <c r="BH85" s="59">
        <f t="shared" si="62"/>
        <v>948.24436388276013</v>
      </c>
      <c r="BI85" s="59">
        <f ca="1">AVERAGE(OFFSET($BH$3,0,0,'Données projet'!$E$11+1,1))-AVERAGE(OFFSET($H$3,0,0,'Données projet'!$E$11+1,1))</f>
        <v>573.17174498173017</v>
      </c>
      <c r="BJ85" s="59">
        <f t="shared" si="92"/>
        <v>260.48854096157231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12.482269075127244</v>
      </c>
      <c r="BQ85" s="21">
        <f>EXP(-LN(2)/25)*BQ84+(1-EXP(-LN(2)/25))/(LN(2)/25)*Calculateur!BL85*Calculateur!BN85*VLOOKUP('Données projet'!$B$11,Paramètres!$A$1:$I$89,3,0)*0.475*44/12</f>
        <v>25.225162515036608</v>
      </c>
      <c r="BR85" s="21">
        <f>EXP(-LN(2)/2)*BR84+(1-EXP(-LN(2)/2))/(LN(2)/2)*BL85*BO85*VLOOKUP('Données projet'!$B$11,Paramètres!$A$1:$I$89,3,0)*0.475*44/12</f>
        <v>0.29393025034219911</v>
      </c>
      <c r="BS85" s="22">
        <f t="shared" si="63"/>
        <v>38.00136184050605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9.546999999999997</v>
      </c>
      <c r="BY85" s="12">
        <f>IF('Données projet'!$A$114&gt;35,BY84+BX85-CG84,IF(A85&lt;'Données projet'!$A$114,$BV$205^A85,IF(A85='Données projet'!$A$114,'Données projet'!$B$114,BY84+BX85-CG84)))</f>
        <v>335.99600000000044</v>
      </c>
      <c r="BZ85" s="13">
        <f>BY85*VLOOKUP('Données projet'!$B$12,Paramètres!$A$1:$I$89,3,0)*VLOOKUP('Données projet'!$B$12,Paramètres!$A$1:$I$89,5,0)</f>
        <v>319.73379360000041</v>
      </c>
      <c r="CA85" s="13">
        <f t="shared" si="93"/>
        <v>75.297961561599294</v>
      </c>
      <c r="CB85" s="20">
        <f t="shared" si="64"/>
        <v>688.01364023978613</v>
      </c>
      <c r="CC85" s="59">
        <f t="shared" si="65"/>
        <v>981.34697357311939</v>
      </c>
      <c r="CD85" s="59">
        <f ca="1">AVERAGE(OFFSET($CC$3,0,0,'Données projet'!$E$12+1,1))-AVERAGE(OFFSET($H$3,0,0,'Données projet'!$E$12+1,1))</f>
        <v>603.61135046904178</v>
      </c>
      <c r="CE85" s="59">
        <f t="shared" si="94"/>
        <v>272.84936867513068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13.12790368246141</v>
      </c>
      <c r="CL85" s="21">
        <f>EXP(-LN(2)/25)*CL84+(1-EXP(-LN(2)/25))/(LN(2)/25)*Calculateur!CG85*Calculateur!CI85*VLOOKUP('Données projet'!$B$12,Paramètres!$A$1:$I$89,3,0)*0.475*44/12</f>
        <v>26.52991230029712</v>
      </c>
      <c r="CM85" s="21">
        <f>EXP(-LN(2)/2)*CM84+(1-EXP(-LN(2)/2))/(LN(2)/2)*CG85*CJ85*VLOOKUP('Données projet'!$B$12,Paramètres!$A$1:$I$89,3,0)*0.475*44/12</f>
        <v>0.30913353915300235</v>
      </c>
      <c r="CN85" s="22">
        <f t="shared" si="66"/>
        <v>39.96694952191153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24.924900000000001</v>
      </c>
      <c r="D86" s="11">
        <f t="shared" si="86"/>
        <v>7.8998229643109852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139.36110451514492</v>
      </c>
      <c r="H86" s="67">
        <f t="shared" si="56"/>
        <v>313.83639249617499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2.0512820512820498</v>
      </c>
      <c r="N86" s="13">
        <f>IF('Données projet'!$A$36&gt;35,N85+M86-V85,IF(A86&lt;'Données projet'!$A$36,$K$205^A86,IF(A86='Données projet'!$A$36,'Données projet'!$B$36,N85+M86-V85)))</f>
        <v>143.33333333333343</v>
      </c>
      <c r="O86" s="13">
        <f>N86*VLOOKUP('Données projet'!$B$9,Paramètres!$A$1:$I$89,3,0)*VLOOKUP('Données projet'!$B$9,Paramètres!$A$1:$I$89,5,0)</f>
        <v>149.81200000000013</v>
      </c>
      <c r="P86" s="13">
        <f t="shared" si="87"/>
        <v>38.535858828351088</v>
      </c>
      <c r="Q86" s="20">
        <f t="shared" si="54"/>
        <v>328.0391874593783</v>
      </c>
      <c r="R86" s="59">
        <f t="shared" si="55"/>
        <v>621.37252079271161</v>
      </c>
      <c r="S86" s="59">
        <f ca="1">AVERAGE(OFFSET($R$3,0,0,'Données projet'!$E$9+1,1))-AVERAGE(OFFSET($H$3,0,0,'Données projet'!$E$9+1,1))</f>
        <v>225.9892575177542</v>
      </c>
      <c r="T86" s="59">
        <f t="shared" si="88"/>
        <v>215.88467215650428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2.2730621067690051</v>
      </c>
      <c r="AA86" s="21">
        <f>EXP(-LN(2)/25)*AA85+(1-EXP(-LN(2)/25))/(LN(2)/25)*Calculateur!V86*Calculateur!X86*VLOOKUP('Données projet'!$B$9,Paramètres!$A$1:$I$89,3,0)*0.475*44/12</f>
        <v>17.456080924715558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19.729143031484561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9.546999999999997</v>
      </c>
      <c r="AI86" s="13">
        <f>IF('Données projet'!$A$62&gt;35,AI85+AH86-AQ85,IF(A86&lt;'Données projet'!$A$62,$AF$205^A86,IF(A86='Données projet'!$A$62,'Données projet'!$B$62,AI85+AH86-AQ85)))</f>
        <v>345.54300000000046</v>
      </c>
      <c r="AJ86" s="13">
        <f>AI86*VLOOKUP('Données projet'!$B$10,Paramètres!$A$1:$I$89,3,0)*VLOOKUP('Données projet'!$B$10,Paramètres!$A$1:$I$89,5,0)</f>
        <v>350.38060200000047</v>
      </c>
      <c r="AK86" s="13">
        <f t="shared" si="89"/>
        <v>81.640876184681076</v>
      </c>
      <c r="AL86" s="20">
        <f t="shared" si="58"/>
        <v>752.43740783832027</v>
      </c>
      <c r="AM86" s="59">
        <f t="shared" si="59"/>
        <v>1045.7707411716535</v>
      </c>
      <c r="AN86" s="59">
        <f ca="1">AVERAGE(OFFSET($AM$3,0,0,'Données projet'!$E$10+1,1))-AVERAGE(OFFSET($H$3,0,0,'Données projet'!$E$10+1,1))</f>
        <v>644.15138437063933</v>
      </c>
      <c r="AO86" s="59">
        <f t="shared" si="90"/>
        <v>289.3097279858207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13.714438973789038</v>
      </c>
      <c r="AV86" s="21">
        <f>EXP(-LN(2)/25)*AV85+(1-EXP(-LN(2)/25))/(LN(2)/25)*Calculateur!AQ86*Calculateur!AS86*VLOOKUP('Données projet'!$B$10,Paramètres!$A$1:$I$89,3,0)*0.475*44/12</f>
        <v>27.496545564989731</v>
      </c>
      <c r="AW86" s="21">
        <f>EXP(-LN(2)/2)*AW85+(1-EXP(-LN(2)/2))/(LN(2)/2)*AQ86*AT86*VLOOKUP('Données projet'!$B$10,Paramètres!$A$1:$I$89,3,0)*0.475*44/12</f>
        <v>0.23292421997989399</v>
      </c>
      <c r="AX86" s="21">
        <f t="shared" si="60"/>
        <v>41.44390875875866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9.546999999999997</v>
      </c>
      <c r="BD86" s="12">
        <f>IF('Données projet'!$A$88&gt;35,BD85+BC86-BL85,IF(A86&lt;'Données projet'!$A$88,$BA$205^A86,IF(A86='Données projet'!$A$88,'Données projet'!$B$88,BD85+BC86-BL85)))</f>
        <v>345.54300000000046</v>
      </c>
      <c r="BE86" s="13">
        <f>BD86*VLOOKUP('Données projet'!$B$11,Paramètres!$A$1:$I$89,3,0)*VLOOKUP('Données projet'!$B$11,Paramètres!$A$1:$I$89,5,0)</f>
        <v>312.64730640000039</v>
      </c>
      <c r="BF86" s="13">
        <f t="shared" si="91"/>
        <v>73.821419204446315</v>
      </c>
      <c r="BG86" s="20">
        <f t="shared" si="61"/>
        <v>673.09969709441123</v>
      </c>
      <c r="BH86" s="59">
        <f t="shared" si="62"/>
        <v>966.4330304277446</v>
      </c>
      <c r="BI86" s="59">
        <f ca="1">AVERAGE(OFFSET($BH$3,0,0,'Données projet'!$E$11+1,1))-AVERAGE(OFFSET($H$3,0,0,'Données projet'!$E$11+1,1))</f>
        <v>573.17174498173017</v>
      </c>
      <c r="BJ86" s="59">
        <f t="shared" si="92"/>
        <v>260.48854096157231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12.237499391996371</v>
      </c>
      <c r="BQ86" s="21">
        <f>EXP(-LN(2)/25)*BQ85+(1-EXP(-LN(2)/25))/(LN(2)/25)*Calculateur!BL86*Calculateur!BN86*VLOOKUP('Données projet'!$B$11,Paramètres!$A$1:$I$89,3,0)*0.475*44/12</f>
        <v>24.535379119529289</v>
      </c>
      <c r="BR86" s="21">
        <f>EXP(-LN(2)/2)*BR85+(1-EXP(-LN(2)/2))/(LN(2)/2)*BL86*BO86*VLOOKUP('Données projet'!$B$11,Paramètres!$A$1:$I$89,3,0)*0.475*44/12</f>
        <v>0.20784007321282855</v>
      </c>
      <c r="BS86" s="22">
        <f t="shared" si="63"/>
        <v>36.98071858473849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9.546999999999997</v>
      </c>
      <c r="BY86" s="12">
        <f>IF('Données projet'!$A$114&gt;35,BY85+BX86-CG85,IF(A86&lt;'Données projet'!$A$114,$BV$205^A86,IF(A86='Données projet'!$A$114,'Données projet'!$B$114,BY85+BX86-CG85)))</f>
        <v>345.54300000000046</v>
      </c>
      <c r="BZ86" s="13">
        <f>BY86*VLOOKUP('Données projet'!$B$12,Paramètres!$A$1:$I$89,3,0)*VLOOKUP('Données projet'!$B$12,Paramètres!$A$1:$I$89,5,0)</f>
        <v>328.81871880000045</v>
      </c>
      <c r="CA86" s="13">
        <f t="shared" si="93"/>
        <v>77.185346349202092</v>
      </c>
      <c r="CB86" s="20">
        <f t="shared" si="64"/>
        <v>707.12374680152777</v>
      </c>
      <c r="CC86" s="59">
        <f t="shared" si="65"/>
        <v>1000.4570801348611</v>
      </c>
      <c r="CD86" s="59">
        <f ca="1">AVERAGE(OFFSET($CC$3,0,0,'Données projet'!$E$12+1,1))-AVERAGE(OFFSET($H$3,0,0,'Données projet'!$E$12+1,1))</f>
        <v>603.61135046904178</v>
      </c>
      <c r="CE86" s="59">
        <f t="shared" si="94"/>
        <v>272.84936867513068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12.87047349847894</v>
      </c>
      <c r="CL86" s="21">
        <f>EXP(-LN(2)/25)*CL85+(1-EXP(-LN(2)/25))/(LN(2)/25)*Calculateur!CG86*Calculateur!CI86*VLOOKUP('Données projet'!$B$12,Paramètres!$A$1:$I$89,3,0)*0.475*44/12</f>
        <v>25.804450453298042</v>
      </c>
      <c r="CM86" s="21">
        <f>EXP(-LN(2)/2)*CM85+(1-EXP(-LN(2)/2))/(LN(2)/2)*CG86*CJ86*VLOOKUP('Données projet'!$B$12,Paramètres!$A$1:$I$89,3,0)*0.475*44/12</f>
        <v>0.21859042182728505</v>
      </c>
      <c r="CN86" s="22">
        <f t="shared" si="66"/>
        <v>38.893514373604269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25.225200000000001</v>
      </c>
      <c r="D87" s="11">
        <f t="shared" si="86"/>
        <v>7.9838640579143272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140.99286845640822</v>
      </c>
      <c r="H87" s="67">
        <f t="shared" si="56"/>
        <v>314.50578656753413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2.0512820512820498</v>
      </c>
      <c r="N87" s="13">
        <f>IF('Données projet'!$A$36&gt;35,N86+M87-V86,IF(A87&lt;'Données projet'!$A$36,$K$205^A87,IF(A87='Données projet'!$A$36,'Données projet'!$B$36,N86+M87-V86)))</f>
        <v>145.38461538461547</v>
      </c>
      <c r="O87" s="13">
        <f>N87*VLOOKUP('Données projet'!$B$9,Paramètres!$A$1:$I$89,3,0)*VLOOKUP('Données projet'!$B$9,Paramètres!$A$1:$I$89,5,0)</f>
        <v>151.9560000000001</v>
      </c>
      <c r="P87" s="13">
        <f t="shared" si="87"/>
        <v>39.022757915937028</v>
      </c>
      <c r="Q87" s="20">
        <f t="shared" si="54"/>
        <v>332.62133670359054</v>
      </c>
      <c r="R87" s="59">
        <f t="shared" si="55"/>
        <v>625.95467003692386</v>
      </c>
      <c r="S87" s="59">
        <f ca="1">AVERAGE(OFFSET($R$3,0,0,'Données projet'!$E$9+1,1))-AVERAGE(OFFSET($H$3,0,0,'Données projet'!$E$9+1,1))</f>
        <v>225.9892575177542</v>
      </c>
      <c r="T87" s="59">
        <f t="shared" si="88"/>
        <v>215.88467215650428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2.2284887452862514</v>
      </c>
      <c r="AA87" s="21">
        <f>EXP(-LN(2)/25)*AA86+(1-EXP(-LN(2)/25))/(LN(2)/25)*Calculateur!V87*Calculateur!X87*VLOOKUP('Données projet'!$B$9,Paramètres!$A$1:$I$89,3,0)*0.475*44/12</f>
        <v>16.978743473853811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19.207232219140064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9.546999999999997</v>
      </c>
      <c r="AH87" s="12">
        <f t="array" ref="AH87">INDEX(AG:AG,MIN(IF(ISNUMBER(AG87:AG283),ROW(AG87:AG283),"")))</f>
        <v>9.546999999999997</v>
      </c>
      <c r="AI87" s="13">
        <f>IF('Données projet'!$A$62&gt;35,AI86+AH87-AQ86,IF(A87&lt;'Données projet'!$A$62,$AF$205^A87,IF(A87='Données projet'!$A$62,'Données projet'!$B$62,AI86+AH87-AQ86)))</f>
        <v>355.09000000000049</v>
      </c>
      <c r="AJ87" s="13">
        <f>AI87*VLOOKUP('Données projet'!$B$10,Paramètres!$A$1:$I$89,3,0)*VLOOKUP('Données projet'!$B$10,Paramètres!$A$1:$I$89,5,0)</f>
        <v>360.06126000000052</v>
      </c>
      <c r="AK87" s="13">
        <f t="shared" si="89"/>
        <v>83.630799612914231</v>
      </c>
      <c r="AL87" s="20">
        <f t="shared" si="58"/>
        <v>772.76367049249313</v>
      </c>
      <c r="AM87" s="59">
        <f t="shared" si="59"/>
        <v>1066.0970038258265</v>
      </c>
      <c r="AN87" s="59">
        <f ca="1">AVERAGE(OFFSET($AM$3,0,0,'Données projet'!$E$10+1,1))-AVERAGE(OFFSET($H$3,0,0,'Données projet'!$E$10+1,1))</f>
        <v>644.15138437063933</v>
      </c>
      <c r="AO87" s="59">
        <f t="shared" si="90"/>
        <v>289.3097279858207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66.69</v>
      </c>
      <c r="AR87" s="16">
        <f>IF(ISNA(VLOOKUP(A87,'Données projet'!$A$61:$I$81,5,0)),0%,VLOOKUP(A87,'Données projet'!$A$61:$I$81,5,0)*VLOOKUP('Données projet'!$B$10,Paramètres!$A$1:$I$89,7,0))</f>
        <v>0.15049999999999999</v>
      </c>
      <c r="AS87" s="16">
        <f>IF(ISNA(VLOOKUP(A87,'Données projet'!$A$61:$I$81,6,0)),0%,VLOOKUP(A87,'Données projet'!$A$61:$I$81,6,0)*VLOOKUP('Données projet'!$B$10,Paramètres!$A$1:$I$89,7,0))</f>
        <v>8.6000000000000007E-2</v>
      </c>
      <c r="AT87" s="16">
        <f>IF(ISNA(VLOOKUP(A87,'Données projet'!$A$61:$I$81,7,0)),0%,VLOOKUP(A87,'Données projet'!$A$61:$I$81,7,0))</f>
        <v>0.1</v>
      </c>
      <c r="AU87" s="21">
        <f>EXP(-LN(2)/35)*AU86+(1-EXP(-LN(2)/35))/(LN(2)/35)*AQ87*AR87*VLOOKUP('Données projet'!$B$10,Paramètres!$A$1:$I$89,3,0)*0.475*44/12</f>
        <v>24.696278129878717</v>
      </c>
      <c r="AV87" s="21">
        <f>EXP(-LN(2)/25)*AV86+(1-EXP(-LN(2)/25))/(LN(2)/25)*Calculateur!AQ87*Calculateur!AS87*VLOOKUP('Données projet'!$B$10,Paramètres!$A$1:$I$89,3,0)*0.475*44/12</f>
        <v>33.148349576143573</v>
      </c>
      <c r="AW87" s="21">
        <f>EXP(-LN(2)/2)*AW86+(1-EXP(-LN(2)/2))/(LN(2)/2)*AQ87*AT87*VLOOKUP('Données projet'!$B$10,Paramètres!$A$1:$I$89,3,0)*0.475*44/12</f>
        <v>6.5451766228627521</v>
      </c>
      <c r="AX87" s="21">
        <f t="shared" si="60"/>
        <v>64.389804328885049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355.09</v>
      </c>
      <c r="BB87" s="12">
        <f>VLOOKUP(A87,'Données projet'!$A$87:$I$107,9,0)</f>
        <v>9.546999999999997</v>
      </c>
      <c r="BC87" s="12">
        <f t="array" ref="BC87">INDEX(BB:BB,MIN(IF(ISNUMBER(BB87:BB283),ROW(BB87:BB283),"")))</f>
        <v>9.546999999999997</v>
      </c>
      <c r="BD87" s="12">
        <f>IF('Données projet'!$A$88&gt;35,BD86+BC87-BL86,IF(A87&lt;'Données projet'!$A$88,$BA$205^A87,IF(A87='Données projet'!$A$88,'Données projet'!$B$88,BD86+BC87-BL86)))</f>
        <v>355.09000000000049</v>
      </c>
      <c r="BE87" s="13">
        <f>BD87*VLOOKUP('Données projet'!$B$11,Paramètres!$A$1:$I$89,3,0)*VLOOKUP('Données projet'!$B$11,Paramètres!$A$1:$I$89,5,0)</f>
        <v>321.28543200000041</v>
      </c>
      <c r="BF87" s="13">
        <f t="shared" si="91"/>
        <v>75.620750353808944</v>
      </c>
      <c r="BG87" s="20">
        <f t="shared" si="61"/>
        <v>691.27826759955133</v>
      </c>
      <c r="BH87" s="59">
        <f t="shared" si="62"/>
        <v>984.61160093288458</v>
      </c>
      <c r="BI87" s="59">
        <f ca="1">AVERAGE(OFFSET($BH$3,0,0,'Données projet'!$E$11+1,1))-AVERAGE(OFFSET($H$3,0,0,'Données projet'!$E$11+1,1))</f>
        <v>573.17174498173017</v>
      </c>
      <c r="BJ87" s="59">
        <f t="shared" si="92"/>
        <v>260.48854096157231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66.69</v>
      </c>
      <c r="BM87" s="16">
        <f>IF(ISNA(VLOOKUP(A87,'Données projet'!$A$87:$I$107,5,0)),0%,VLOOKUP(A87,'Données projet'!$A$87:$I$107,5,0)*VLOOKUP('Données projet'!$B$11,Paramètres!$A$1:$I$89,7,0))</f>
        <v>0.15049999999999999</v>
      </c>
      <c r="BN87" s="16">
        <f>IF(ISNA(VLOOKUP(A87,'Données projet'!$A$87:$I$107,6,0)),0%,VLOOKUP(A87,'Données projet'!$A$87:$I$107,6,0)*VLOOKUP('Données projet'!$B$11,Paramètres!$A$1:$I$89,7,0))</f>
        <v>8.6000000000000007E-2</v>
      </c>
      <c r="BO87" s="16">
        <f>IF(ISNA(VLOOKUP(A87,'Données projet'!$A$87:$I$107,7,0)),0%,VLOOKUP(A87,'Données projet'!$A$87:$I$107,7,0))</f>
        <v>0.1</v>
      </c>
      <c r="BP87" s="21">
        <f>EXP(-LN(2)/35)*BP86+(1-EXP(-LN(2)/35))/(LN(2)/35)*BL87*BM87*VLOOKUP('Données projet'!$B$11,Paramètres!$A$1:$I$89,3,0)*0.475*44/12</f>
        <v>22.036678946661006</v>
      </c>
      <c r="BQ87" s="21">
        <f>EXP(-LN(2)/25)*BQ86+(1-EXP(-LN(2)/25))/(LN(2)/25)*Calculateur!BL87*Calculateur!BN87*VLOOKUP('Données projet'!$B$11,Paramètres!$A$1:$I$89,3,0)*0.475*44/12</f>
        <v>29.578527314097339</v>
      </c>
      <c r="BR87" s="21">
        <f>EXP(-LN(2)/2)*BR86+(1-EXP(-LN(2)/2))/(LN(2)/2)*BL87*BO87*VLOOKUP('Données projet'!$B$11,Paramètres!$A$1:$I$89,3,0)*0.475*44/12</f>
        <v>5.8403114480929164</v>
      </c>
      <c r="BS87" s="22">
        <f t="shared" si="63"/>
        <v>57.455517708851261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355.09</v>
      </c>
      <c r="BW87" s="12">
        <f>VLOOKUP(A87,'Données projet'!$A$113:$I$133,9,0)</f>
        <v>9.546999999999997</v>
      </c>
      <c r="BX87" s="12">
        <f t="array" ref="BX87">INDEX(BW:BW,MIN(IF(ISNUMBER(BW87:BW283),ROW(BW87:BW283),"")))</f>
        <v>9.546999999999997</v>
      </c>
      <c r="BY87" s="12">
        <f>IF('Données projet'!$A$114&gt;35,BY86+BX87-CG86,IF(A87&lt;'Données projet'!$A$114,$BV$205^A87,IF(A87='Données projet'!$A$114,'Données projet'!$B$114,BY86+BX87-CG86)))</f>
        <v>355.09000000000049</v>
      </c>
      <c r="BZ87" s="13">
        <f>BY87*VLOOKUP('Données projet'!$B$12,Paramètres!$A$1:$I$89,3,0)*VLOOKUP('Données projet'!$B$12,Paramètres!$A$1:$I$89,5,0)</f>
        <v>337.9036440000005</v>
      </c>
      <c r="CA87" s="13">
        <f t="shared" si="93"/>
        <v>79.066670217764312</v>
      </c>
      <c r="CB87" s="20">
        <f t="shared" si="64"/>
        <v>726.22329726260705</v>
      </c>
      <c r="CC87" s="59">
        <f t="shared" si="65"/>
        <v>1019.5566305959403</v>
      </c>
      <c r="CD87" s="59">
        <f ca="1">AVERAGE(OFFSET($CC$3,0,0,'Données projet'!$E$12+1,1))-AVERAGE(OFFSET($H$3,0,0,'Données projet'!$E$12+1,1))</f>
        <v>603.61135046904178</v>
      </c>
      <c r="CE87" s="59">
        <f t="shared" si="94"/>
        <v>272.84936867513068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66.69</v>
      </c>
      <c r="CH87" s="16">
        <f>IF(ISNA(VLOOKUP(A87,'Données projet'!$A$113:$I$133,5,0)),0%,VLOOKUP(A87,'Données projet'!$A$113:$I$133,5,0)*VLOOKUP('Données projet'!$B$12,Paramètres!$A$1:$I$89,7,0))</f>
        <v>0.15049999999999999</v>
      </c>
      <c r="CI87" s="16">
        <f>IF(ISNA(VLOOKUP(A87,'Données projet'!$A$113:$I$133,6,0)),0%,VLOOKUP(A87,'Données projet'!$A$113:$I$133,6,0)*VLOOKUP('Données projet'!$B$12,Paramètres!$A$1:$I$89,7,0))</f>
        <v>8.6000000000000007E-2</v>
      </c>
      <c r="CJ87" s="16">
        <f>IF(ISNA(VLOOKUP(A87,'Données projet'!$A$113:$I$133,7,0)),0%,VLOOKUP(A87,'Données projet'!$A$113:$I$133,7,0))</f>
        <v>0.1</v>
      </c>
      <c r="CK87" s="21">
        <f>EXP(-LN(2)/35)*CK86+(1-EXP(-LN(2)/35))/(LN(2)/35)*CG87*CH87*VLOOKUP('Données projet'!$B$12,Paramètres!$A$1:$I$89,3,0)*0.475*44/12</f>
        <v>23.176507168040022</v>
      </c>
      <c r="CL87" s="21">
        <f>EXP(-LN(2)/25)*CL86+(1-EXP(-LN(2)/25))/(LN(2)/25)*Calculateur!CG87*Calculateur!CI87*VLOOKUP('Données projet'!$B$12,Paramètres!$A$1:$I$89,3,0)*0.475*44/12</f>
        <v>31.108451140688576</v>
      </c>
      <c r="CM87" s="21">
        <f>EXP(-LN(2)/2)*CM86+(1-EXP(-LN(2)/2))/(LN(2)/2)*CG87*CJ87*VLOOKUP('Données projet'!$B$12,Paramètres!$A$1:$I$89,3,0)*0.475*44/12</f>
        <v>6.1423965229942743</v>
      </c>
      <c r="CN87" s="22">
        <f t="shared" si="66"/>
        <v>60.427354831722873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25.525500000000001</v>
      </c>
      <c r="D88" s="11">
        <f t="shared" si="86"/>
        <v>8.0677887723174315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142.62413829650561</v>
      </c>
      <c r="H88" s="67">
        <f t="shared" si="56"/>
        <v>315.17497794511956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147.43589743589743</v>
      </c>
      <c r="L88" s="12">
        <f>VLOOKUP(A88,'Données projet'!$A$35:$I$55,9,0)</f>
        <v>2.0512820512820498</v>
      </c>
      <c r="M88" s="12">
        <f t="array" ref="M88">INDEX(L:L,MIN(IF(ISNUMBER(L88:L284),ROW(L88:L284),"")))</f>
        <v>2.0512820512820498</v>
      </c>
      <c r="N88" s="13">
        <f>IF('Données projet'!$A$36&gt;35,N87+M88-V87,IF(A88&lt;'Données projet'!$A$36,$K$205^A88,IF(A88='Données projet'!$A$36,'Données projet'!$B$36,N87+M88-V87)))</f>
        <v>147.43589743589752</v>
      </c>
      <c r="O88" s="13">
        <f>N88*VLOOKUP('Données projet'!$B$9,Paramètres!$A$1:$I$89,3,0)*VLOOKUP('Données projet'!$B$9,Paramètres!$A$1:$I$89,5,0)</f>
        <v>154.10000000000011</v>
      </c>
      <c r="P88" s="13">
        <f t="shared" si="87"/>
        <v>39.508857983748619</v>
      </c>
      <c r="Q88" s="20">
        <f t="shared" si="54"/>
        <v>337.20209432169565</v>
      </c>
      <c r="R88" s="59">
        <f t="shared" si="55"/>
        <v>630.53542765502903</v>
      </c>
      <c r="S88" s="59">
        <f ca="1">AVERAGE(OFFSET($R$3,0,0,'Données projet'!$E$9+1,1))-AVERAGE(OFFSET($H$3,0,0,'Données projet'!$E$9+1,1))</f>
        <v>225.9892575177542</v>
      </c>
      <c r="T88" s="59">
        <f t="shared" si="88"/>
        <v>215.88467215650428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7.6923076923076916</v>
      </c>
      <c r="W88" s="16">
        <f>IF(ISNA(VLOOKUP(A88,'Données projet'!$A$35:$I$55,5,0)),0%,VLOOKUP(A88,'Données projet'!$A$35:$I$55,5,0)*VLOOKUP('Données projet'!$B$9,Paramètres!$A$1:$I$89,7,0))</f>
        <v>4.3000000000000003E-2</v>
      </c>
      <c r="X88" s="16">
        <f>IF(ISNA(VLOOKUP(A88,'Données projet'!$A$35:$I$55,6,0)),0%,VLOOKUP(A88,'Données projet'!$A$35:$I$55,6,0)*VLOOKUP('Données projet'!$B$9,Paramètres!$A$1:$I$89,7,0))</f>
        <v>0.215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2.5669726598472398</v>
      </c>
      <c r="AA88" s="21">
        <f>EXP(-LN(2)/25)*AA87+(1-EXP(-LN(2)/25))/(LN(2)/25)*Calculateur!V88*Calculateur!X88*VLOOKUP('Données projet'!$B$9,Paramètres!$A$1:$I$89,3,0)*0.475*44/12</f>
        <v>18.417850933954441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20.984823593801678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9.1730000000000018</v>
      </c>
      <c r="AI88" s="13">
        <f>IF('Données projet'!$A$62&gt;35,AI87+AH88-AQ87,IF(A88&lt;'Données projet'!$A$62,$AF$205^A88,IF(A88='Données projet'!$A$62,'Données projet'!$B$62,AI87+AH88-AQ87)))</f>
        <v>297.57300000000049</v>
      </c>
      <c r="AJ88" s="13">
        <f>AI88*VLOOKUP('Données projet'!$B$10,Paramètres!$A$1:$I$89,3,0)*VLOOKUP('Données projet'!$B$10,Paramètres!$A$1:$I$89,5,0)</f>
        <v>301.73902200000055</v>
      </c>
      <c r="AK88" s="13">
        <f t="shared" si="89"/>
        <v>71.540906554302211</v>
      </c>
      <c r="AL88" s="20">
        <f t="shared" si="58"/>
        <v>650.12920889874385</v>
      </c>
      <c r="AM88" s="59">
        <f t="shared" si="59"/>
        <v>943.46254223207711</v>
      </c>
      <c r="AN88" s="59">
        <f ca="1">AVERAGE(OFFSET($AM$3,0,0,'Données projet'!$E$10+1,1))-AVERAGE(OFFSET($H$3,0,0,'Données projet'!$E$10+1,1))</f>
        <v>644.15138437063933</v>
      </c>
      <c r="AO88" s="59">
        <f t="shared" si="90"/>
        <v>289.3097279858207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24.211999178994084</v>
      </c>
      <c r="AV88" s="21">
        <f>EXP(-LN(2)/25)*AV87+(1-EXP(-LN(2)/25))/(LN(2)/25)*Calculateur!AQ88*Calculateur!AS88*VLOOKUP('Données projet'!$B$10,Paramètres!$A$1:$I$89,3,0)*0.475*44/12</f>
        <v>32.241906213787985</v>
      </c>
      <c r="AW88" s="21">
        <f>EXP(-LN(2)/2)*AW87+(1-EXP(-LN(2)/2))/(LN(2)/2)*AQ88*AT88*VLOOKUP('Données projet'!$B$10,Paramètres!$A$1:$I$89,3,0)*0.475*44/12</f>
        <v>4.6281387740899183</v>
      </c>
      <c r="AX88" s="21">
        <f t="shared" si="60"/>
        <v>61.082044166871988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9.1730000000000018</v>
      </c>
      <c r="BD88" s="12">
        <f>IF('Données projet'!$A$88&gt;35,BD87+BC88-BL87,IF(A88&lt;'Données projet'!$A$88,$BA$205^A88,IF(A88='Données projet'!$A$88,'Données projet'!$B$88,BD87+BC88-BL87)))</f>
        <v>297.57300000000049</v>
      </c>
      <c r="BE88" s="13">
        <f>BD88*VLOOKUP('Données projet'!$B$11,Paramètres!$A$1:$I$89,3,0)*VLOOKUP('Données projet'!$B$11,Paramètres!$A$1:$I$89,5,0)</f>
        <v>269.24405040000045</v>
      </c>
      <c r="BF88" s="13">
        <f t="shared" si="91"/>
        <v>64.688811534365087</v>
      </c>
      <c r="BG88" s="20">
        <f t="shared" si="61"/>
        <v>581.59973453568659</v>
      </c>
      <c r="BH88" s="59">
        <f t="shared" si="62"/>
        <v>874.93306786901985</v>
      </c>
      <c r="BI88" s="59">
        <f ca="1">AVERAGE(OFFSET($BH$3,0,0,'Données projet'!$E$11+1,1))-AVERAGE(OFFSET($H$3,0,0,'Données projet'!$E$11+1,1))</f>
        <v>573.17174498173017</v>
      </c>
      <c r="BJ88" s="59">
        <f t="shared" si="92"/>
        <v>260.48854096157231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21.604553113563949</v>
      </c>
      <c r="BQ88" s="21">
        <f>EXP(-LN(2)/25)*BQ87+(1-EXP(-LN(2)/25))/(LN(2)/25)*Calculateur!BL88*Calculateur!BN88*VLOOKUP('Données projet'!$B$11,Paramètres!$A$1:$I$89,3,0)*0.475*44/12</f>
        <v>28.7697009292262</v>
      </c>
      <c r="BR88" s="21">
        <f>EXP(-LN(2)/2)*BR87+(1-EXP(-LN(2)/2))/(LN(2)/2)*BL88*BO88*VLOOKUP('Données projet'!$B$11,Paramètres!$A$1:$I$89,3,0)*0.475*44/12</f>
        <v>4.1297238291879266</v>
      </c>
      <c r="BS88" s="22">
        <f t="shared" si="63"/>
        <v>54.503977871978073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9.1730000000000018</v>
      </c>
      <c r="BY88" s="12">
        <f>IF('Données projet'!$A$114&gt;35,BY87+BX88-CG87,IF(A88&lt;'Données projet'!$A$114,$BV$205^A88,IF(A88='Données projet'!$A$114,'Données projet'!$B$114,BY87+BX88-CG87)))</f>
        <v>297.57300000000049</v>
      </c>
      <c r="BZ88" s="13">
        <f>BY88*VLOOKUP('Données projet'!$B$12,Paramètres!$A$1:$I$89,3,0)*VLOOKUP('Données projet'!$B$12,Paramètres!$A$1:$I$89,5,0)</f>
        <v>283.17046680000044</v>
      </c>
      <c r="CA88" s="13">
        <f t="shared" si="93"/>
        <v>67.63657996563542</v>
      </c>
      <c r="CB88" s="20">
        <f t="shared" si="64"/>
        <v>610.98893978348235</v>
      </c>
      <c r="CC88" s="59">
        <f t="shared" si="65"/>
        <v>904.32227311681572</v>
      </c>
      <c r="CD88" s="59">
        <f ca="1">AVERAGE(OFFSET($CC$3,0,0,'Données projet'!$E$12+1,1))-AVERAGE(OFFSET($H$3,0,0,'Données projet'!$E$12+1,1))</f>
        <v>603.61135046904178</v>
      </c>
      <c r="CE88" s="59">
        <f t="shared" si="94"/>
        <v>272.84936867513068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22.722029998748287</v>
      </c>
      <c r="CL88" s="21">
        <f>EXP(-LN(2)/25)*CL87+(1-EXP(-LN(2)/25))/(LN(2)/25)*Calculateur!CG88*Calculateur!CI88*VLOOKUP('Données projet'!$B$12,Paramètres!$A$1:$I$89,3,0)*0.475*44/12</f>
        <v>30.257788908324102</v>
      </c>
      <c r="CM88" s="21">
        <f>EXP(-LN(2)/2)*CM87+(1-EXP(-LN(2)/2))/(LN(2)/2)*CG88*CJ88*VLOOKUP('Données projet'!$B$12,Paramètres!$A$1:$I$89,3,0)*0.475*44/12</f>
        <v>4.343330234145923</v>
      </c>
      <c r="CN88" s="22">
        <f t="shared" si="66"/>
        <v>57.323149141218309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25.825800000000001</v>
      </c>
      <c r="D89" s="11">
        <f t="shared" si="86"/>
        <v>8.1515986350831326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144.25492052087927</v>
      </c>
      <c r="H89" s="67">
        <f t="shared" si="56"/>
        <v>315.84396928943647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1.9230769230769169</v>
      </c>
      <c r="N89" s="13">
        <f>IF('Données projet'!$A$36&gt;35,N88+M89-V88,IF(A89&lt;'Données projet'!$A$36,$K$205^A89,IF(A89='Données projet'!$A$36,'Données projet'!$B$36,N88+M89-V88)))</f>
        <v>141.66666666666674</v>
      </c>
      <c r="O89" s="13">
        <f>N89*VLOOKUP('Données projet'!$B$9,Paramètres!$A$1:$I$89,3,0)*VLOOKUP('Données projet'!$B$9,Paramètres!$A$1:$I$89,5,0)</f>
        <v>148.07000000000011</v>
      </c>
      <c r="P89" s="13">
        <f t="shared" si="87"/>
        <v>38.13965617111247</v>
      </c>
      <c r="Q89" s="20">
        <f t="shared" si="54"/>
        <v>324.31515116468773</v>
      </c>
      <c r="R89" s="59">
        <f t="shared" si="55"/>
        <v>617.64848449802105</v>
      </c>
      <c r="S89" s="59">
        <f ca="1">AVERAGE(OFFSET($R$3,0,0,'Données projet'!$E$9+1,1))-AVERAGE(OFFSET($H$3,0,0,'Données projet'!$E$9+1,1))</f>
        <v>225.9892575177542</v>
      </c>
      <c r="T89" s="59">
        <f t="shared" si="88"/>
        <v>215.88467215650428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2.516635891686358</v>
      </c>
      <c r="AA89" s="21">
        <f>EXP(-LN(2)/25)*AA88+(1-EXP(-LN(2)/25))/(LN(2)/25)*Calculateur!V89*Calculateur!X89*VLOOKUP('Données projet'!$B$9,Paramètres!$A$1:$I$89,3,0)*0.475*44/12</f>
        <v>17.91421383161277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20.430849723299129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9.1730000000000018</v>
      </c>
      <c r="AI89" s="13">
        <f>IF('Données projet'!$A$62&gt;35,AI88+AH89-AQ88,IF(A89&lt;'Données projet'!$A$62,$AF$205^A89,IF(A89='Données projet'!$A$62,'Données projet'!$B$62,AI88+AH89-AQ88)))</f>
        <v>306.74600000000049</v>
      </c>
      <c r="AJ89" s="13">
        <f>AI89*VLOOKUP('Données projet'!$B$10,Paramètres!$A$1:$I$89,3,0)*VLOOKUP('Données projet'!$B$10,Paramètres!$A$1:$I$89,5,0)</f>
        <v>311.04044400000055</v>
      </c>
      <c r="AK89" s="13">
        <f t="shared" si="89"/>
        <v>73.486073899132336</v>
      </c>
      <c r="AL89" s="20">
        <f t="shared" si="58"/>
        <v>669.71701867432307</v>
      </c>
      <c r="AM89" s="59">
        <f t="shared" si="59"/>
        <v>963.05035200765633</v>
      </c>
      <c r="AN89" s="59">
        <f ca="1">AVERAGE(OFFSET($AM$3,0,0,'Données projet'!$E$10+1,1))-AVERAGE(OFFSET($H$3,0,0,'Données projet'!$E$10+1,1))</f>
        <v>644.15138437063933</v>
      </c>
      <c r="AO89" s="59">
        <f t="shared" si="90"/>
        <v>289.3097279858207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23.737216642955303</v>
      </c>
      <c r="AV89" s="21">
        <f>EXP(-LN(2)/25)*AV88+(1-EXP(-LN(2)/25))/(LN(2)/25)*Calculateur!AQ89*Calculateur!AS89*VLOOKUP('Données projet'!$B$10,Paramètres!$A$1:$I$89,3,0)*0.475*44/12</f>
        <v>31.360249592843793</v>
      </c>
      <c r="AW89" s="21">
        <f>EXP(-LN(2)/2)*AW88+(1-EXP(-LN(2)/2))/(LN(2)/2)*AQ89*AT89*VLOOKUP('Données projet'!$B$10,Paramètres!$A$1:$I$89,3,0)*0.475*44/12</f>
        <v>3.2725883114313765</v>
      </c>
      <c r="AX89" s="21">
        <f t="shared" si="60"/>
        <v>58.370054547230474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9.1730000000000018</v>
      </c>
      <c r="BD89" s="12">
        <f>IF('Données projet'!$A$88&gt;35,BD88+BC89-BL88,IF(A89&lt;'Données projet'!$A$88,$BA$205^A89,IF(A89='Données projet'!$A$88,'Données projet'!$B$88,BD88+BC89-BL88)))</f>
        <v>306.74600000000049</v>
      </c>
      <c r="BE89" s="13">
        <f>BD89*VLOOKUP('Données projet'!$B$11,Paramètres!$A$1:$I$89,3,0)*VLOOKUP('Données projet'!$B$11,Paramètres!$A$1:$I$89,5,0)</f>
        <v>277.54378080000043</v>
      </c>
      <c r="BF89" s="13">
        <f t="shared" si="91"/>
        <v>66.447673279805883</v>
      </c>
      <c r="BG89" s="20">
        <f t="shared" si="61"/>
        <v>599.11844918899601</v>
      </c>
      <c r="BH89" s="59">
        <f t="shared" si="62"/>
        <v>892.45178252232927</v>
      </c>
      <c r="BI89" s="59">
        <f ca="1">AVERAGE(OFFSET($BH$3,0,0,'Données projet'!$E$11+1,1))-AVERAGE(OFFSET($H$3,0,0,'Données projet'!$E$11+1,1))</f>
        <v>573.17174498173017</v>
      </c>
      <c r="BJ89" s="59">
        <f t="shared" si="92"/>
        <v>260.48854096157231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21.180901004483189</v>
      </c>
      <c r="BQ89" s="21">
        <f>EXP(-LN(2)/25)*BQ88+(1-EXP(-LN(2)/25))/(LN(2)/25)*Calculateur!BL89*Calculateur!BN89*VLOOKUP('Données projet'!$B$11,Paramètres!$A$1:$I$89,3,0)*0.475*44/12</f>
        <v>27.982991944383691</v>
      </c>
      <c r="BR89" s="21">
        <f>EXP(-LN(2)/2)*BR88+(1-EXP(-LN(2)/2))/(LN(2)/2)*BL89*BO89*VLOOKUP('Données projet'!$B$11,Paramètres!$A$1:$I$89,3,0)*0.475*44/12</f>
        <v>2.9201557240464586</v>
      </c>
      <c r="BS89" s="22">
        <f t="shared" si="63"/>
        <v>52.08404867291334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9.1730000000000018</v>
      </c>
      <c r="BY89" s="12">
        <f>IF('Données projet'!$A$114&gt;35,BY88+BX89-CG88,IF(A89&lt;'Données projet'!$A$114,$BV$205^A89,IF(A89='Données projet'!$A$114,'Données projet'!$B$114,BY88+BX89-CG88)))</f>
        <v>306.74600000000049</v>
      </c>
      <c r="BZ89" s="13">
        <f>BY89*VLOOKUP('Données projet'!$B$12,Paramètres!$A$1:$I$89,3,0)*VLOOKUP('Données projet'!$B$12,Paramètres!$A$1:$I$89,5,0)</f>
        <v>291.89949360000043</v>
      </c>
      <c r="CA89" s="13">
        <f t="shared" si="93"/>
        <v>69.475590302543566</v>
      </c>
      <c r="CB89" s="20">
        <f t="shared" si="64"/>
        <v>629.39493779693078</v>
      </c>
      <c r="CC89" s="59">
        <f t="shared" si="65"/>
        <v>922.72827113026415</v>
      </c>
      <c r="CD89" s="59">
        <f ca="1">AVERAGE(OFFSET($CC$3,0,0,'Données projet'!$E$12+1,1))-AVERAGE(OFFSET($H$3,0,0,'Données projet'!$E$12+1,1))</f>
        <v>603.61135046904178</v>
      </c>
      <c r="CE89" s="59">
        <f t="shared" si="94"/>
        <v>272.84936867513068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22.276464849542663</v>
      </c>
      <c r="CL89" s="21">
        <f>EXP(-LN(2)/25)*CL88+(1-EXP(-LN(2)/25))/(LN(2)/25)*Calculateur!CG89*Calculateur!CI89*VLOOKUP('Données projet'!$B$12,Paramètres!$A$1:$I$89,3,0)*0.475*44/12</f>
        <v>29.430388079438014</v>
      </c>
      <c r="CM89" s="21">
        <f>EXP(-LN(2)/2)*CM88+(1-EXP(-LN(2)/2))/(LN(2)/2)*CG89*CJ89*VLOOKUP('Données projet'!$B$12,Paramètres!$A$1:$I$89,3,0)*0.475*44/12</f>
        <v>3.0711982614971376</v>
      </c>
      <c r="CN89" s="22">
        <f t="shared" si="66"/>
        <v>54.778051190477818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26.126100000000001</v>
      </c>
      <c r="D90" s="11">
        <f t="shared" si="86"/>
        <v>8.2352951362049129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145.88522145546651</v>
      </c>
      <c r="H90" s="67">
        <f t="shared" si="56"/>
        <v>316.51276319555689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1.9230769230769169</v>
      </c>
      <c r="N90" s="13">
        <f>IF('Données projet'!$A$36&gt;35,N89+M90-V89,IF(A90&lt;'Données projet'!$A$36,$K$205^A90,IF(A90='Données projet'!$A$36,'Données projet'!$B$36,N89+M90-V89)))</f>
        <v>143.58974358974365</v>
      </c>
      <c r="O90" s="13">
        <f>N90*VLOOKUP('Données projet'!$B$9,Paramètres!$A$1:$I$89,3,0)*VLOOKUP('Données projet'!$B$9,Paramètres!$A$1:$I$89,5,0)</f>
        <v>150.08000000000007</v>
      </c>
      <c r="P90" s="13">
        <f t="shared" si="87"/>
        <v>38.596765343718673</v>
      </c>
      <c r="Q90" s="20">
        <f t="shared" si="54"/>
        <v>328.61203297364347</v>
      </c>
      <c r="R90" s="59">
        <f t="shared" si="55"/>
        <v>621.94536630697678</v>
      </c>
      <c r="S90" s="59">
        <f ca="1">AVERAGE(OFFSET($R$3,0,0,'Données projet'!$E$9+1,1))-AVERAGE(OFFSET($H$3,0,0,'Données projet'!$E$9+1,1))</f>
        <v>225.9892575177542</v>
      </c>
      <c r="T90" s="59">
        <f t="shared" si="88"/>
        <v>215.88467215650428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2.4672861968467141</v>
      </c>
      <c r="AA90" s="21">
        <f>EXP(-LN(2)/25)*AA89+(1-EXP(-LN(2)/25))/(LN(2)/25)*Calculateur!V90*Calculateur!X90*VLOOKUP('Données projet'!$B$9,Paramètres!$A$1:$I$89,3,0)*0.475*44/12</f>
        <v>17.424348712319755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19.89163490916647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9.1730000000000018</v>
      </c>
      <c r="AI90" s="13">
        <f>IF('Données projet'!$A$62&gt;35,AI89+AH90-AQ89,IF(A90&lt;'Données projet'!$A$62,$AF$205^A90,IF(A90='Données projet'!$A$62,'Données projet'!$B$62,AI89+AH90-AQ89)))</f>
        <v>315.91900000000049</v>
      </c>
      <c r="AJ90" s="13">
        <f>AI90*VLOOKUP('Données projet'!$B$10,Paramètres!$A$1:$I$89,3,0)*VLOOKUP('Données projet'!$B$10,Paramètres!$A$1:$I$89,5,0)</f>
        <v>320.34186600000049</v>
      </c>
      <c r="AK90" s="13">
        <f t="shared" si="89"/>
        <v>75.424481111671</v>
      </c>
      <c r="AL90" s="20">
        <f t="shared" si="58"/>
        <v>689.29305455282781</v>
      </c>
      <c r="AM90" s="59">
        <f t="shared" si="59"/>
        <v>982.62638788616118</v>
      </c>
      <c r="AN90" s="59">
        <f ca="1">AVERAGE(OFFSET($AM$3,0,0,'Données projet'!$E$10+1,1))-AVERAGE(OFFSET($H$3,0,0,'Données projet'!$E$10+1,1))</f>
        <v>644.15138437063933</v>
      </c>
      <c r="AO90" s="59">
        <f t="shared" si="90"/>
        <v>289.3097279858207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23.271744302859492</v>
      </c>
      <c r="AV90" s="21">
        <f>EXP(-LN(2)/25)*AV89+(1-EXP(-LN(2)/25))/(LN(2)/25)*Calculateur!AQ90*Calculateur!AS90*VLOOKUP('Données projet'!$B$10,Paramètres!$A$1:$I$89,3,0)*0.475*44/12</f>
        <v>30.502701918563627</v>
      </c>
      <c r="AW90" s="21">
        <f>EXP(-LN(2)/2)*AW89+(1-EXP(-LN(2)/2))/(LN(2)/2)*AQ90*AT90*VLOOKUP('Données projet'!$B$10,Paramètres!$A$1:$I$89,3,0)*0.475*44/12</f>
        <v>2.3140693870449596</v>
      </c>
      <c r="AX90" s="21">
        <f t="shared" si="60"/>
        <v>56.088515608468079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9.1730000000000018</v>
      </c>
      <c r="BD90" s="12">
        <f>IF('Données projet'!$A$88&gt;35,BD89+BC90-BL89,IF(A90&lt;'Données projet'!$A$88,$BA$205^A90,IF(A90='Données projet'!$A$88,'Données projet'!$B$88,BD89+BC90-BL89)))</f>
        <v>315.91900000000049</v>
      </c>
      <c r="BE90" s="13">
        <f>BD90*VLOOKUP('Données projet'!$B$11,Paramètres!$A$1:$I$89,3,0)*VLOOKUP('Données projet'!$B$11,Paramètres!$A$1:$I$89,5,0)</f>
        <v>285.84351120000042</v>
      </c>
      <c r="BF90" s="13">
        <f t="shared" si="91"/>
        <v>68.200422369637309</v>
      </c>
      <c r="BG90" s="20">
        <f t="shared" si="61"/>
        <v>616.62651763378562</v>
      </c>
      <c r="BH90" s="59">
        <f t="shared" si="62"/>
        <v>909.95985096711888</v>
      </c>
      <c r="BI90" s="59">
        <f ca="1">AVERAGE(OFFSET($BH$3,0,0,'Données projet'!$E$11+1,1))-AVERAGE(OFFSET($H$3,0,0,'Données projet'!$E$11+1,1))</f>
        <v>573.17174498173017</v>
      </c>
      <c r="BJ90" s="59">
        <f t="shared" si="92"/>
        <v>260.48854096157231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20.765556454859233</v>
      </c>
      <c r="BQ90" s="21">
        <f>EXP(-LN(2)/25)*BQ89+(1-EXP(-LN(2)/25))/(LN(2)/25)*Calculateur!BL90*Calculateur!BN90*VLOOKUP('Données projet'!$B$11,Paramètres!$A$1:$I$89,3,0)*0.475*44/12</f>
        <v>27.217795558102928</v>
      </c>
      <c r="BR90" s="21">
        <f>EXP(-LN(2)/2)*BR89+(1-EXP(-LN(2)/2))/(LN(2)/2)*BL90*BO90*VLOOKUP('Données projet'!$B$11,Paramètres!$A$1:$I$89,3,0)*0.475*44/12</f>
        <v>2.0648619145939637</v>
      </c>
      <c r="BS90" s="22">
        <f t="shared" si="63"/>
        <v>50.04821392755612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9.1730000000000018</v>
      </c>
      <c r="BY90" s="12">
        <f>IF('Données projet'!$A$114&gt;35,BY89+BX90-CG89,IF(A90&lt;'Données projet'!$A$114,$BV$205^A90,IF(A90='Données projet'!$A$114,'Données projet'!$B$114,BY89+BX90-CG89)))</f>
        <v>315.91900000000049</v>
      </c>
      <c r="BZ90" s="13">
        <f>BY90*VLOOKUP('Données projet'!$B$12,Paramètres!$A$1:$I$89,3,0)*VLOOKUP('Données projet'!$B$12,Paramètres!$A$1:$I$89,5,0)</f>
        <v>300.62852040000047</v>
      </c>
      <c r="CA90" s="13">
        <f t="shared" si="93"/>
        <v>71.308209439642781</v>
      </c>
      <c r="CB90" s="20">
        <f t="shared" si="64"/>
        <v>647.78980447071194</v>
      </c>
      <c r="CC90" s="59">
        <f t="shared" si="65"/>
        <v>941.1231378040452</v>
      </c>
      <c r="CD90" s="59">
        <f ca="1">AVERAGE(OFFSET($CC$3,0,0,'Données projet'!$E$12+1,1))-AVERAGE(OFFSET($H$3,0,0,'Données projet'!$E$12+1,1))</f>
        <v>603.61135046904178</v>
      </c>
      <c r="CE90" s="59">
        <f t="shared" si="94"/>
        <v>272.84936867513068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21.839636961145054</v>
      </c>
      <c r="CL90" s="21">
        <f>EXP(-LN(2)/25)*CL89+(1-EXP(-LN(2)/25))/(LN(2)/25)*Calculateur!CG90*Calculateur!CI90*VLOOKUP('Données projet'!$B$12,Paramètres!$A$1:$I$89,3,0)*0.475*44/12</f>
        <v>28.625612569728936</v>
      </c>
      <c r="CM90" s="21">
        <f>EXP(-LN(2)/2)*CM89+(1-EXP(-LN(2)/2))/(LN(2)/2)*CG90*CJ90*VLOOKUP('Données projet'!$B$12,Paramètres!$A$1:$I$89,3,0)*0.475*44/12</f>
        <v>2.1716651170729619</v>
      </c>
      <c r="CN90" s="22">
        <f t="shared" si="66"/>
        <v>52.636914647946952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26.426400000000001</v>
      </c>
      <c r="D91" s="11">
        <f t="shared" si="86"/>
        <v>8.3188797294519006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147.51504727240984</v>
      </c>
      <c r="H91" s="67">
        <f t="shared" si="56"/>
        <v>317.18136219546204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1.9230769230769169</v>
      </c>
      <c r="N91" s="13">
        <f>IF('Données projet'!$A$36&gt;35,N90+M91-V90,IF(A91&lt;'Données projet'!$A$36,$K$205^A91,IF(A91='Données projet'!$A$36,'Données projet'!$B$36,N90+M91-V90)))</f>
        <v>145.51282051282055</v>
      </c>
      <c r="O91" s="13">
        <f>N91*VLOOKUP('Données projet'!$B$9,Paramètres!$A$1:$I$89,3,0)*VLOOKUP('Données projet'!$B$9,Paramètres!$A$1:$I$89,5,0)</f>
        <v>152.09000000000006</v>
      </c>
      <c r="P91" s="13">
        <f t="shared" si="87"/>
        <v>39.053162448424146</v>
      </c>
      <c r="Q91" s="20">
        <f t="shared" si="54"/>
        <v>332.90767459767216</v>
      </c>
      <c r="R91" s="59">
        <f t="shared" si="55"/>
        <v>626.24100793100547</v>
      </c>
      <c r="S91" s="59">
        <f ca="1">AVERAGE(OFFSET($R$3,0,0,'Données projet'!$E$9+1,1))-AVERAGE(OFFSET($H$3,0,0,'Données projet'!$E$9+1,1))</f>
        <v>225.9892575177542</v>
      </c>
      <c r="T91" s="59">
        <f t="shared" si="88"/>
        <v>215.88467215650428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2.4189042194225339</v>
      </c>
      <c r="AA91" s="21">
        <f>EXP(-LN(2)/25)*AA90+(1-EXP(-LN(2)/25))/(LN(2)/25)*Calculateur!V91*Calculateur!X91*VLOOKUP('Données projet'!$B$9,Paramètres!$A$1:$I$89,3,0)*0.475*44/12</f>
        <v>16.947878980474698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19.366783199897231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9.1730000000000018</v>
      </c>
      <c r="AI91" s="13">
        <f>IF('Données projet'!$A$62&gt;35,AI90+AH91-AQ90,IF(A91&lt;'Données projet'!$A$62,$AF$205^A91,IF(A91='Données projet'!$A$62,'Données projet'!$B$62,AI90+AH91-AQ90)))</f>
        <v>325.0920000000005</v>
      </c>
      <c r="AJ91" s="13">
        <f>AI91*VLOOKUP('Données projet'!$B$10,Paramètres!$A$1:$I$89,3,0)*VLOOKUP('Données projet'!$B$10,Paramètres!$A$1:$I$89,5,0)</f>
        <v>329.64328800000055</v>
      </c>
      <c r="AK91" s="13">
        <f t="shared" si="89"/>
        <v>77.356347018802538</v>
      </c>
      <c r="AL91" s="20">
        <f t="shared" si="58"/>
        <v>708.85769765774864</v>
      </c>
      <c r="AM91" s="59">
        <f t="shared" si="59"/>
        <v>1002.191030991082</v>
      </c>
      <c r="AN91" s="59">
        <f ca="1">AVERAGE(OFFSET($AM$3,0,0,'Données projet'!$E$10+1,1))-AVERAGE(OFFSET($H$3,0,0,'Données projet'!$E$10+1,1))</f>
        <v>644.15138437063933</v>
      </c>
      <c r="AO91" s="59">
        <f t="shared" si="90"/>
        <v>289.3097279858207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22.815399591442866</v>
      </c>
      <c r="AV91" s="21">
        <f>EXP(-LN(2)/25)*AV90+(1-EXP(-LN(2)/25))/(LN(2)/25)*Calculateur!AQ91*Calculateur!AS91*VLOOKUP('Données projet'!$B$10,Paramètres!$A$1:$I$89,3,0)*0.475*44/12</f>
        <v>29.668603930533127</v>
      </c>
      <c r="AW91" s="21">
        <f>EXP(-LN(2)/2)*AW90+(1-EXP(-LN(2)/2))/(LN(2)/2)*AQ91*AT91*VLOOKUP('Données projet'!$B$10,Paramètres!$A$1:$I$89,3,0)*0.475*44/12</f>
        <v>1.6362941557156885</v>
      </c>
      <c r="AX91" s="21">
        <f t="shared" si="60"/>
        <v>54.120297677691681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9.1730000000000018</v>
      </c>
      <c r="BD91" s="12">
        <f>IF('Données projet'!$A$88&gt;35,BD90+BC91-BL90,IF(A91&lt;'Données projet'!$A$88,$BA$205^A91,IF(A91='Données projet'!$A$88,'Données projet'!$B$88,BD90+BC91-BL90)))</f>
        <v>325.0920000000005</v>
      </c>
      <c r="BE91" s="13">
        <f>BD91*VLOOKUP('Données projet'!$B$11,Paramètres!$A$1:$I$89,3,0)*VLOOKUP('Données projet'!$B$11,Paramètres!$A$1:$I$89,5,0)</f>
        <v>294.14324160000047</v>
      </c>
      <c r="BF91" s="13">
        <f t="shared" si="91"/>
        <v>69.947256671789191</v>
      </c>
      <c r="BG91" s="20">
        <f t="shared" si="61"/>
        <v>634.12428449003357</v>
      </c>
      <c r="BH91" s="59">
        <f t="shared" si="62"/>
        <v>927.45761782336695</v>
      </c>
      <c r="BI91" s="59">
        <f ca="1">AVERAGE(OFFSET($BH$3,0,0,'Données projet'!$E$11+1,1))-AVERAGE(OFFSET($H$3,0,0,'Données projet'!$E$11+1,1))</f>
        <v>573.17174498173017</v>
      </c>
      <c r="BJ91" s="59">
        <f t="shared" si="92"/>
        <v>260.48854096157231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20.358356558518242</v>
      </c>
      <c r="BQ91" s="21">
        <f>EXP(-LN(2)/25)*BQ90+(1-EXP(-LN(2)/25))/(LN(2)/25)*Calculateur!BL91*Calculateur!BN91*VLOOKUP('Données projet'!$B$11,Paramètres!$A$1:$I$89,3,0)*0.475*44/12</f>
        <v>26.473523507244941</v>
      </c>
      <c r="BR91" s="21">
        <f>EXP(-LN(2)/2)*BR90+(1-EXP(-LN(2)/2))/(LN(2)/2)*BL91*BO91*VLOOKUP('Données projet'!$B$11,Paramètres!$A$1:$I$89,3,0)*0.475*44/12</f>
        <v>1.4600778620232295</v>
      </c>
      <c r="BS91" s="22">
        <f t="shared" si="63"/>
        <v>48.291957927786413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9.1730000000000018</v>
      </c>
      <c r="BY91" s="12">
        <f>IF('Données projet'!$A$114&gt;35,BY90+BX91-CG90,IF(A91&lt;'Données projet'!$A$114,$BV$205^A91,IF(A91='Données projet'!$A$114,'Données projet'!$B$114,BY90+BX91-CG90)))</f>
        <v>325.0920000000005</v>
      </c>
      <c r="BZ91" s="13">
        <f>BY91*VLOOKUP('Données projet'!$B$12,Paramètres!$A$1:$I$89,3,0)*VLOOKUP('Données projet'!$B$12,Paramètres!$A$1:$I$89,5,0)</f>
        <v>309.35754720000051</v>
      </c>
      <c r="CA91" s="13">
        <f t="shared" si="93"/>
        <v>73.134644261396232</v>
      </c>
      <c r="CB91" s="20">
        <f t="shared" si="64"/>
        <v>666.17390012859926</v>
      </c>
      <c r="CC91" s="59">
        <f t="shared" si="65"/>
        <v>959.50723346193263</v>
      </c>
      <c r="CD91" s="59">
        <f ca="1">AVERAGE(OFFSET($CC$3,0,0,'Données projet'!$E$12+1,1))-AVERAGE(OFFSET($H$3,0,0,'Données projet'!$E$12+1,1))</f>
        <v>603.61135046904178</v>
      </c>
      <c r="CE91" s="59">
        <f t="shared" si="94"/>
        <v>272.84936867513068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21.41137500120022</v>
      </c>
      <c r="CL91" s="21">
        <f>EXP(-LN(2)/25)*CL90+(1-EXP(-LN(2)/25))/(LN(2)/25)*Calculateur!CG91*Calculateur!CI91*VLOOKUP('Données projet'!$B$12,Paramètres!$A$1:$I$89,3,0)*0.475*44/12</f>
        <v>27.84284368865416</v>
      </c>
      <c r="CM91" s="21">
        <f>EXP(-LN(2)/2)*CM90+(1-EXP(-LN(2)/2))/(LN(2)/2)*CG91*CJ91*VLOOKUP('Données projet'!$B$12,Paramètres!$A$1:$I$89,3,0)*0.475*44/12</f>
        <v>1.535599130748569</v>
      </c>
      <c r="CN91" s="22">
        <f t="shared" si="66"/>
        <v>50.789817820602956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26.726700000000001</v>
      </c>
      <c r="D92" s="11">
        <f t="shared" si="86"/>
        <v>8.4023538336509418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149.14440399550048</v>
      </c>
      <c r="H92" s="67">
        <f t="shared" si="56"/>
        <v>317.84976876027542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1.9230769230769169</v>
      </c>
      <c r="N92" s="13">
        <f>IF('Données projet'!$A$36&gt;35,N91+M92-V91,IF(A92&lt;'Données projet'!$A$36,$K$205^A92,IF(A92='Données projet'!$A$36,'Données projet'!$B$36,N91+M92-V91)))</f>
        <v>147.43589743589746</v>
      </c>
      <c r="O92" s="13">
        <f>N92*VLOOKUP('Données projet'!$B$9,Paramètres!$A$1:$I$89,3,0)*VLOOKUP('Données projet'!$B$9,Paramètres!$A$1:$I$89,5,0)</f>
        <v>154.10000000000002</v>
      </c>
      <c r="P92" s="13">
        <f t="shared" si="87"/>
        <v>39.508857983748619</v>
      </c>
      <c r="Q92" s="20">
        <f t="shared" si="54"/>
        <v>337.20209432169548</v>
      </c>
      <c r="R92" s="59">
        <f t="shared" si="55"/>
        <v>630.5354276550288</v>
      </c>
      <c r="S92" s="59">
        <f ca="1">AVERAGE(OFFSET($R$3,0,0,'Données projet'!$E$9+1,1))-AVERAGE(OFFSET($H$3,0,0,'Données projet'!$E$9+1,1))</f>
        <v>225.9892575177542</v>
      </c>
      <c r="T92" s="59">
        <f t="shared" si="88"/>
        <v>215.88467215650428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2.3714709830655494</v>
      </c>
      <c r="AA92" s="21">
        <f>EXP(-LN(2)/25)*AA91+(1-EXP(-LN(2)/25))/(LN(2)/25)*Calculateur!V92*Calculateur!X92*VLOOKUP('Données projet'!$B$9,Paramètres!$A$1:$I$89,3,0)*0.475*44/12</f>
        <v>16.484438338503399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18.855909321568948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9.1730000000000018</v>
      </c>
      <c r="AI92" s="13">
        <f>IF('Données projet'!$A$62&gt;35,AI91+AH92-AQ91,IF(A92&lt;'Données projet'!$A$62,$AF$205^A92,IF(A92='Données projet'!$A$62,'Données projet'!$B$62,AI91+AH92-AQ91)))</f>
        <v>334.2650000000005</v>
      </c>
      <c r="AJ92" s="13">
        <f>AI92*VLOOKUP('Données projet'!$B$10,Paramètres!$A$1:$I$89,3,0)*VLOOKUP('Données projet'!$B$10,Paramètres!$A$1:$I$89,5,0)</f>
        <v>338.9447100000005</v>
      </c>
      <c r="AK92" s="13">
        <f t="shared" si="89"/>
        <v>79.281877395777414</v>
      </c>
      <c r="AL92" s="20">
        <f t="shared" si="58"/>
        <v>728.41130638097991</v>
      </c>
      <c r="AM92" s="59">
        <f t="shared" si="59"/>
        <v>1021.7446397143133</v>
      </c>
      <c r="AN92" s="59">
        <f ca="1">AVERAGE(OFFSET($AM$3,0,0,'Données projet'!$E$10+1,1))-AVERAGE(OFFSET($H$3,0,0,'Données projet'!$E$10+1,1))</f>
        <v>644.15138437063933</v>
      </c>
      <c r="AO92" s="59">
        <f t="shared" si="90"/>
        <v>289.3097279858207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22.368003521474328</v>
      </c>
      <c r="AV92" s="21">
        <f>EXP(-LN(2)/25)*AV91+(1-EXP(-LN(2)/25))/(LN(2)/25)*Calculateur!AQ92*Calculateur!AS92*VLOOKUP('Données projet'!$B$10,Paramètres!$A$1:$I$89,3,0)*0.475*44/12</f>
        <v>28.857314395848626</v>
      </c>
      <c r="AW92" s="21">
        <f>EXP(-LN(2)/2)*AW91+(1-EXP(-LN(2)/2))/(LN(2)/2)*AQ92*AT92*VLOOKUP('Données projet'!$B$10,Paramètres!$A$1:$I$89,3,0)*0.475*44/12</f>
        <v>1.15703469352248</v>
      </c>
      <c r="AX92" s="21">
        <f t="shared" si="60"/>
        <v>52.382352610845437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9.1730000000000018</v>
      </c>
      <c r="BD92" s="12">
        <f>IF('Données projet'!$A$88&gt;35,BD91+BC92-BL91,IF(A92&lt;'Données projet'!$A$88,$BA$205^A92,IF(A92='Données projet'!$A$88,'Données projet'!$B$88,BD91+BC92-BL91)))</f>
        <v>334.2650000000005</v>
      </c>
      <c r="BE92" s="13">
        <f>BD92*VLOOKUP('Données projet'!$B$11,Paramètres!$A$1:$I$89,3,0)*VLOOKUP('Données projet'!$B$11,Paramètres!$A$1:$I$89,5,0)</f>
        <v>302.44297200000045</v>
      </c>
      <c r="BF92" s="13">
        <f t="shared" si="91"/>
        <v>71.688362252626035</v>
      </c>
      <c r="BG92" s="20">
        <f t="shared" si="61"/>
        <v>651.61207382332452</v>
      </c>
      <c r="BH92" s="59">
        <f t="shared" si="62"/>
        <v>944.94540715665789</v>
      </c>
      <c r="BI92" s="59">
        <f ca="1">AVERAGE(OFFSET($BH$3,0,0,'Données projet'!$E$11+1,1))-AVERAGE(OFFSET($H$3,0,0,'Données projet'!$E$11+1,1))</f>
        <v>573.17174498173017</v>
      </c>
      <c r="BJ92" s="59">
        <f t="shared" si="92"/>
        <v>260.48854096157231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19.959141603777088</v>
      </c>
      <c r="BQ92" s="21">
        <f>EXP(-LN(2)/25)*BQ91+(1-EXP(-LN(2)/25))/(LN(2)/25)*Calculateur!BL92*Calculateur!BN92*VLOOKUP('Données projet'!$B$11,Paramètres!$A$1:$I$89,3,0)*0.475*44/12</f>
        <v>25.749603614757234</v>
      </c>
      <c r="BR92" s="21">
        <f>EXP(-LN(2)/2)*BR91+(1-EXP(-LN(2)/2))/(LN(2)/2)*BL92*BO92*VLOOKUP('Données projet'!$B$11,Paramètres!$A$1:$I$89,3,0)*0.475*44/12</f>
        <v>1.0324309572969819</v>
      </c>
      <c r="BS92" s="22">
        <f t="shared" si="63"/>
        <v>46.741176175831299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9.1730000000000018</v>
      </c>
      <c r="BY92" s="12">
        <f>IF('Données projet'!$A$114&gt;35,BY91+BX92-CG91,IF(A92&lt;'Données projet'!$A$114,$BV$205^A92,IF(A92='Données projet'!$A$114,'Données projet'!$B$114,BY91+BX92-CG91)))</f>
        <v>334.2650000000005</v>
      </c>
      <c r="BZ92" s="13">
        <f>BY92*VLOOKUP('Données projet'!$B$12,Paramètres!$A$1:$I$89,3,0)*VLOOKUP('Données projet'!$B$12,Paramètres!$A$1:$I$89,5,0)</f>
        <v>318.0865740000005</v>
      </c>
      <c r="CA92" s="13">
        <f t="shared" si="93"/>
        <v>74.955089312923036</v>
      </c>
      <c r="CB92" s="20">
        <f t="shared" si="64"/>
        <v>684.5475636033417</v>
      </c>
      <c r="CC92" s="59">
        <f t="shared" si="65"/>
        <v>977.88089693667507</v>
      </c>
      <c r="CD92" s="59">
        <f ca="1">AVERAGE(OFFSET($CC$3,0,0,'Données projet'!$E$12+1,1))-AVERAGE(OFFSET($H$3,0,0,'Données projet'!$E$12+1,1))</f>
        <v>603.61135046904178</v>
      </c>
      <c r="CE92" s="59">
        <f t="shared" si="94"/>
        <v>272.84936867513068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20.991510997075903</v>
      </c>
      <c r="CL92" s="21">
        <f>EXP(-LN(2)/25)*CL91+(1-EXP(-LN(2)/25))/(LN(2)/25)*Calculateur!CG92*Calculateur!CI92*VLOOKUP('Données projet'!$B$12,Paramètres!$A$1:$I$89,3,0)*0.475*44/12</f>
        <v>27.081479663796397</v>
      </c>
      <c r="CM92" s="21">
        <f>EXP(-LN(2)/2)*CM91+(1-EXP(-LN(2)/2))/(LN(2)/2)*CG92*CJ92*VLOOKUP('Données projet'!$B$12,Paramètres!$A$1:$I$89,3,0)*0.475*44/12</f>
        <v>1.085832558536481</v>
      </c>
      <c r="CN92" s="22">
        <f t="shared" si="66"/>
        <v>49.158823219408781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27.027000000000001</v>
      </c>
      <c r="D93" s="11">
        <f t="shared" si="86"/>
        <v>8.4857188339094556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150.77329750536998</v>
      </c>
      <c r="H93" s="67">
        <f t="shared" si="56"/>
        <v>318.51798530239233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149.35897435897434</v>
      </c>
      <c r="L93" s="12">
        <f>VLOOKUP(A93,'Données projet'!$A$35:$I$55,9,0)</f>
        <v>1.9230769230769169</v>
      </c>
      <c r="M93" s="12">
        <f t="array" ref="M93">INDEX(L:L,MIN(IF(ISNUMBER(L93:L289),ROW(L93:L289),"")))</f>
        <v>1.9230769230769169</v>
      </c>
      <c r="N93" s="13">
        <f>IF('Données projet'!$A$36&gt;35,N92+M93-V92,IF(A93&lt;'Données projet'!$A$36,$K$205^A93,IF(A93='Données projet'!$A$36,'Données projet'!$B$36,N92+M93-V92)))</f>
        <v>149.35897435897436</v>
      </c>
      <c r="O93" s="13">
        <f>N93*VLOOKUP('Données projet'!$B$9,Paramètres!$A$1:$I$89,3,0)*VLOOKUP('Données projet'!$B$9,Paramètres!$A$1:$I$89,5,0)</f>
        <v>156.11000000000001</v>
      </c>
      <c r="P93" s="13">
        <f t="shared" si="87"/>
        <v>39.963862158593372</v>
      </c>
      <c r="Q93" s="20">
        <f t="shared" si="54"/>
        <v>341.49530992621681</v>
      </c>
      <c r="R93" s="59">
        <f t="shared" si="55"/>
        <v>634.82864325955006</v>
      </c>
      <c r="S93" s="59">
        <f ca="1">AVERAGE(OFFSET($R$3,0,0,'Données projet'!$E$9+1,1))-AVERAGE(OFFSET($H$3,0,0,'Données projet'!$E$9+1,1))</f>
        <v>225.9892575177542</v>
      </c>
      <c r="T93" s="59">
        <f t="shared" si="88"/>
        <v>215.88467215650428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7.0512820512820511</v>
      </c>
      <c r="W93" s="16">
        <f>IF(ISNA(VLOOKUP(A93,'Données projet'!$A$35:$I$55,5,0)),0%,VLOOKUP(A93,'Données projet'!$A$35:$I$55,5,0)*VLOOKUP('Données projet'!$B$9,Paramètres!$A$1:$I$89,7,0))</f>
        <v>4.3000000000000003E-2</v>
      </c>
      <c r="X93" s="16">
        <f>IF(ISNA(VLOOKUP(A93,'Données projet'!$A$35:$I$55,6,0)),0%,VLOOKUP(A93,'Données projet'!$A$35:$I$55,6,0)*VLOOKUP('Données projet'!$B$9,Paramètres!$A$1:$I$89,7,0))</f>
        <v>0.215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2.6753025015198952</v>
      </c>
      <c r="AA93" s="21">
        <f>EXP(-LN(2)/25)*AA92+(1-EXP(-LN(2)/25))/(LN(2)/25)*Calculateur!V93*Calculateur!X93*VLOOKUP('Données projet'!$B$9,Paramètres!$A$1:$I$89,3,0)*0.475*44/12</f>
        <v>17.778446590752356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20.45374909227225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9.1730000000000018</v>
      </c>
      <c r="AI93" s="13">
        <f>IF('Données projet'!$A$62&gt;35,AI92+AH93-AQ92,IF(A93&lt;'Données projet'!$A$62,$AF$205^A93,IF(A93='Données projet'!$A$62,'Données projet'!$B$62,AI92+AH93-AQ92)))</f>
        <v>343.4380000000005</v>
      </c>
      <c r="AJ93" s="13">
        <f>AI93*VLOOKUP('Données projet'!$B$10,Paramètres!$A$1:$I$89,3,0)*VLOOKUP('Données projet'!$B$10,Paramètres!$A$1:$I$89,5,0)</f>
        <v>348.24613200000056</v>
      </c>
      <c r="AK93" s="13">
        <f t="shared" si="89"/>
        <v>81.201266081189317</v>
      </c>
      <c r="AL93" s="20">
        <f t="shared" si="58"/>
        <v>747.95421832473903</v>
      </c>
      <c r="AM93" s="59">
        <f t="shared" si="59"/>
        <v>1041.2875516580723</v>
      </c>
      <c r="AN93" s="59">
        <f ca="1">AVERAGE(OFFSET($AM$3,0,0,'Données projet'!$E$10+1,1))-AVERAGE(OFFSET($H$3,0,0,'Données projet'!$E$10+1,1))</f>
        <v>644.15138437063933</v>
      </c>
      <c r="AO93" s="59">
        <f t="shared" si="90"/>
        <v>289.3097279858207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21.929380615553217</v>
      </c>
      <c r="AV93" s="21">
        <f>EXP(-LN(2)/25)*AV92+(1-EXP(-LN(2)/25))/(LN(2)/25)*Calculateur!AQ93*Calculateur!AS93*VLOOKUP('Données projet'!$B$10,Paramètres!$A$1:$I$89,3,0)*0.475*44/12</f>
        <v>28.068209616153936</v>
      </c>
      <c r="AW93" s="21">
        <f>EXP(-LN(2)/2)*AW92+(1-EXP(-LN(2)/2))/(LN(2)/2)*AQ93*AT93*VLOOKUP('Données projet'!$B$10,Paramètres!$A$1:$I$89,3,0)*0.475*44/12</f>
        <v>0.81814707785784435</v>
      </c>
      <c r="AX93" s="21">
        <f t="shared" si="60"/>
        <v>50.815737309564994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9.1730000000000018</v>
      </c>
      <c r="BD93" s="12">
        <f>IF('Données projet'!$A$88&gt;35,BD92+BC93-BL92,IF(A93&lt;'Données projet'!$A$88,$BA$205^A93,IF(A93='Données projet'!$A$88,'Données projet'!$B$88,BD92+BC93-BL92)))</f>
        <v>343.4380000000005</v>
      </c>
      <c r="BE93" s="13">
        <f>BD93*VLOOKUP('Données projet'!$B$11,Paramètres!$A$1:$I$89,3,0)*VLOOKUP('Données projet'!$B$11,Paramètres!$A$1:$I$89,5,0)</f>
        <v>310.74270240000044</v>
      </c>
      <c r="BF93" s="13">
        <f t="shared" si="91"/>
        <v>73.423914385133031</v>
      </c>
      <c r="BG93" s="20">
        <f t="shared" si="61"/>
        <v>669.09019090077402</v>
      </c>
      <c r="BH93" s="59">
        <f t="shared" si="62"/>
        <v>962.42352423410739</v>
      </c>
      <c r="BI93" s="59">
        <f ca="1">AVERAGE(OFFSET($BH$3,0,0,'Données projet'!$E$11+1,1))-AVERAGE(OFFSET($H$3,0,0,'Données projet'!$E$11+1,1))</f>
        <v>573.17174498173017</v>
      </c>
      <c r="BJ93" s="59">
        <f t="shared" si="92"/>
        <v>260.48854096157231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19.567755010801328</v>
      </c>
      <c r="BQ93" s="21">
        <f>EXP(-LN(2)/25)*BQ92+(1-EXP(-LN(2)/25))/(LN(2)/25)*Calculateur!BL93*Calculateur!BN93*VLOOKUP('Données projet'!$B$11,Paramètres!$A$1:$I$89,3,0)*0.475*44/12</f>
        <v>25.045479349798896</v>
      </c>
      <c r="BR93" s="21">
        <f>EXP(-LN(2)/2)*BR92+(1-EXP(-LN(2)/2))/(LN(2)/2)*BL93*BO93*VLOOKUP('Données projet'!$B$11,Paramètres!$A$1:$I$89,3,0)*0.475*44/12</f>
        <v>0.73003893101161477</v>
      </c>
      <c r="BS93" s="22">
        <f t="shared" si="63"/>
        <v>45.343273291611837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9.1730000000000018</v>
      </c>
      <c r="BY93" s="12">
        <f>IF('Données projet'!$A$114&gt;35,BY92+BX93-CG92,IF(A93&lt;'Données projet'!$A$114,$BV$205^A93,IF(A93='Données projet'!$A$114,'Données projet'!$B$114,BY92+BX93-CG92)))</f>
        <v>343.4380000000005</v>
      </c>
      <c r="BZ93" s="13">
        <f>BY93*VLOOKUP('Données projet'!$B$12,Paramètres!$A$1:$I$89,3,0)*VLOOKUP('Données projet'!$B$12,Paramètres!$A$1:$I$89,5,0)</f>
        <v>326.81560080000048</v>
      </c>
      <c r="CA93" s="13">
        <f t="shared" si="93"/>
        <v>76.769727854125406</v>
      </c>
      <c r="CB93" s="20">
        <f t="shared" si="64"/>
        <v>702.91111407260257</v>
      </c>
      <c r="CC93" s="59">
        <f t="shared" si="65"/>
        <v>996.24444740593594</v>
      </c>
      <c r="CD93" s="59">
        <f ca="1">AVERAGE(OFFSET($CC$3,0,0,'Données projet'!$E$12+1,1))-AVERAGE(OFFSET($H$3,0,0,'Données projet'!$E$12+1,1))</f>
        <v>603.61135046904178</v>
      </c>
      <c r="CE93" s="59">
        <f t="shared" si="94"/>
        <v>272.84936867513068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20.579880269980706</v>
      </c>
      <c r="CL93" s="21">
        <f>EXP(-LN(2)/25)*CL92+(1-EXP(-LN(2)/25))/(LN(2)/25)*Calculateur!CG93*Calculateur!CI93*VLOOKUP('Données projet'!$B$12,Paramètres!$A$1:$I$89,3,0)*0.475*44/12</f>
        <v>26.340935178236766</v>
      </c>
      <c r="CM93" s="21">
        <f>EXP(-LN(2)/2)*CM92+(1-EXP(-LN(2)/2))/(LN(2)/2)*CG93*CJ93*VLOOKUP('Données projet'!$B$12,Paramètres!$A$1:$I$89,3,0)*0.475*44/12</f>
        <v>0.76779956537428451</v>
      </c>
      <c r="CN93" s="22">
        <f t="shared" si="66"/>
        <v>47.68861501359175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27.327300000000001</v>
      </c>
      <c r="D94" s="11">
        <f t="shared" si="86"/>
        <v>8.5689760827823331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152.40173354444431</v>
      </c>
      <c r="H94" s="67">
        <f t="shared" si="56"/>
        <v>319.18601417751256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1.7948717948717956</v>
      </c>
      <c r="N94" s="13">
        <f>IF('Données projet'!$A$36&gt;35,N93+M94-V93,IF(A94&lt;'Données projet'!$A$36,$K$205^A94,IF(A94='Données projet'!$A$36,'Données projet'!$B$36,N93+M94-V93)))</f>
        <v>144.10256410256412</v>
      </c>
      <c r="O94" s="13">
        <f>N94*VLOOKUP('Données projet'!$B$9,Paramètres!$A$1:$I$89,3,0)*VLOOKUP('Données projet'!$B$9,Paramètres!$A$1:$I$89,5,0)</f>
        <v>150.61600000000004</v>
      </c>
      <c r="P94" s="13">
        <f t="shared" si="87"/>
        <v>38.718540424004757</v>
      </c>
      <c r="Q94" s="20">
        <f t="shared" si="54"/>
        <v>329.75765790514163</v>
      </c>
      <c r="R94" s="59">
        <f t="shared" si="55"/>
        <v>623.090991238475</v>
      </c>
      <c r="S94" s="59">
        <f ca="1">AVERAGE(OFFSET($R$3,0,0,'Données projet'!$E$9+1,1))-AVERAGE(OFFSET($H$3,0,0,'Données projet'!$E$9+1,1))</f>
        <v>225.9892575177542</v>
      </c>
      <c r="T94" s="59">
        <f t="shared" si="88"/>
        <v>215.88467215650428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2.6228414512384917</v>
      </c>
      <c r="AA94" s="21">
        <f>EXP(-LN(2)/25)*AA93+(1-EXP(-LN(2)/25))/(LN(2)/25)*Calculateur!V94*Calculateur!X94*VLOOKUP('Données projet'!$B$9,Paramètres!$A$1:$I$89,3,0)*0.475*44/12</f>
        <v>17.29229403380036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19.915135485038853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9.1730000000000018</v>
      </c>
      <c r="AI94" s="13">
        <f>IF('Données projet'!$A$62&gt;35,AI93+AH94-AQ93,IF(A94&lt;'Données projet'!$A$62,$AF$205^A94,IF(A94='Données projet'!$A$62,'Données projet'!$B$62,AI93+AH94-AQ93)))</f>
        <v>352.6110000000005</v>
      </c>
      <c r="AJ94" s="13">
        <f>AI94*VLOOKUP('Données projet'!$B$10,Paramètres!$A$1:$I$89,3,0)*VLOOKUP('Données projet'!$B$10,Paramètres!$A$1:$I$89,5,0)</f>
        <v>357.54755400000056</v>
      </c>
      <c r="AK94" s="13">
        <f t="shared" si="89"/>
        <v>83.114695969480493</v>
      </c>
      <c r="AL94" s="20">
        <f t="shared" si="58"/>
        <v>767.48675203017956</v>
      </c>
      <c r="AM94" s="59">
        <f t="shared" si="59"/>
        <v>1060.8200853635128</v>
      </c>
      <c r="AN94" s="59">
        <f ca="1">AVERAGE(OFFSET($AM$3,0,0,'Données projet'!$E$10+1,1))-AVERAGE(OFFSET($H$3,0,0,'Données projet'!$E$10+1,1))</f>
        <v>644.15138437063933</v>
      </c>
      <c r="AO94" s="59">
        <f t="shared" si="90"/>
        <v>289.3097279858207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21.499358837283662</v>
      </c>
      <c r="AV94" s="21">
        <f>EXP(-LN(2)/25)*AV93+(1-EXP(-LN(2)/25))/(LN(2)/25)*Calculateur!AQ94*Calculateur!AS94*VLOOKUP('Données projet'!$B$10,Paramètres!$A$1:$I$89,3,0)*0.475*44/12</f>
        <v>27.300682948157213</v>
      </c>
      <c r="AW94" s="21">
        <f>EXP(-LN(2)/2)*AW93+(1-EXP(-LN(2)/2))/(LN(2)/2)*AQ94*AT94*VLOOKUP('Données projet'!$B$10,Paramètres!$A$1:$I$89,3,0)*0.475*44/12</f>
        <v>0.57851734676124</v>
      </c>
      <c r="AX94" s="21">
        <f t="shared" si="60"/>
        <v>49.378559132202113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9.1730000000000018</v>
      </c>
      <c r="BD94" s="12">
        <f>IF('Données projet'!$A$88&gt;35,BD93+BC94-BL93,IF(A94&lt;'Données projet'!$A$88,$BA$205^A94,IF(A94='Données projet'!$A$88,'Données projet'!$B$88,BD93+BC94-BL93)))</f>
        <v>352.6110000000005</v>
      </c>
      <c r="BE94" s="13">
        <f>BD94*VLOOKUP('Données projet'!$B$11,Paramètres!$A$1:$I$89,3,0)*VLOOKUP('Données projet'!$B$11,Paramètres!$A$1:$I$89,5,0)</f>
        <v>319.04243280000043</v>
      </c>
      <c r="BF94" s="13">
        <f t="shared" si="91"/>
        <v>75.154078446360543</v>
      </c>
      <c r="BG94" s="20">
        <f t="shared" si="61"/>
        <v>686.55892375407859</v>
      </c>
      <c r="BH94" s="59">
        <f t="shared" si="62"/>
        <v>979.89225708741196</v>
      </c>
      <c r="BI94" s="59">
        <f ca="1">AVERAGE(OFFSET($BH$3,0,0,'Données projet'!$E$11+1,1))-AVERAGE(OFFSET($H$3,0,0,'Données projet'!$E$11+1,1))</f>
        <v>573.17174498173017</v>
      </c>
      <c r="BJ94" s="59">
        <f t="shared" si="92"/>
        <v>260.48854096157231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19.184043270191573</v>
      </c>
      <c r="BQ94" s="21">
        <f>EXP(-LN(2)/25)*BQ93+(1-EXP(-LN(2)/25))/(LN(2)/25)*Calculateur!BL94*Calculateur!BN94*VLOOKUP('Données projet'!$B$11,Paramètres!$A$1:$I$89,3,0)*0.475*44/12</f>
        <v>24.360609399894127</v>
      </c>
      <c r="BR94" s="21">
        <f>EXP(-LN(2)/2)*BR93+(1-EXP(-LN(2)/2))/(LN(2)/2)*BL94*BO94*VLOOKUP('Données projet'!$B$11,Paramètres!$A$1:$I$89,3,0)*0.475*44/12</f>
        <v>0.51621547864849093</v>
      </c>
      <c r="BS94" s="22">
        <f t="shared" si="63"/>
        <v>44.060868148734187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9.1730000000000018</v>
      </c>
      <c r="BY94" s="12">
        <f>IF('Données projet'!$A$114&gt;35,BY93+BX94-CG93,IF(A94&lt;'Données projet'!$A$114,$BV$205^A94,IF(A94='Données projet'!$A$114,'Données projet'!$B$114,BY93+BX94-CG93)))</f>
        <v>352.6110000000005</v>
      </c>
      <c r="BZ94" s="13">
        <f>BY94*VLOOKUP('Données projet'!$B$12,Paramètres!$A$1:$I$89,3,0)*VLOOKUP('Données projet'!$B$12,Paramètres!$A$1:$I$89,5,0)</f>
        <v>335.54462760000047</v>
      </c>
      <c r="CA94" s="13">
        <f t="shared" si="93"/>
        <v>78.578732798028639</v>
      </c>
      <c r="CB94" s="20">
        <f t="shared" si="64"/>
        <v>721.26485269323393</v>
      </c>
      <c r="CC94" s="59">
        <f t="shared" si="65"/>
        <v>1014.5981860265672</v>
      </c>
      <c r="CD94" s="59">
        <f ca="1">AVERAGE(OFFSET($CC$3,0,0,'Données projet'!$E$12+1,1))-AVERAGE(OFFSET($H$3,0,0,'Données projet'!$E$12+1,1))</f>
        <v>603.61135046904178</v>
      </c>
      <c r="CE94" s="59">
        <f t="shared" si="94"/>
        <v>272.84936867513068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20.176321370373895</v>
      </c>
      <c r="CL94" s="21">
        <f>EXP(-LN(2)/25)*CL93+(1-EXP(-LN(2)/25))/(LN(2)/25)*Calculateur!CG94*Calculateur!CI94*VLOOKUP('Données projet'!$B$12,Paramètres!$A$1:$I$89,3,0)*0.475*44/12</f>
        <v>25.620640920578303</v>
      </c>
      <c r="CM94" s="21">
        <f>EXP(-LN(2)/2)*CM93+(1-EXP(-LN(2)/2))/(LN(2)/2)*CG94*CJ94*VLOOKUP('Données projet'!$B$12,Paramètres!$A$1:$I$89,3,0)*0.475*44/12</f>
        <v>0.54291627926824049</v>
      </c>
      <c r="CN94" s="22">
        <f t="shared" si="66"/>
        <v>46.339878570220435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27.627600000000001</v>
      </c>
      <c r="D95" s="11">
        <f t="shared" si="86"/>
        <v>8.652126901386147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154.02971772167456</v>
      </c>
      <c r="H95" s="67">
        <f t="shared" si="56"/>
        <v>319.85385768658091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1.7948717948717956</v>
      </c>
      <c r="N95" s="13">
        <f>IF('Données projet'!$A$36&gt;35,N94+M95-V94,IF(A95&lt;'Données projet'!$A$36,$K$205^A95,IF(A95='Données projet'!$A$36,'Données projet'!$B$36,N94+M95-V94)))</f>
        <v>145.89743589743591</v>
      </c>
      <c r="O95" s="13">
        <f>N95*VLOOKUP('Données projet'!$B$9,Paramètres!$A$1:$I$89,3,0)*VLOOKUP('Données projet'!$B$9,Paramètres!$A$1:$I$89,5,0)</f>
        <v>152.49200000000002</v>
      </c>
      <c r="P95" s="13">
        <f t="shared" si="87"/>
        <v>39.144357350259597</v>
      </c>
      <c r="Q95" s="20">
        <f t="shared" si="54"/>
        <v>333.76665571836884</v>
      </c>
      <c r="R95" s="59">
        <f t="shared" si="55"/>
        <v>627.0999890517021</v>
      </c>
      <c r="S95" s="59">
        <f ca="1">AVERAGE(OFFSET($R$3,0,0,'Données projet'!$E$9+1,1))-AVERAGE(OFFSET($H$3,0,0,'Données projet'!$E$9+1,1))</f>
        <v>225.9892575177542</v>
      </c>
      <c r="T95" s="59">
        <f t="shared" si="88"/>
        <v>215.88467215650428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2.5714091301550255</v>
      </c>
      <c r="AA95" s="21">
        <f>EXP(-LN(2)/25)*AA94+(1-EXP(-LN(2)/25))/(LN(2)/25)*Calculateur!V95*Calculateur!X95*VLOOKUP('Données projet'!$B$9,Paramètres!$A$1:$I$89,3,0)*0.475*44/12</f>
        <v>16.819435344083868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19.390844474238893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9.1730000000000018</v>
      </c>
      <c r="AI95" s="13">
        <f>IF('Données projet'!$A$62&gt;35,AI94+AH95-AQ94,IF(A95&lt;'Données projet'!$A$62,$AF$205^A95,IF(A95='Données projet'!$A$62,'Données projet'!$B$62,AI94+AH95-AQ94)))</f>
        <v>361.7840000000005</v>
      </c>
      <c r="AJ95" s="13">
        <f>AI95*VLOOKUP('Données projet'!$B$10,Paramètres!$A$1:$I$89,3,0)*VLOOKUP('Données projet'!$B$10,Paramètres!$A$1:$I$89,5,0)</f>
        <v>366.8489760000005</v>
      </c>
      <c r="AK95" s="13">
        <f t="shared" si="89"/>
        <v>85.022339897263734</v>
      </c>
      <c r="AL95" s="20">
        <f t="shared" si="58"/>
        <v>787.00920852106856</v>
      </c>
      <c r="AM95" s="59">
        <f t="shared" si="59"/>
        <v>1080.3425418544018</v>
      </c>
      <c r="AN95" s="59">
        <f ca="1">AVERAGE(OFFSET($AM$3,0,0,'Données projet'!$E$10+1,1))-AVERAGE(OFFSET($H$3,0,0,'Données projet'!$E$10+1,1))</f>
        <v>644.15138437063933</v>
      </c>
      <c r="AO95" s="59">
        <f t="shared" si="90"/>
        <v>289.3097279858207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21.077769523798587</v>
      </c>
      <c r="AV95" s="21">
        <f>EXP(-LN(2)/25)*AV94+(1-EXP(-LN(2)/25))/(LN(2)/25)*Calculateur!AQ95*Calculateur!AS95*VLOOKUP('Données projet'!$B$10,Paramètres!$A$1:$I$89,3,0)*0.475*44/12</f>
        <v>26.554144337259334</v>
      </c>
      <c r="AW95" s="21">
        <f>EXP(-LN(2)/2)*AW94+(1-EXP(-LN(2)/2))/(LN(2)/2)*AQ95*AT95*VLOOKUP('Données projet'!$B$10,Paramètres!$A$1:$I$89,3,0)*0.475*44/12</f>
        <v>0.40907353892892218</v>
      </c>
      <c r="AX95" s="21">
        <f t="shared" si="60"/>
        <v>48.040987399986847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9.1730000000000018</v>
      </c>
      <c r="BD95" s="12">
        <f>IF('Données projet'!$A$88&gt;35,BD94+BC95-BL94,IF(A95&lt;'Données projet'!$A$88,$BA$205^A95,IF(A95='Données projet'!$A$88,'Données projet'!$B$88,BD94+BC95-BL94)))</f>
        <v>361.7840000000005</v>
      </c>
      <c r="BE95" s="13">
        <f>BD95*VLOOKUP('Données projet'!$B$11,Paramètres!$A$1:$I$89,3,0)*VLOOKUP('Données projet'!$B$11,Paramètres!$A$1:$I$89,5,0)</f>
        <v>327.34216320000047</v>
      </c>
      <c r="BF95" s="13">
        <f t="shared" si="91"/>
        <v>76.87901071885527</v>
      </c>
      <c r="BG95" s="20">
        <f t="shared" si="61"/>
        <v>704.01854457534034</v>
      </c>
      <c r="BH95" s="59">
        <f t="shared" si="62"/>
        <v>997.35187790867371</v>
      </c>
      <c r="BI95" s="59">
        <f ca="1">AVERAGE(OFFSET($BH$3,0,0,'Données projet'!$E$11+1,1))-AVERAGE(OFFSET($H$3,0,0,'Données projet'!$E$11+1,1))</f>
        <v>573.17174498173017</v>
      </c>
      <c r="BJ95" s="59">
        <f t="shared" si="92"/>
        <v>260.48854096157231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18.807855882774124</v>
      </c>
      <c r="BQ95" s="21">
        <f>EXP(-LN(2)/25)*BQ94+(1-EXP(-LN(2)/25))/(LN(2)/25)*Calculateur!BL95*Calculateur!BN95*VLOOKUP('Données projet'!$B$11,Paramètres!$A$1:$I$89,3,0)*0.475*44/12</f>
        <v>23.694467254785252</v>
      </c>
      <c r="BR95" s="21">
        <f>EXP(-LN(2)/2)*BR94+(1-EXP(-LN(2)/2))/(LN(2)/2)*BL95*BO95*VLOOKUP('Données projet'!$B$11,Paramètres!$A$1:$I$89,3,0)*0.475*44/12</f>
        <v>0.36501946550580738</v>
      </c>
      <c r="BS95" s="22">
        <f t="shared" si="63"/>
        <v>42.867342603065183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9.1730000000000018</v>
      </c>
      <c r="BY95" s="12">
        <f>IF('Données projet'!$A$114&gt;35,BY94+BX95-CG94,IF(A95&lt;'Données projet'!$A$114,$BV$205^A95,IF(A95='Données projet'!$A$114,'Données projet'!$B$114,BY94+BX95-CG94)))</f>
        <v>361.7840000000005</v>
      </c>
      <c r="BZ95" s="13">
        <f>BY95*VLOOKUP('Données projet'!$B$12,Paramètres!$A$1:$I$89,3,0)*VLOOKUP('Données projet'!$B$12,Paramètres!$A$1:$I$89,5,0)</f>
        <v>344.27365440000045</v>
      </c>
      <c r="CA95" s="13">
        <f t="shared" si="93"/>
        <v>80.382267548731363</v>
      </c>
      <c r="CB95" s="20">
        <f t="shared" si="64"/>
        <v>739.60906406070796</v>
      </c>
      <c r="CC95" s="59">
        <f t="shared" si="65"/>
        <v>1032.9423973940413</v>
      </c>
      <c r="CD95" s="59">
        <f ca="1">AVERAGE(OFFSET($CC$3,0,0,'Données projet'!$E$12+1,1))-AVERAGE(OFFSET($H$3,0,0,'Données projet'!$E$12+1,1))</f>
        <v>603.61135046904178</v>
      </c>
      <c r="CE95" s="59">
        <f t="shared" si="94"/>
        <v>272.84936867513068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19.780676014641749</v>
      </c>
      <c r="CL95" s="21">
        <f>EXP(-LN(2)/25)*CL94+(1-EXP(-LN(2)/25))/(LN(2)/25)*Calculateur!CG95*Calculateur!CI95*VLOOKUP('Données projet'!$B$12,Paramètres!$A$1:$I$89,3,0)*0.475*44/12</f>
        <v>24.920043147274139</v>
      </c>
      <c r="CM95" s="21">
        <f>EXP(-LN(2)/2)*CM94+(1-EXP(-LN(2)/2))/(LN(2)/2)*CG95*CJ95*VLOOKUP('Données projet'!$B$12,Paramètres!$A$1:$I$89,3,0)*0.475*44/12</f>
        <v>0.38389978268714225</v>
      </c>
      <c r="CN95" s="22">
        <f t="shared" si="66"/>
        <v>45.084618944603029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27.927900000000001</v>
      </c>
      <c r="D96" s="11">
        <f t="shared" si="86"/>
        <v>8.7351725804634892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155.65725551705555</v>
      </c>
      <c r="H96" s="67">
        <f t="shared" si="56"/>
        <v>320.52151807764062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1.7948717948717956</v>
      </c>
      <c r="N96" s="13">
        <f>IF('Données projet'!$A$36&gt;35,N95+M96-V95,IF(A96&lt;'Données projet'!$A$36,$K$205^A96,IF(A96='Données projet'!$A$36,'Données projet'!$B$36,N95+M96-V95)))</f>
        <v>147.69230769230771</v>
      </c>
      <c r="O96" s="13">
        <f>N96*VLOOKUP('Données projet'!$B$9,Paramètres!$A$1:$I$89,3,0)*VLOOKUP('Données projet'!$B$9,Paramètres!$A$1:$I$89,5,0)</f>
        <v>154.36800000000002</v>
      </c>
      <c r="P96" s="13">
        <f t="shared" si="87"/>
        <v>39.569564932787465</v>
      </c>
      <c r="Q96" s="20">
        <f t="shared" si="54"/>
        <v>337.7745922579382</v>
      </c>
      <c r="R96" s="59">
        <f t="shared" si="55"/>
        <v>631.10792559127151</v>
      </c>
      <c r="S96" s="59">
        <f ca="1">AVERAGE(OFFSET($R$3,0,0,'Données projet'!$E$9+1,1))-AVERAGE(OFFSET($H$3,0,0,'Données projet'!$E$9+1,1))</f>
        <v>225.9892575177542</v>
      </c>
      <c r="T96" s="59">
        <f t="shared" si="88"/>
        <v>215.88467215650428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2.5209853655173879</v>
      </c>
      <c r="AA96" s="21">
        <f>EXP(-LN(2)/25)*AA95+(1-EXP(-LN(2)/25))/(LN(2)/25)*Calculateur!V96*Calculateur!X96*VLOOKUP('Données projet'!$B$9,Paramètres!$A$1:$I$89,3,0)*0.475*44/12</f>
        <v>16.35950700010423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18.880492365621617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9.1730000000000018</v>
      </c>
      <c r="AI96" s="13">
        <f>IF('Données projet'!$A$62&gt;35,AI95+AH96-AQ95,IF(A96&lt;'Données projet'!$A$62,$AF$205^A96,IF(A96='Données projet'!$A$62,'Données projet'!$B$62,AI95+AH96-AQ95)))</f>
        <v>370.95700000000051</v>
      </c>
      <c r="AJ96" s="13">
        <f>AI96*VLOOKUP('Données projet'!$B$10,Paramètres!$A$1:$I$89,3,0)*VLOOKUP('Données projet'!$B$10,Paramètres!$A$1:$I$89,5,0)</f>
        <v>376.15039800000056</v>
      </c>
      <c r="AK96" s="13">
        <f t="shared" si="89"/>
        <v>86.92436143722324</v>
      </c>
      <c r="AL96" s="20">
        <f t="shared" si="58"/>
        <v>806.52187268649811</v>
      </c>
      <c r="AM96" s="59">
        <f t="shared" si="59"/>
        <v>1099.8552060198315</v>
      </c>
      <c r="AN96" s="59">
        <f ca="1">AVERAGE(OFFSET($AM$3,0,0,'Données projet'!$E$10+1,1))-AVERAGE(OFFSET($H$3,0,0,'Données projet'!$E$10+1,1))</f>
        <v>644.15138437063933</v>
      </c>
      <c r="AO96" s="59">
        <f t="shared" si="90"/>
        <v>289.3097279858207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20.664447319606865</v>
      </c>
      <c r="AV96" s="21">
        <f>EXP(-LN(2)/25)*AV95+(1-EXP(-LN(2)/25))/(LN(2)/25)*Calculateur!AQ96*Calculateur!AS96*VLOOKUP('Données projet'!$B$10,Paramètres!$A$1:$I$89,3,0)*0.475*44/12</f>
        <v>25.828019863935218</v>
      </c>
      <c r="AW96" s="21">
        <f>EXP(-LN(2)/2)*AW95+(1-EXP(-LN(2)/2))/(LN(2)/2)*AQ96*AT96*VLOOKUP('Données projet'!$B$10,Paramètres!$A$1:$I$89,3,0)*0.475*44/12</f>
        <v>0.28925867338062</v>
      </c>
      <c r="AX96" s="21">
        <f t="shared" si="60"/>
        <v>46.781725856922705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9.1730000000000018</v>
      </c>
      <c r="BD96" s="12">
        <f>IF('Données projet'!$A$88&gt;35,BD95+BC96-BL95,IF(A96&lt;'Données projet'!$A$88,$BA$205^A96,IF(A96='Données projet'!$A$88,'Données projet'!$B$88,BD95+BC96-BL95)))</f>
        <v>370.95700000000051</v>
      </c>
      <c r="BE96" s="13">
        <f>BD96*VLOOKUP('Données projet'!$B$11,Paramètres!$A$1:$I$89,3,0)*VLOOKUP('Données projet'!$B$11,Paramètres!$A$1:$I$89,5,0)</f>
        <v>335.64189360000046</v>
      </c>
      <c r="BF96" s="13">
        <f t="shared" si="91"/>
        <v>78.598859108522404</v>
      </c>
      <c r="BG96" s="20">
        <f t="shared" si="61"/>
        <v>721.46931096734397</v>
      </c>
      <c r="BH96" s="59">
        <f t="shared" si="62"/>
        <v>1014.8026443006772</v>
      </c>
      <c r="BI96" s="59">
        <f ca="1">AVERAGE(OFFSET($BH$3,0,0,'Données projet'!$E$11+1,1))-AVERAGE(OFFSET($H$3,0,0,'Données projet'!$E$11+1,1))</f>
        <v>573.17174498173017</v>
      </c>
      <c r="BJ96" s="59">
        <f t="shared" si="92"/>
        <v>260.48854096157231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18.439045300572278</v>
      </c>
      <c r="BQ96" s="21">
        <f>EXP(-LN(2)/25)*BQ95+(1-EXP(-LN(2)/25))/(LN(2)/25)*Calculateur!BL96*Calculateur!BN96*VLOOKUP('Données projet'!$B$11,Paramètres!$A$1:$I$89,3,0)*0.475*44/12</f>
        <v>23.04654080166527</v>
      </c>
      <c r="BR96" s="21">
        <f>EXP(-LN(2)/2)*BR95+(1-EXP(-LN(2)/2))/(LN(2)/2)*BL96*BO96*VLOOKUP('Données projet'!$B$11,Paramètres!$A$1:$I$89,3,0)*0.475*44/12</f>
        <v>0.25810773932424547</v>
      </c>
      <c r="BS96" s="22">
        <f t="shared" si="63"/>
        <v>41.743693841561793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9.1730000000000018</v>
      </c>
      <c r="BY96" s="12">
        <f>IF('Données projet'!$A$114&gt;35,BY95+BX96-CG95,IF(A96&lt;'Données projet'!$A$114,$BV$205^A96,IF(A96='Données projet'!$A$114,'Données projet'!$B$114,BY95+BX96-CG95)))</f>
        <v>370.95700000000051</v>
      </c>
      <c r="BZ96" s="13">
        <f>BY96*VLOOKUP('Données projet'!$B$12,Paramètres!$A$1:$I$89,3,0)*VLOOKUP('Données projet'!$B$12,Paramètres!$A$1:$I$89,5,0)</f>
        <v>353.0026812000005</v>
      </c>
      <c r="CA96" s="13">
        <f t="shared" si="93"/>
        <v>82.180486751981036</v>
      </c>
      <c r="CB96" s="20">
        <f t="shared" si="64"/>
        <v>757.94401751636781</v>
      </c>
      <c r="CC96" s="59">
        <f t="shared" si="65"/>
        <v>1051.2773508497012</v>
      </c>
      <c r="CD96" s="59">
        <f ca="1">AVERAGE(OFFSET($CC$3,0,0,'Données projet'!$E$12+1,1))-AVERAGE(OFFSET($H$3,0,0,'Données projet'!$E$12+1,1))</f>
        <v>603.61135046904178</v>
      </c>
      <c r="CE96" s="59">
        <f t="shared" si="94"/>
        <v>272.84936867513068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19.39278902301567</v>
      </c>
      <c r="CL96" s="21">
        <f>EXP(-LN(2)/25)*CL95+(1-EXP(-LN(2)/25))/(LN(2)/25)*Calculateur!CG96*Calculateur!CI96*VLOOKUP('Données projet'!$B$12,Paramètres!$A$1:$I$89,3,0)*0.475*44/12</f>
        <v>24.238603256923813</v>
      </c>
      <c r="CM96" s="21">
        <f>EXP(-LN(2)/2)*CM95+(1-EXP(-LN(2)/2))/(LN(2)/2)*CG96*CJ96*VLOOKUP('Données projet'!$B$12,Paramètres!$A$1:$I$89,3,0)*0.475*44/12</f>
        <v>0.27145813963412024</v>
      </c>
      <c r="CN96" s="22">
        <f t="shared" si="66"/>
        <v>43.902850419573603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28.228200000000001</v>
      </c>
      <c r="D97" s="11">
        <f t="shared" si="86"/>
        <v>8.8181143814002123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157.28435228594478</v>
      </c>
      <c r="H97" s="67">
        <f t="shared" si="56"/>
        <v>321.18899754760537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1.7948717948717956</v>
      </c>
      <c r="N97" s="13">
        <f>IF('Données projet'!$A$36&gt;35,N96+M97-V96,IF(A97&lt;'Données projet'!$A$36,$K$205^A97,IF(A97='Données projet'!$A$36,'Données projet'!$B$36,N96+M97-V96)))</f>
        <v>149.4871794871795</v>
      </c>
      <c r="O97" s="13">
        <f>N97*VLOOKUP('Données projet'!$B$9,Paramètres!$A$1:$I$89,3,0)*VLOOKUP('Données projet'!$B$9,Paramètres!$A$1:$I$89,5,0)</f>
        <v>156.24400000000003</v>
      </c>
      <c r="P97" s="13">
        <f t="shared" si="87"/>
        <v>39.994171433339048</v>
      </c>
      <c r="Q97" s="20">
        <f t="shared" si="54"/>
        <v>341.78148191306553</v>
      </c>
      <c r="R97" s="59">
        <f t="shared" si="55"/>
        <v>635.11481524639885</v>
      </c>
      <c r="S97" s="59">
        <f ca="1">AVERAGE(OFFSET($R$3,0,0,'Données projet'!$E$9+1,1))-AVERAGE(OFFSET($H$3,0,0,'Données projet'!$E$9+1,1))</f>
        <v>225.9892575177542</v>
      </c>
      <c r="T97" s="59">
        <f t="shared" si="88"/>
        <v>215.88467215650428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2.4715503801488348</v>
      </c>
      <c r="AA97" s="21">
        <f>EXP(-LN(2)/25)*AA96+(1-EXP(-LN(2)/25))/(LN(2)/25)*Calculateur!V97*Calculateur!X97*VLOOKUP('Données projet'!$B$9,Paramètres!$A$1:$I$89,3,0)*0.475*44/12</f>
        <v>15.912155420877298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18.383705801026132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9.1730000000000018</v>
      </c>
      <c r="AH97" s="12">
        <f t="array" ref="AH97">INDEX(AG:AG,MIN(IF(ISNUMBER(AG97:AG293),ROW(AG97:AG293),"")))</f>
        <v>9.1730000000000018</v>
      </c>
      <c r="AI97" s="13">
        <f>IF('Données projet'!$A$62&gt;35,AI96+AH97-AQ96,IF(A97&lt;'Données projet'!$A$62,$AF$205^A97,IF(A97='Données projet'!$A$62,'Données projet'!$B$62,AI96+AH97-AQ96)))</f>
        <v>380.13000000000051</v>
      </c>
      <c r="AJ97" s="13">
        <f>AI97*VLOOKUP('Données projet'!$B$10,Paramètres!$A$1:$I$89,3,0)*VLOOKUP('Données projet'!$B$10,Paramètres!$A$1:$I$89,5,0)</f>
        <v>385.45182000000051</v>
      </c>
      <c r="AK97" s="13">
        <f t="shared" si="89"/>
        <v>88.820915611280114</v>
      </c>
      <c r="AL97" s="20">
        <f t="shared" si="58"/>
        <v>826.02501452298031</v>
      </c>
      <c r="AM97" s="59">
        <f t="shared" si="59"/>
        <v>1119.3583478563137</v>
      </c>
      <c r="AN97" s="59">
        <f ca="1">AVERAGE(OFFSET($AM$3,0,0,'Données projet'!$E$10+1,1))-AVERAGE(OFFSET($H$3,0,0,'Données projet'!$E$10+1,1))</f>
        <v>644.15138437063933</v>
      </c>
      <c r="AO97" s="59">
        <f t="shared" si="90"/>
        <v>289.3097279858207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67.350000000000023</v>
      </c>
      <c r="AR97" s="16">
        <f>IF(ISNA(VLOOKUP(A97,'Données projet'!$A$61:$I$81,5,0)),0%,VLOOKUP(A97,'Données projet'!$A$61:$I$81,5,0)*VLOOKUP('Données projet'!$B$10,Paramètres!$A$1:$I$89,7,0))</f>
        <v>0.15049999999999999</v>
      </c>
      <c r="AS97" s="16">
        <f>IF(ISNA(VLOOKUP(A97,'Données projet'!$A$61:$I$81,6,0)),0%,VLOOKUP(A97,'Données projet'!$A$61:$I$81,6,0)*VLOOKUP('Données projet'!$B$10,Paramètres!$A$1:$I$89,7,0))</f>
        <v>8.6000000000000007E-2</v>
      </c>
      <c r="AT97" s="16">
        <f>IF(ISNA(VLOOKUP(A97,'Données projet'!$A$61:$I$81,7,0)),0%,VLOOKUP(A97,'Données projet'!$A$61:$I$81,7,0))</f>
        <v>0.1</v>
      </c>
      <c r="AU97" s="21">
        <f>EXP(-LN(2)/35)*AU96+(1-EXP(-LN(2)/35))/(LN(2)/35)*AQ97*AR97*VLOOKUP('Données projet'!$B$10,Paramètres!$A$1:$I$89,3,0)*0.475*44/12</f>
        <v>31.62134471313977</v>
      </c>
      <c r="AV97" s="21">
        <f>EXP(-LN(2)/25)*AV96+(1-EXP(-LN(2)/25))/(LN(2)/25)*Calculateur!AQ97*Calculateur!AS97*VLOOKUP('Données projet'!$B$10,Paramètres!$A$1:$I$89,3,0)*0.475*44/12</f>
        <v>31.588824232182965</v>
      </c>
      <c r="AW97" s="21">
        <f>EXP(-LN(2)/2)*AW96+(1-EXP(-LN(2)/2))/(LN(2)/2)*AQ97*AT97*VLOOKUP('Données projet'!$B$10,Paramètres!$A$1:$I$89,3,0)*0.475*44/12</f>
        <v>6.6481556921098957</v>
      </c>
      <c r="AX97" s="21">
        <f t="shared" si="60"/>
        <v>69.858324637432631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380.13</v>
      </c>
      <c r="BB97" s="12">
        <f>VLOOKUP(A97,'Données projet'!$A$87:$I$107,9,0)</f>
        <v>9.1730000000000018</v>
      </c>
      <c r="BC97" s="12">
        <f t="array" ref="BC97">INDEX(BB:BB,MIN(IF(ISNUMBER(BB97:BB293),ROW(BB97:BB293),"")))</f>
        <v>9.1730000000000018</v>
      </c>
      <c r="BD97" s="12">
        <f>IF('Données projet'!$A$88&gt;35,BD96+BC97-BL96,IF(A97&lt;'Données projet'!$A$88,$BA$205^A97,IF(A97='Données projet'!$A$88,'Données projet'!$B$88,BD96+BC97-BL96)))</f>
        <v>380.13000000000051</v>
      </c>
      <c r="BE97" s="13">
        <f>BD97*VLOOKUP('Données projet'!$B$11,Paramètres!$A$1:$I$89,3,0)*VLOOKUP('Données projet'!$B$11,Paramètres!$A$1:$I$89,5,0)</f>
        <v>343.94162400000044</v>
      </c>
      <c r="BF97" s="13">
        <f t="shared" si="91"/>
        <v>80.313763789484966</v>
      </c>
      <c r="BG97" s="20">
        <f t="shared" si="61"/>
        <v>738.91146706668712</v>
      </c>
      <c r="BH97" s="59">
        <f t="shared" si="62"/>
        <v>1032.2448004000205</v>
      </c>
      <c r="BI97" s="59">
        <f ca="1">AVERAGE(OFFSET($BH$3,0,0,'Données projet'!$E$11+1,1))-AVERAGE(OFFSET($H$3,0,0,'Données projet'!$E$11+1,1))</f>
        <v>573.17174498173017</v>
      </c>
      <c r="BJ97" s="59">
        <f t="shared" si="92"/>
        <v>260.48854096157231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67.350000000000023</v>
      </c>
      <c r="BM97" s="16">
        <f>IF(ISNA(VLOOKUP(A97,'Données projet'!$A$87:$I$107,5,0)),0%,VLOOKUP(A97,'Données projet'!$A$87:$I$107,5,0)*VLOOKUP('Données projet'!$B$11,Paramètres!$A$1:$I$89,7,0))</f>
        <v>0.15049999999999999</v>
      </c>
      <c r="BN97" s="16">
        <f>IF(ISNA(VLOOKUP(A97,'Données projet'!$A$87:$I$107,6,0)),0%,VLOOKUP(A97,'Données projet'!$A$87:$I$107,6,0)*VLOOKUP('Données projet'!$B$11,Paramètres!$A$1:$I$89,7,0))</f>
        <v>8.6000000000000007E-2</v>
      </c>
      <c r="BO97" s="16">
        <f>IF(ISNA(VLOOKUP(A97,'Données projet'!$A$87:$I$107,7,0)),0%,VLOOKUP(A97,'Données projet'!$A$87:$I$107,7,0))</f>
        <v>0.1</v>
      </c>
      <c r="BP97" s="21">
        <f>EXP(-LN(2)/35)*BP96+(1-EXP(-LN(2)/35))/(LN(2)/35)*BL97*BM97*VLOOKUP('Données projet'!$B$11,Paramètres!$A$1:$I$89,3,0)*0.475*44/12</f>
        <v>28.215969128647792</v>
      </c>
      <c r="BQ97" s="21">
        <f>EXP(-LN(2)/25)*BQ96+(1-EXP(-LN(2)/25))/(LN(2)/25)*Calculateur!BL97*Calculateur!BN97*VLOOKUP('Données projet'!$B$11,Paramètres!$A$1:$I$89,3,0)*0.475*44/12</f>
        <v>28.18695085333249</v>
      </c>
      <c r="BR97" s="21">
        <f>EXP(-LN(2)/2)*BR96+(1-EXP(-LN(2)/2))/(LN(2)/2)*BL97*BO97*VLOOKUP('Données projet'!$B$11,Paramètres!$A$1:$I$89,3,0)*0.475*44/12</f>
        <v>5.9322004637288286</v>
      </c>
      <c r="BS97" s="22">
        <f t="shared" si="63"/>
        <v>62.335120445709109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380.13</v>
      </c>
      <c r="BW97" s="12">
        <f>VLOOKUP(A97,'Données projet'!$A$113:$I$133,9,0)</f>
        <v>9.1730000000000018</v>
      </c>
      <c r="BX97" s="12">
        <f t="array" ref="BX97">INDEX(BW:BW,MIN(IF(ISNUMBER(BW97:BW293),ROW(BW97:BW293),"")))</f>
        <v>9.1730000000000018</v>
      </c>
      <c r="BY97" s="12">
        <f>IF('Données projet'!$A$114&gt;35,BY96+BX97-CG96,IF(A97&lt;'Données projet'!$A$114,$BV$205^A97,IF(A97='Données projet'!$A$114,'Données projet'!$B$114,BY96+BX97-CG96)))</f>
        <v>380.13000000000051</v>
      </c>
      <c r="BZ97" s="13">
        <f>BY97*VLOOKUP('Données projet'!$B$12,Paramètres!$A$1:$I$89,3,0)*VLOOKUP('Données projet'!$B$12,Paramètres!$A$1:$I$89,5,0)</f>
        <v>361.73170800000048</v>
      </c>
      <c r="CA97" s="13">
        <f t="shared" si="93"/>
        <v>83.973536969416998</v>
      </c>
      <c r="CB97" s="20">
        <f t="shared" si="64"/>
        <v>776.26996832173552</v>
      </c>
      <c r="CC97" s="59">
        <f t="shared" si="65"/>
        <v>1069.6033016550689</v>
      </c>
      <c r="CD97" s="59">
        <f ca="1">AVERAGE(OFFSET($CC$3,0,0,'Données projet'!$E$12+1,1))-AVERAGE(OFFSET($H$3,0,0,'Données projet'!$E$12+1,1))</f>
        <v>603.61135046904178</v>
      </c>
      <c r="CE97" s="59">
        <f t="shared" si="94"/>
        <v>272.84936867513068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67.350000000000023</v>
      </c>
      <c r="CH97" s="16">
        <f>IF(ISNA(VLOOKUP(A97,'Données projet'!$A$113:$I$133,5,0)),0%,VLOOKUP(A97,'Données projet'!$A$113:$I$133,5,0)*VLOOKUP('Données projet'!$B$12,Paramètres!$A$1:$I$89,7,0))</f>
        <v>0.15049999999999999</v>
      </c>
      <c r="CI97" s="16">
        <f>IF(ISNA(VLOOKUP(A97,'Données projet'!$A$113:$I$133,6,0)),0%,VLOOKUP(A97,'Données projet'!$A$113:$I$133,6,0)*VLOOKUP('Données projet'!$B$12,Paramètres!$A$1:$I$89,7,0))</f>
        <v>8.6000000000000007E-2</v>
      </c>
      <c r="CJ97" s="16">
        <f>IF(ISNA(VLOOKUP(A97,'Données projet'!$A$113:$I$133,7,0)),0%,VLOOKUP(A97,'Données projet'!$A$113:$I$133,7,0))</f>
        <v>0.1</v>
      </c>
      <c r="CK97" s="21">
        <f>EXP(-LN(2)/35)*CK96+(1-EXP(-LN(2)/35))/(LN(2)/35)*CG97*CH97*VLOOKUP('Données projet'!$B$12,Paramètres!$A$1:$I$89,3,0)*0.475*44/12</f>
        <v>29.67541580771578</v>
      </c>
      <c r="CL97" s="21">
        <f>EXP(-LN(2)/25)*CL96+(1-EXP(-LN(2)/25))/(LN(2)/25)*Calculateur!CG97*Calculateur!CI97*VLOOKUP('Données projet'!$B$12,Paramètres!$A$1:$I$89,3,0)*0.475*44/12</f>
        <v>29.644896587125547</v>
      </c>
      <c r="CM97" s="21">
        <f>EXP(-LN(2)/2)*CM96+(1-EXP(-LN(2)/2))/(LN(2)/2)*CG97*CJ97*VLOOKUP('Données projet'!$B$12,Paramètres!$A$1:$I$89,3,0)*0.475*44/12</f>
        <v>6.2390384187492867</v>
      </c>
      <c r="CN97" s="22">
        <f t="shared" si="66"/>
        <v>65.559350813590612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28.528500000000001</v>
      </c>
      <c r="D98" s="11">
        <f t="shared" si="86"/>
        <v>8.9009535371981983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158.91101326319236</v>
      </c>
      <c r="H98" s="67">
        <f t="shared" si="56"/>
        <v>321.85629824395357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151.28205128205127</v>
      </c>
      <c r="L98" s="12">
        <f>VLOOKUP(A98,'Données projet'!$A$35:$I$55,9,0)</f>
        <v>1.7948717948717956</v>
      </c>
      <c r="M98" s="12">
        <f t="array" ref="M98">INDEX(L:L,MIN(IF(ISNUMBER(L98:L294),ROW(L98:L294),"")))</f>
        <v>1.7948717948717956</v>
      </c>
      <c r="N98" s="13">
        <f>IF('Données projet'!$A$36&gt;35,N97+M98-V97,IF(A98&lt;'Données projet'!$A$36,$K$205^A98,IF(A98='Données projet'!$A$36,'Données projet'!$B$36,N97+M98-V97)))</f>
        <v>151.2820512820513</v>
      </c>
      <c r="O98" s="13">
        <f>N98*VLOOKUP('Données projet'!$B$9,Paramètres!$A$1:$I$89,3,0)*VLOOKUP('Données projet'!$B$9,Paramètres!$A$1:$I$89,5,0)</f>
        <v>158.12000000000003</v>
      </c>
      <c r="P98" s="13">
        <f t="shared" si="87"/>
        <v>40.418184903854836</v>
      </c>
      <c r="Q98" s="20">
        <f t="shared" si="54"/>
        <v>345.78733870754724</v>
      </c>
      <c r="R98" s="59">
        <f t="shared" si="55"/>
        <v>639.12067204088055</v>
      </c>
      <c r="S98" s="59">
        <f ca="1">AVERAGE(OFFSET($R$3,0,0,'Données projet'!$E$9+1,1))-AVERAGE(OFFSET($H$3,0,0,'Données projet'!$E$9+1,1))</f>
        <v>225.9892575177542</v>
      </c>
      <c r="T98" s="59">
        <f t="shared" si="88"/>
        <v>215.88467215650428</v>
      </c>
      <c r="U98" s="15">
        <f>IF(ISNA(VLOOKUP(A98,'Données projet'!$A$35:$I$55,3,0)),0,VLOOKUP(A98,'Données projet'!$A$35:$I$55,3,0))</f>
        <v>16</v>
      </c>
      <c r="V98" s="15">
        <f>IF(ISNA(VLOOKUP(A98,'Données projet'!$A$35:$I$55,4,0)),0,VLOOKUP(A98,'Données projet'!$A$35:$I$55,4,0))</f>
        <v>7.0512820512820511</v>
      </c>
      <c r="W98" s="16">
        <f>IF(ISNA(VLOOKUP(A98,'Données projet'!$A$35:$I$55,5,0)),0%,VLOOKUP(A98,'Données projet'!$A$35:$I$55,5,0)*VLOOKUP('Données projet'!$B$9,Paramètres!$A$1:$I$89,7,0))</f>
        <v>4.3000000000000003E-2</v>
      </c>
      <c r="X98" s="16">
        <f>IF(ISNA(VLOOKUP(A98,'Données projet'!$A$35:$I$55,6,0)),0%,VLOOKUP(A98,'Données projet'!$A$35:$I$55,6,0)*VLOOKUP('Données projet'!$B$9,Paramètres!$A$1:$I$89,7,0))</f>
        <v>0.215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2.7734194026687824</v>
      </c>
      <c r="AA98" s="21">
        <f>EXP(-LN(2)/25)*AA97+(1-EXP(-LN(2)/25))/(LN(2)/25)*Calculateur!V98*Calculateur!X98*VLOOKUP('Données projet'!$B$9,Paramètres!$A$1:$I$89,3,0)*0.475*44/12</f>
        <v>17.221812779603791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19.995232182272574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8.9420000000000019</v>
      </c>
      <c r="AI98" s="13">
        <f>IF('Données projet'!$A$62&gt;35,AI97+AH98-AQ97,IF(A98&lt;'Données projet'!$A$62,$AF$205^A98,IF(A98='Données projet'!$A$62,'Données projet'!$B$62,AI97+AH98-AQ97)))</f>
        <v>321.72200000000049</v>
      </c>
      <c r="AJ98" s="13">
        <f>AI98*VLOOKUP('Données projet'!$B$10,Paramètres!$A$1:$I$89,3,0)*VLOOKUP('Données projet'!$B$10,Paramètres!$A$1:$I$89,5,0)</f>
        <v>326.22610800000052</v>
      </c>
      <c r="AK98" s="13">
        <f t="shared" si="89"/>
        <v>76.647360081996098</v>
      </c>
      <c r="AL98" s="20">
        <f t="shared" si="58"/>
        <v>701.67129024281076</v>
      </c>
      <c r="AM98" s="59">
        <f t="shared" si="59"/>
        <v>995.00462357614401</v>
      </c>
      <c r="AN98" s="59">
        <f ca="1">AVERAGE(OFFSET($AM$3,0,0,'Données projet'!$E$10+1,1))-AVERAGE(OFFSET($H$3,0,0,'Données projet'!$E$10+1,1))</f>
        <v>644.15138437063933</v>
      </c>
      <c r="AO98" s="59">
        <f t="shared" si="90"/>
        <v>289.3097279858207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31.001269430430931</v>
      </c>
      <c r="AV98" s="21">
        <f>EXP(-LN(2)/25)*AV97+(1-EXP(-LN(2)/25))/(LN(2)/25)*Calculateur!AQ98*Calculateur!AS98*VLOOKUP('Données projet'!$B$10,Paramètres!$A$1:$I$89,3,0)*0.475*44/12</f>
        <v>30.725026172369851</v>
      </c>
      <c r="AW98" s="21">
        <f>EXP(-LN(2)/2)*AW97+(1-EXP(-LN(2)/2))/(LN(2)/2)*AQ98*AT98*VLOOKUP('Données projet'!$B$10,Paramètres!$A$1:$I$89,3,0)*0.475*44/12</f>
        <v>4.7009559722748531</v>
      </c>
      <c r="AX98" s="21">
        <f t="shared" si="60"/>
        <v>66.42725157507563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8.9420000000000019</v>
      </c>
      <c r="BD98" s="12">
        <f>IF('Données projet'!$A$88&gt;35,BD97+BC98-BL97,IF(A98&lt;'Données projet'!$A$88,$BA$205^A98,IF(A98='Données projet'!$A$88,'Données projet'!$B$88,BD97+BC98-BL97)))</f>
        <v>321.72200000000049</v>
      </c>
      <c r="BE98" s="13">
        <f>BD98*VLOOKUP('Données projet'!$B$11,Paramètres!$A$1:$I$89,3,0)*VLOOKUP('Données projet'!$B$11,Paramètres!$A$1:$I$89,5,0)</f>
        <v>291.09406560000048</v>
      </c>
      <c r="BF98" s="13">
        <f t="shared" si="91"/>
        <v>69.306175582041092</v>
      </c>
      <c r="BG98" s="20">
        <f t="shared" si="61"/>
        <v>627.697086725389</v>
      </c>
      <c r="BH98" s="59">
        <f t="shared" si="62"/>
        <v>921.03042005872226</v>
      </c>
      <c r="BI98" s="59">
        <f ca="1">AVERAGE(OFFSET($BH$3,0,0,'Données projet'!$E$11+1,1))-AVERAGE(OFFSET($H$3,0,0,'Données projet'!$E$11+1,1))</f>
        <v>573.17174498173017</v>
      </c>
      <c r="BJ98" s="59">
        <f t="shared" si="92"/>
        <v>260.48854096157231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27.662671184076828</v>
      </c>
      <c r="BQ98" s="21">
        <f>EXP(-LN(2)/25)*BQ97+(1-EXP(-LN(2)/25))/(LN(2)/25)*Calculateur!BL98*Calculateur!BN98*VLOOKUP('Données projet'!$B$11,Paramètres!$A$1:$I$89,3,0)*0.475*44/12</f>
        <v>27.416177199960789</v>
      </c>
      <c r="BR98" s="21">
        <f>EXP(-LN(2)/2)*BR97+(1-EXP(-LN(2)/2))/(LN(2)/2)*BL98*BO98*VLOOKUP('Données projet'!$B$11,Paramètres!$A$1:$I$89,3,0)*0.475*44/12</f>
        <v>4.1946991752606371</v>
      </c>
      <c r="BS98" s="22">
        <f t="shared" si="63"/>
        <v>59.273547559298251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8.9420000000000019</v>
      </c>
      <c r="BY98" s="12">
        <f>IF('Données projet'!$A$114&gt;35,BY97+BX98-CG97,IF(A98&lt;'Données projet'!$A$114,$BV$205^A98,IF(A98='Données projet'!$A$114,'Données projet'!$B$114,BY97+BX98-CG97)))</f>
        <v>321.72200000000049</v>
      </c>
      <c r="BZ98" s="13">
        <f>BY98*VLOOKUP('Données projet'!$B$12,Paramètres!$A$1:$I$89,3,0)*VLOOKUP('Données projet'!$B$12,Paramètres!$A$1:$I$89,5,0)</f>
        <v>306.15065520000047</v>
      </c>
      <c r="CA98" s="13">
        <f t="shared" si="93"/>
        <v>72.464350104451199</v>
      </c>
      <c r="CB98" s="20">
        <f t="shared" si="64"/>
        <v>659.42113423858666</v>
      </c>
      <c r="CC98" s="59">
        <f t="shared" si="65"/>
        <v>952.75446757192003</v>
      </c>
      <c r="CD98" s="59">
        <f ca="1">AVERAGE(OFFSET($CC$3,0,0,'Données projet'!$E$12+1,1))-AVERAGE(OFFSET($H$3,0,0,'Données projet'!$E$12+1,1))</f>
        <v>603.61135046904178</v>
      </c>
      <c r="CE98" s="59">
        <f t="shared" si="94"/>
        <v>272.84936867513068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29.093499003942867</v>
      </c>
      <c r="CL98" s="21">
        <f>EXP(-LN(2)/25)*CL97+(1-EXP(-LN(2)/25))/(LN(2)/25)*Calculateur!CG98*Calculateur!CI98*VLOOKUP('Données projet'!$B$12,Paramètres!$A$1:$I$89,3,0)*0.475*44/12</f>
        <v>28.834255330993241</v>
      </c>
      <c r="CM98" s="21">
        <f>EXP(-LN(2)/2)*CM97+(1-EXP(-LN(2)/2))/(LN(2)/2)*CG98*CJ98*VLOOKUP('Données projet'!$B$12,Paramètres!$A$1:$I$89,3,0)*0.475*44/12</f>
        <v>4.4116663739810154</v>
      </c>
      <c r="CN98" s="22">
        <f t="shared" si="66"/>
        <v>62.339420708917125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28.828800000000001</v>
      </c>
      <c r="D99" s="11">
        <f t="shared" si="86"/>
        <v>8.983691253405949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160.53724356709196</v>
      </c>
      <c r="H99" s="67">
        <f t="shared" si="56"/>
        <v>322.52342226634869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1.9230769230769227</v>
      </c>
      <c r="N99" s="13">
        <f>IF('Données projet'!$A$36&gt;35,N98+M99-V98,IF(A99&lt;'Données projet'!$A$36,$K$205^A99,IF(A99='Données projet'!$A$36,'Données projet'!$B$36,N98+M99-V98)))</f>
        <v>146.15384615384619</v>
      </c>
      <c r="O99" s="13">
        <f>N99*VLOOKUP('Données projet'!$B$9,Paramètres!$A$1:$I$89,3,0)*VLOOKUP('Données projet'!$B$9,Paramètres!$A$1:$I$89,5,0)</f>
        <v>152.76000000000005</v>
      </c>
      <c r="P99" s="13">
        <f t="shared" si="87"/>
        <v>39.205138402364092</v>
      </c>
      <c r="Q99" s="20">
        <f t="shared" ref="Q99:Q130" si="107">(O99+P99)*0.475*44/12</f>
        <v>334.33928271745089</v>
      </c>
      <c r="R99" s="59">
        <f t="shared" si="55"/>
        <v>627.6726160507842</v>
      </c>
      <c r="S99" s="59">
        <f ca="1">AVERAGE(OFFSET($R$3,0,0,'Données projet'!$E$9+1,1))-AVERAGE(OFFSET($H$3,0,0,'Données projet'!$E$9+1,1))</f>
        <v>225.9892575177542</v>
      </c>
      <c r="T99" s="59">
        <f t="shared" si="88"/>
        <v>215.88467215650428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2.7190343398012495</v>
      </c>
      <c r="AA99" s="21">
        <f>EXP(-LN(2)/25)*AA98+(1-EXP(-LN(2)/25))/(LN(2)/25)*Calculateur!V99*Calculateur!X99*VLOOKUP('Données projet'!$B$9,Paramètres!$A$1:$I$89,3,0)*0.475*44/12</f>
        <v>16.750881403489753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19.469915743291004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8.9420000000000019</v>
      </c>
      <c r="AI99" s="13">
        <f>IF('Données projet'!$A$62&gt;35,AI98+AH99-AQ98,IF(A99&lt;'Données projet'!$A$62,$AF$205^A99,IF(A99='Données projet'!$A$62,'Données projet'!$B$62,AI98+AH99-AQ98)))</f>
        <v>330.6640000000005</v>
      </c>
      <c r="AJ99" s="13">
        <f>AI99*VLOOKUP('Données projet'!$B$10,Paramètres!$A$1:$I$89,3,0)*VLOOKUP('Données projet'!$B$10,Paramètres!$A$1:$I$89,5,0)</f>
        <v>335.29329600000057</v>
      </c>
      <c r="AK99" s="13">
        <f t="shared" si="89"/>
        <v>78.526724041362712</v>
      </c>
      <c r="AL99" s="20">
        <f t="shared" si="58"/>
        <v>720.73653490537436</v>
      </c>
      <c r="AM99" s="59">
        <f t="shared" si="59"/>
        <v>1014.0698682387076</v>
      </c>
      <c r="AN99" s="59">
        <f ca="1">AVERAGE(OFFSET($AM$3,0,0,'Données projet'!$E$10+1,1))-AVERAGE(OFFSET($H$3,0,0,'Données projet'!$E$10+1,1))</f>
        <v>644.15138437063933</v>
      </c>
      <c r="AO99" s="59">
        <f t="shared" si="90"/>
        <v>289.3097279858207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30.393353445807435</v>
      </c>
      <c r="AV99" s="21">
        <f>EXP(-LN(2)/25)*AV98+(1-EXP(-LN(2)/25))/(LN(2)/25)*Calculateur!AQ99*Calculateur!AS99*VLOOKUP('Données projet'!$B$10,Paramètres!$A$1:$I$89,3,0)*0.475*44/12</f>
        <v>29.884848715927493</v>
      </c>
      <c r="AW99" s="21">
        <f>EXP(-LN(2)/2)*AW98+(1-EXP(-LN(2)/2))/(LN(2)/2)*AQ99*AT99*VLOOKUP('Données projet'!$B$10,Paramètres!$A$1:$I$89,3,0)*0.475*44/12</f>
        <v>3.3240778460549487</v>
      </c>
      <c r="AX99" s="21">
        <f t="shared" si="60"/>
        <v>63.602280007789872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8.9420000000000019</v>
      </c>
      <c r="BD99" s="12">
        <f>IF('Données projet'!$A$88&gt;35,BD98+BC99-BL98,IF(A99&lt;'Données projet'!$A$88,$BA$205^A99,IF(A99='Données projet'!$A$88,'Données projet'!$B$88,BD98+BC99-BL98)))</f>
        <v>330.6640000000005</v>
      </c>
      <c r="BE99" s="13">
        <f>BD99*VLOOKUP('Données projet'!$B$11,Paramètres!$A$1:$I$89,3,0)*VLOOKUP('Données projet'!$B$11,Paramètres!$A$1:$I$89,5,0)</f>
        <v>299.18478720000041</v>
      </c>
      <c r="BF99" s="13">
        <f t="shared" si="91"/>
        <v>71.005536504727559</v>
      </c>
      <c r="BG99" s="20">
        <f t="shared" si="61"/>
        <v>644.74814711906788</v>
      </c>
      <c r="BH99" s="59">
        <f t="shared" si="62"/>
        <v>938.08148045240114</v>
      </c>
      <c r="BI99" s="59">
        <f ca="1">AVERAGE(OFFSET($BH$3,0,0,'Données projet'!$E$11+1,1))-AVERAGE(OFFSET($H$3,0,0,'Données projet'!$E$11+1,1))</f>
        <v>573.17174498173017</v>
      </c>
      <c r="BJ99" s="59">
        <f t="shared" si="92"/>
        <v>260.48854096157231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27.120223074720478</v>
      </c>
      <c r="BQ99" s="21">
        <f>EXP(-LN(2)/25)*BQ98+(1-EXP(-LN(2)/25))/(LN(2)/25)*Calculateur!BL99*Calculateur!BN99*VLOOKUP('Données projet'!$B$11,Paramètres!$A$1:$I$89,3,0)*0.475*44/12</f>
        <v>26.666480392673762</v>
      </c>
      <c r="BR99" s="21">
        <f>EXP(-LN(2)/2)*BR98+(1-EXP(-LN(2)/2))/(LN(2)/2)*BL99*BO99*VLOOKUP('Données projet'!$B$11,Paramètres!$A$1:$I$89,3,0)*0.475*44/12</f>
        <v>2.9661002318644147</v>
      </c>
      <c r="BS99" s="22">
        <f t="shared" si="63"/>
        <v>56.752803699258656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8.9420000000000019</v>
      </c>
      <c r="BY99" s="12">
        <f>IF('Données projet'!$A$114&gt;35,BY98+BX99-CG98,IF(A99&lt;'Données projet'!$A$114,$BV$205^A99,IF(A99='Données projet'!$A$114,'Données projet'!$B$114,BY98+BX99-CG98)))</f>
        <v>330.6640000000005</v>
      </c>
      <c r="BZ99" s="13">
        <f>BY99*VLOOKUP('Données projet'!$B$12,Paramètres!$A$1:$I$89,3,0)*VLOOKUP('Données projet'!$B$12,Paramètres!$A$1:$I$89,5,0)</f>
        <v>314.65986240000052</v>
      </c>
      <c r="CA99" s="13">
        <f t="shared" si="93"/>
        <v>74.241148258745596</v>
      </c>
      <c r="CB99" s="20">
        <f t="shared" si="64"/>
        <v>677.3359268973162</v>
      </c>
      <c r="CC99" s="59">
        <f t="shared" si="65"/>
        <v>970.66926023064957</v>
      </c>
      <c r="CD99" s="59">
        <f ca="1">AVERAGE(OFFSET($CC$3,0,0,'Données projet'!$E$12+1,1))-AVERAGE(OFFSET($H$3,0,0,'Données projet'!$E$12+1,1))</f>
        <v>603.61135046904178</v>
      </c>
      <c r="CE99" s="59">
        <f t="shared" si="94"/>
        <v>272.84936867513068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28.522993233757738</v>
      </c>
      <c r="CL99" s="21">
        <f>EXP(-LN(2)/25)*CL98+(1-EXP(-LN(2)/25))/(LN(2)/25)*Calculateur!CG99*Calculateur!CI99*VLOOKUP('Données projet'!$B$12,Paramètres!$A$1:$I$89,3,0)*0.475*44/12</f>
        <v>28.045781102639644</v>
      </c>
      <c r="CM99" s="21">
        <f>EXP(-LN(2)/2)*CM98+(1-EXP(-LN(2)/2))/(LN(2)/2)*CG99*CJ99*VLOOKUP('Données projet'!$B$12,Paramètres!$A$1:$I$89,3,0)*0.475*44/12</f>
        <v>3.1195192093746438</v>
      </c>
      <c r="CN99" s="22">
        <f t="shared" si="66"/>
        <v>59.688293545772027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29.129100000000001</v>
      </c>
      <c r="D100" s="11">
        <f t="shared" si="86"/>
        <v>9.0663287090093405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162.1630482031625</v>
      </c>
      <c r="H100" s="67">
        <f t="shared" si="56"/>
        <v>323.19037166819129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1.9230769230769227</v>
      </c>
      <c r="N100" s="13">
        <f>IF('Données projet'!$A$36&gt;35,N99+M100-V99,IF(A100&lt;'Données projet'!$A$36,$K$205^A100,IF(A100='Données projet'!$A$36,'Données projet'!$B$36,N99+M100-V99)))</f>
        <v>148.07692307692312</v>
      </c>
      <c r="O100" s="13">
        <f>N100*VLOOKUP('Données projet'!$B$9,Paramètres!$A$1:$I$89,3,0)*VLOOKUP('Données projet'!$B$9,Paramètres!$A$1:$I$89,5,0)</f>
        <v>154.77000000000007</v>
      </c>
      <c r="P100" s="13">
        <f t="shared" si="87"/>
        <v>39.660602363834606</v>
      </c>
      <c r="Q100" s="20">
        <f t="shared" si="107"/>
        <v>338.63329911701209</v>
      </c>
      <c r="R100" s="59">
        <f t="shared" si="55"/>
        <v>631.9666324503454</v>
      </c>
      <c r="S100" s="59">
        <f ca="1">AVERAGE(OFFSET($R$3,0,0,'Données projet'!$E$9+1,1))-AVERAGE(OFFSET($H$3,0,0,'Données projet'!$E$9+1,1))</f>
        <v>225.9892575177542</v>
      </c>
      <c r="T100" s="59">
        <f t="shared" si="88"/>
        <v>215.88467215650428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2.6657157348449361</v>
      </c>
      <c r="AA100" s="21">
        <f>EXP(-LN(2)/25)*AA99+(1-EXP(-LN(2)/25))/(LN(2)/25)*Calculateur!V100*Calculateur!X100*VLOOKUP('Données projet'!$B$9,Paramètres!$A$1:$I$89,3,0)*0.475*44/12</f>
        <v>16.292827670620756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18.958543405465694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8.9420000000000019</v>
      </c>
      <c r="AI100" s="13">
        <f>IF('Données projet'!$A$62&gt;35,AI99+AH100-AQ99,IF(A100&lt;'Données projet'!$A$62,$AF$205^A100,IF(A100='Données projet'!$A$62,'Données projet'!$B$62,AI99+AH100-AQ99)))</f>
        <v>339.60600000000051</v>
      </c>
      <c r="AJ100" s="13">
        <f>AI100*VLOOKUP('Données projet'!$B$10,Paramètres!$A$1:$I$89,3,0)*VLOOKUP('Données projet'!$B$10,Paramètres!$A$1:$I$89,5,0)</f>
        <v>344.36048400000055</v>
      </c>
      <c r="AK100" s="13">
        <f t="shared" si="89"/>
        <v>80.400180766145681</v>
      </c>
      <c r="AL100" s="20">
        <f t="shared" si="58"/>
        <v>739.79149113437143</v>
      </c>
      <c r="AM100" s="59">
        <f t="shared" si="59"/>
        <v>1033.1248244677047</v>
      </c>
      <c r="AN100" s="59">
        <f ca="1">AVERAGE(OFFSET($AM$3,0,0,'Données projet'!$E$10+1,1))-AVERAGE(OFFSET($H$3,0,0,'Données projet'!$E$10+1,1))</f>
        <v>644.15138437063933</v>
      </c>
      <c r="AO100" s="59">
        <f t="shared" si="90"/>
        <v>289.3097279858207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29.797358322850265</v>
      </c>
      <c r="AV100" s="21">
        <f>EXP(-LN(2)/25)*AV99+(1-EXP(-LN(2)/25))/(LN(2)/25)*Calculateur!AQ100*Calculateur!AS100*VLOOKUP('Données projet'!$B$10,Paramètres!$A$1:$I$89,3,0)*0.475*44/12</f>
        <v>29.067645956214566</v>
      </c>
      <c r="AW100" s="21">
        <f>EXP(-LN(2)/2)*AW99+(1-EXP(-LN(2)/2))/(LN(2)/2)*AQ100*AT100*VLOOKUP('Données projet'!$B$10,Paramètres!$A$1:$I$89,3,0)*0.475*44/12</f>
        <v>2.350477986137427</v>
      </c>
      <c r="AX100" s="21">
        <f t="shared" si="60"/>
        <v>61.215482265202262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8.9420000000000019</v>
      </c>
      <c r="BD100" s="12">
        <f>IF('Données projet'!$A$88&gt;35,BD99+BC100-BL99,IF(A100&lt;'Données projet'!$A$88,$BA$205^A100,IF(A100='Données projet'!$A$88,'Données projet'!$B$88,BD99+BC100-BL99)))</f>
        <v>339.60600000000051</v>
      </c>
      <c r="BE100" s="13">
        <f>BD100*VLOOKUP('Données projet'!$B$11,Paramètres!$A$1:$I$89,3,0)*VLOOKUP('Données projet'!$B$11,Paramètres!$A$1:$I$89,5,0)</f>
        <v>307.27550880000041</v>
      </c>
      <c r="BF100" s="13">
        <f t="shared" si="91"/>
        <v>72.699555980078841</v>
      </c>
      <c r="BG100" s="20">
        <f t="shared" si="61"/>
        <v>661.78990449197136</v>
      </c>
      <c r="BH100" s="59">
        <f t="shared" si="62"/>
        <v>955.12323782530461</v>
      </c>
      <c r="BI100" s="59">
        <f ca="1">AVERAGE(OFFSET($BH$3,0,0,'Données projet'!$E$11+1,1))-AVERAGE(OFFSET($H$3,0,0,'Données projet'!$E$11+1,1))</f>
        <v>573.17174498173017</v>
      </c>
      <c r="BJ100" s="59">
        <f t="shared" si="92"/>
        <v>260.48854096157231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26.588412041927928</v>
      </c>
      <c r="BQ100" s="21">
        <f>EXP(-LN(2)/25)*BQ99+(1-EXP(-LN(2)/25))/(LN(2)/25)*Calculateur!BL100*Calculateur!BN100*VLOOKUP('Données projet'!$B$11,Paramètres!$A$1:$I$89,3,0)*0.475*44/12</f>
        <v>25.937284084006841</v>
      </c>
      <c r="BR100" s="21">
        <f>EXP(-LN(2)/2)*BR99+(1-EXP(-LN(2)/2))/(LN(2)/2)*BL100*BO100*VLOOKUP('Données projet'!$B$11,Paramètres!$A$1:$I$89,3,0)*0.475*44/12</f>
        <v>2.0973495876303185</v>
      </c>
      <c r="BS100" s="22">
        <f t="shared" si="63"/>
        <v>54.623045713565091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8.9420000000000019</v>
      </c>
      <c r="BY100" s="12">
        <f>IF('Données projet'!$A$114&gt;35,BY99+BX100-CG99,IF(A100&lt;'Données projet'!$A$114,$BV$205^A100,IF(A100='Données projet'!$A$114,'Données projet'!$B$114,BY99+BX100-CG99)))</f>
        <v>339.60600000000051</v>
      </c>
      <c r="BZ100" s="13">
        <f>BY100*VLOOKUP('Données projet'!$B$12,Paramètres!$A$1:$I$89,3,0)*VLOOKUP('Données projet'!$B$12,Paramètres!$A$1:$I$89,5,0)</f>
        <v>323.16906960000051</v>
      </c>
      <c r="CA100" s="13">
        <f t="shared" si="93"/>
        <v>76.012361564265504</v>
      </c>
      <c r="CB100" s="20">
        <f t="shared" si="64"/>
        <v>695.24099261109666</v>
      </c>
      <c r="CC100" s="59">
        <f t="shared" si="65"/>
        <v>988.57432594443003</v>
      </c>
      <c r="CD100" s="59">
        <f ca="1">AVERAGE(OFFSET($CC$3,0,0,'Données projet'!$E$12+1,1))-AVERAGE(OFFSET($H$3,0,0,'Données projet'!$E$12+1,1))</f>
        <v>603.61135046904178</v>
      </c>
      <c r="CE100" s="59">
        <f t="shared" si="94"/>
        <v>272.84936867513068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27.96367473375178</v>
      </c>
      <c r="CL100" s="21">
        <f>EXP(-LN(2)/25)*CL99+(1-EXP(-LN(2)/25))/(LN(2)/25)*Calculateur!CG100*Calculateur!CI100*VLOOKUP('Données projet'!$B$12,Paramètres!$A$1:$I$89,3,0)*0.475*44/12</f>
        <v>27.278867743524433</v>
      </c>
      <c r="CM100" s="21">
        <f>EXP(-LN(2)/2)*CM99+(1-EXP(-LN(2)/2))/(LN(2)/2)*CG100*CJ100*VLOOKUP('Données projet'!$B$12,Paramètres!$A$1:$I$89,3,0)*0.475*44/12</f>
        <v>2.2058331869905081</v>
      </c>
      <c r="CN100" s="22">
        <f t="shared" si="66"/>
        <v>57.448375664266727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29.429400000000001</v>
      </c>
      <c r="D101" s="11">
        <f t="shared" si="86"/>
        <v>9.1488670572845336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163.78843206776946</v>
      </c>
      <c r="H101" s="67">
        <f t="shared" si="56"/>
        <v>323.85714845810389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1.9230769230769227</v>
      </c>
      <c r="N101" s="13">
        <f>IF('Données projet'!$A$36&gt;35,N100+M101-V100,IF(A101&lt;'Données projet'!$A$36,$K$205^A101,IF(A101='Données projet'!$A$36,'Données projet'!$B$36,N100+M101-V100)))</f>
        <v>150.00000000000006</v>
      </c>
      <c r="O101" s="13">
        <f>N101*VLOOKUP('Données projet'!$B$9,Paramètres!$A$1:$I$89,3,0)*VLOOKUP('Données projet'!$B$9,Paramètres!$A$1:$I$89,5,0)</f>
        <v>156.78000000000006</v>
      </c>
      <c r="P101" s="13">
        <f t="shared" si="87"/>
        <v>40.115378305457973</v>
      </c>
      <c r="Q101" s="20">
        <f t="shared" si="107"/>
        <v>342.92611721533939</v>
      </c>
      <c r="R101" s="59">
        <f t="shared" si="55"/>
        <v>636.2594505486727</v>
      </c>
      <c r="S101" s="59">
        <f ca="1">AVERAGE(OFFSET($R$3,0,0,'Données projet'!$E$9+1,1))-AVERAGE(OFFSET($H$3,0,0,'Données projet'!$E$9+1,1))</f>
        <v>225.9892575177542</v>
      </c>
      <c r="T101" s="59">
        <f t="shared" si="88"/>
        <v>215.88467215650428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2.6134426752106781</v>
      </c>
      <c r="AA101" s="21">
        <f>EXP(-LN(2)/25)*AA100+(1-EXP(-LN(2)/25))/(LN(2)/25)*Calculateur!V101*Calculateur!X101*VLOOKUP('Données projet'!$B$9,Paramètres!$A$1:$I$89,3,0)*0.475*44/12</f>
        <v>15.847299441165061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18.460742116375741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8.9420000000000019</v>
      </c>
      <c r="AI101" s="13">
        <f>IF('Données projet'!$A$62&gt;35,AI100+AH101-AQ100,IF(A101&lt;'Données projet'!$A$62,$AF$205^A101,IF(A101='Données projet'!$A$62,'Données projet'!$B$62,AI100+AH101-AQ100)))</f>
        <v>348.54800000000051</v>
      </c>
      <c r="AJ101" s="13">
        <f>AI101*VLOOKUP('Données projet'!$B$10,Paramètres!$A$1:$I$89,3,0)*VLOOKUP('Données projet'!$B$10,Paramètres!$A$1:$I$89,5,0)</f>
        <v>353.42767200000054</v>
      </c>
      <c r="AK101" s="13">
        <f t="shared" si="89"/>
        <v>82.26790367650959</v>
      </c>
      <c r="AL101" s="20">
        <f t="shared" si="58"/>
        <v>758.83646096992186</v>
      </c>
      <c r="AM101" s="59">
        <f t="shared" si="59"/>
        <v>1052.1697943032552</v>
      </c>
      <c r="AN101" s="59">
        <f ca="1">AVERAGE(OFFSET($AM$3,0,0,'Données projet'!$E$10+1,1))-AVERAGE(OFFSET($H$3,0,0,'Données projet'!$E$10+1,1))</f>
        <v>644.15138437063933</v>
      </c>
      <c r="AO101" s="59">
        <f t="shared" si="90"/>
        <v>289.3097279858207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29.213050300733155</v>
      </c>
      <c r="AV101" s="21">
        <f>EXP(-LN(2)/25)*AV100+(1-EXP(-LN(2)/25))/(LN(2)/25)*Calculateur!AQ101*Calculateur!AS101*VLOOKUP('Données projet'!$B$10,Paramètres!$A$1:$I$89,3,0)*0.475*44/12</f>
        <v>28.272789648940812</v>
      </c>
      <c r="AW101" s="21">
        <f>EXP(-LN(2)/2)*AW100+(1-EXP(-LN(2)/2))/(LN(2)/2)*AQ101*AT101*VLOOKUP('Données projet'!$B$10,Paramètres!$A$1:$I$89,3,0)*0.475*44/12</f>
        <v>1.6620389230274746</v>
      </c>
      <c r="AX101" s="21">
        <f t="shared" si="60"/>
        <v>59.14787887270144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8.9420000000000019</v>
      </c>
      <c r="BD101" s="12">
        <f>IF('Données projet'!$A$88&gt;35,BD100+BC101-BL100,IF(A101&lt;'Données projet'!$A$88,$BA$205^A101,IF(A101='Données projet'!$A$88,'Données projet'!$B$88,BD100+BC101-BL100)))</f>
        <v>348.54800000000051</v>
      </c>
      <c r="BE101" s="13">
        <f>BD101*VLOOKUP('Données projet'!$B$11,Paramètres!$A$1:$I$89,3,0)*VLOOKUP('Données projet'!$B$11,Paramètres!$A$1:$I$89,5,0)</f>
        <v>315.36623040000046</v>
      </c>
      <c r="BF101" s="13">
        <f t="shared" si="91"/>
        <v>74.38839081830163</v>
      </c>
      <c r="BG101" s="20">
        <f t="shared" si="61"/>
        <v>678.82263195520943</v>
      </c>
      <c r="BH101" s="59">
        <f t="shared" si="62"/>
        <v>972.1559652885428</v>
      </c>
      <c r="BI101" s="59">
        <f ca="1">AVERAGE(OFFSET($BH$3,0,0,'Données projet'!$E$11+1,1))-AVERAGE(OFFSET($H$3,0,0,'Données projet'!$E$11+1,1))</f>
        <v>573.17174498173017</v>
      </c>
      <c r="BJ101" s="59">
        <f t="shared" si="92"/>
        <v>260.48854096157231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26.067029499115737</v>
      </c>
      <c r="BQ101" s="21">
        <f>EXP(-LN(2)/25)*BQ100+(1-EXP(-LN(2)/25))/(LN(2)/25)*Calculateur!BL101*Calculateur!BN101*VLOOKUP('Données projet'!$B$11,Paramètres!$A$1:$I$89,3,0)*0.475*44/12</f>
        <v>25.228027686747183</v>
      </c>
      <c r="BR101" s="21">
        <f>EXP(-LN(2)/2)*BR100+(1-EXP(-LN(2)/2))/(LN(2)/2)*BL101*BO101*VLOOKUP('Données projet'!$B$11,Paramètres!$A$1:$I$89,3,0)*0.475*44/12</f>
        <v>1.4830501159322074</v>
      </c>
      <c r="BS101" s="22">
        <f t="shared" si="63"/>
        <v>52.778107301795124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8.9420000000000019</v>
      </c>
      <c r="BY101" s="12">
        <f>IF('Données projet'!$A$114&gt;35,BY100+BX101-CG100,IF(A101&lt;'Données projet'!$A$114,$BV$205^A101,IF(A101='Données projet'!$A$114,'Données projet'!$B$114,BY100+BX101-CG100)))</f>
        <v>348.54800000000051</v>
      </c>
      <c r="BZ101" s="13">
        <f>BY101*VLOOKUP('Données projet'!$B$12,Paramètres!$A$1:$I$89,3,0)*VLOOKUP('Données projet'!$B$12,Paramètres!$A$1:$I$89,5,0)</f>
        <v>331.6782768000005</v>
      </c>
      <c r="CA101" s="13">
        <f t="shared" si="93"/>
        <v>77.778153976814764</v>
      </c>
      <c r="CB101" s="20">
        <f t="shared" si="64"/>
        <v>713.13661693628671</v>
      </c>
      <c r="CC101" s="59">
        <f t="shared" si="65"/>
        <v>1006.4699502696201</v>
      </c>
      <c r="CD101" s="59">
        <f ca="1">AVERAGE(OFFSET($CC$3,0,0,'Données projet'!$E$12+1,1))-AVERAGE(OFFSET($H$3,0,0,'Données projet'!$E$12+1,1))</f>
        <v>603.61135046904178</v>
      </c>
      <c r="CE101" s="59">
        <f t="shared" si="94"/>
        <v>272.84936867513068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27.415324128380341</v>
      </c>
      <c r="CL101" s="21">
        <f>EXP(-LN(2)/25)*CL100+(1-EXP(-LN(2)/25))/(LN(2)/25)*Calculateur!CG101*Calculateur!CI101*VLOOKUP('Données projet'!$B$12,Paramètres!$A$1:$I$89,3,0)*0.475*44/12</f>
        <v>26.532925670544451</v>
      </c>
      <c r="CM101" s="21">
        <f>EXP(-LN(2)/2)*CM100+(1-EXP(-LN(2)/2))/(LN(2)/2)*CG101*CJ101*VLOOKUP('Données projet'!$B$12,Paramètres!$A$1:$I$89,3,0)*0.475*44/12</f>
        <v>1.5597596046873221</v>
      </c>
      <c r="CN101" s="22">
        <f t="shared" si="66"/>
        <v>55.508009403612114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29.729700000000001</v>
      </c>
      <c r="D102" s="11">
        <f t="shared" si="86"/>
        <v>9.2313074266151478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165.41339995159416</v>
      </c>
      <c r="H102" s="67">
        <f t="shared" si="56"/>
        <v>324.52375460135471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1.9230769230769227</v>
      </c>
      <c r="N102" s="13">
        <f>IF('Données projet'!$A$36&gt;35,N101+M102-V101,IF(A102&lt;'Données projet'!$A$36,$K$205^A102,IF(A102='Données projet'!$A$36,'Données projet'!$B$36,N101+M102-V101)))</f>
        <v>151.92307692307699</v>
      </c>
      <c r="O102" s="13">
        <f>N102*VLOOKUP('Données projet'!$B$9,Paramètres!$A$1:$I$89,3,0)*VLOOKUP('Données projet'!$B$9,Paramètres!$A$1:$I$89,5,0)</f>
        <v>158.79000000000008</v>
      </c>
      <c r="P102" s="13">
        <f t="shared" si="87"/>
        <v>40.569476067936968</v>
      </c>
      <c r="Q102" s="20">
        <f t="shared" si="107"/>
        <v>347.21775415165695</v>
      </c>
      <c r="R102" s="59">
        <f t="shared" si="55"/>
        <v>640.55108748499026</v>
      </c>
      <c r="S102" s="59">
        <f ca="1">AVERAGE(OFFSET($R$3,0,0,'Données projet'!$E$9+1,1))-AVERAGE(OFFSET($H$3,0,0,'Données projet'!$E$9+1,1))</f>
        <v>225.9892575177542</v>
      </c>
      <c r="T102" s="59">
        <f t="shared" si="88"/>
        <v>215.88467215650428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2.5621946583924298</v>
      </c>
      <c r="AA102" s="21">
        <f>EXP(-LN(2)/25)*AA101+(1-EXP(-LN(2)/25))/(LN(2)/25)*Calculateur!V102*Calculateur!X102*VLOOKUP('Données projet'!$B$9,Paramètres!$A$1:$I$89,3,0)*0.475*44/12</f>
        <v>15.413954204573145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17.976148862965573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8.9420000000000019</v>
      </c>
      <c r="AI102" s="13">
        <f>IF('Données projet'!$A$62&gt;35,AI101+AH102-AQ101,IF(A102&lt;'Données projet'!$A$62,$AF$205^A102,IF(A102='Données projet'!$A$62,'Données projet'!$B$62,AI101+AH102-AQ101)))</f>
        <v>357.49000000000052</v>
      </c>
      <c r="AJ102" s="13">
        <f>AI102*VLOOKUP('Données projet'!$B$10,Paramètres!$A$1:$I$89,3,0)*VLOOKUP('Données projet'!$B$10,Paramètres!$A$1:$I$89,5,0)</f>
        <v>362.49486000000059</v>
      </c>
      <c r="AK102" s="13">
        <f t="shared" si="89"/>
        <v>84.130056787487845</v>
      </c>
      <c r="AL102" s="20">
        <f t="shared" si="58"/>
        <v>777.87173007154217</v>
      </c>
      <c r="AM102" s="59">
        <f t="shared" si="59"/>
        <v>1071.2050634048755</v>
      </c>
      <c r="AN102" s="59">
        <f ca="1">AVERAGE(OFFSET($AM$3,0,0,'Données projet'!$E$10+1,1))-AVERAGE(OFFSET($H$3,0,0,'Données projet'!$E$10+1,1))</f>
        <v>644.15138437063933</v>
      </c>
      <c r="AO102" s="59">
        <f t="shared" si="90"/>
        <v>289.3097279858207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28.640200202537059</v>
      </c>
      <c r="AV102" s="21">
        <f>EXP(-LN(2)/25)*AV101+(1-EXP(-LN(2)/25))/(LN(2)/25)*Calculateur!AQ102*Calculateur!AS102*VLOOKUP('Données projet'!$B$10,Paramètres!$A$1:$I$89,3,0)*0.475*44/12</f>
        <v>27.499668729189136</v>
      </c>
      <c r="AW102" s="21">
        <f>EXP(-LN(2)/2)*AW101+(1-EXP(-LN(2)/2))/(LN(2)/2)*AQ102*AT102*VLOOKUP('Données projet'!$B$10,Paramètres!$A$1:$I$89,3,0)*0.475*44/12</f>
        <v>1.1752389930687137</v>
      </c>
      <c r="AX102" s="21">
        <f t="shared" si="60"/>
        <v>57.315107924794916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8.9420000000000019</v>
      </c>
      <c r="BD102" s="12">
        <f>IF('Données projet'!$A$88&gt;35,BD101+BC102-BL101,IF(A102&lt;'Données projet'!$A$88,$BA$205^A102,IF(A102='Données projet'!$A$88,'Données projet'!$B$88,BD101+BC102-BL101)))</f>
        <v>357.49000000000052</v>
      </c>
      <c r="BE102" s="13">
        <f>BD102*VLOOKUP('Données projet'!$B$11,Paramètres!$A$1:$I$89,3,0)*VLOOKUP('Données projet'!$B$11,Paramètres!$A$1:$I$89,5,0)</f>
        <v>323.45695200000046</v>
      </c>
      <c r="BF102" s="13">
        <f t="shared" si="91"/>
        <v>76.072189325282608</v>
      </c>
      <c r="BG102" s="20">
        <f t="shared" si="61"/>
        <v>695.84658780820121</v>
      </c>
      <c r="BH102" s="59">
        <f t="shared" si="62"/>
        <v>989.17992114153458</v>
      </c>
      <c r="BI102" s="59">
        <f ca="1">AVERAGE(OFFSET($BH$3,0,0,'Données projet'!$E$11+1,1))-AVERAGE(OFFSET($H$3,0,0,'Données projet'!$E$11+1,1))</f>
        <v>573.17174498173017</v>
      </c>
      <c r="BJ102" s="59">
        <f t="shared" si="92"/>
        <v>260.48854096157231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25.555870949956144</v>
      </c>
      <c r="BQ102" s="21">
        <f>EXP(-LN(2)/25)*BQ101+(1-EXP(-LN(2)/25))/(LN(2)/25)*Calculateur!BL102*Calculateur!BN102*VLOOKUP('Données projet'!$B$11,Paramètres!$A$1:$I$89,3,0)*0.475*44/12</f>
        <v>24.538165942968764</v>
      </c>
      <c r="BR102" s="21">
        <f>EXP(-LN(2)/2)*BR101+(1-EXP(-LN(2)/2))/(LN(2)/2)*BL102*BO102*VLOOKUP('Données projet'!$B$11,Paramètres!$A$1:$I$89,3,0)*0.475*44/12</f>
        <v>1.0486747938151593</v>
      </c>
      <c r="BS102" s="22">
        <f t="shared" si="63"/>
        <v>51.142711686740064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8.9420000000000019</v>
      </c>
      <c r="BY102" s="12">
        <f>IF('Données projet'!$A$114&gt;35,BY101+BX102-CG101,IF(A102&lt;'Données projet'!$A$114,$BV$205^A102,IF(A102='Données projet'!$A$114,'Données projet'!$B$114,BY101+BX102-CG101)))</f>
        <v>357.49000000000052</v>
      </c>
      <c r="BZ102" s="13">
        <f>BY102*VLOOKUP('Données projet'!$B$12,Paramètres!$A$1:$I$89,3,0)*VLOOKUP('Données projet'!$B$12,Paramètres!$A$1:$I$89,5,0)</f>
        <v>340.1874840000005</v>
      </c>
      <c r="CA102" s="13">
        <f t="shared" si="93"/>
        <v>79.538680560348226</v>
      </c>
      <c r="CB102" s="20">
        <f t="shared" si="64"/>
        <v>731.02306994260732</v>
      </c>
      <c r="CC102" s="59">
        <f t="shared" si="65"/>
        <v>1024.3564032759407</v>
      </c>
      <c r="CD102" s="59">
        <f ca="1">AVERAGE(OFFSET($CC$3,0,0,'Données projet'!$E$12+1,1))-AVERAGE(OFFSET($H$3,0,0,'Données projet'!$E$12+1,1))</f>
        <v>603.61135046904178</v>
      </c>
      <c r="CE102" s="59">
        <f t="shared" si="94"/>
        <v>272.84936867513068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26.877726343919392</v>
      </c>
      <c r="CL102" s="21">
        <f>EXP(-LN(2)/25)*CL101+(1-EXP(-LN(2)/25))/(LN(2)/25)*Calculateur!CG102*Calculateur!CI102*VLOOKUP('Données projet'!$B$12,Paramètres!$A$1:$I$89,3,0)*0.475*44/12</f>
        <v>25.807381422777492</v>
      </c>
      <c r="CM102" s="21">
        <f>EXP(-LN(2)/2)*CM101+(1-EXP(-LN(2)/2))/(LN(2)/2)*CG102*CJ102*VLOOKUP('Données projet'!$B$12,Paramètres!$A$1:$I$89,3,0)*0.475*44/12</f>
        <v>1.1029165934952543</v>
      </c>
      <c r="CN102" s="22">
        <f t="shared" si="66"/>
        <v>53.788024360192139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30.03</v>
      </c>
      <c r="D103" s="11">
        <f t="shared" si="86"/>
        <v>9.3136509212754159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167.0379565429588</v>
      </c>
      <c r="H103" s="67">
        <f t="shared" si="56"/>
        <v>325.19019202122138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153.84615384615384</v>
      </c>
      <c r="L103" s="12">
        <f>VLOOKUP(A103,'Données projet'!$A$35:$I$55,9,0)</f>
        <v>1.9230769230769227</v>
      </c>
      <c r="M103" s="12">
        <f t="array" ref="M103">INDEX(L:L,MIN(IF(ISNUMBER(L103:L299),ROW(L103:L299),"")))</f>
        <v>1.9230769230769227</v>
      </c>
      <c r="N103" s="13">
        <f>IF('Données projet'!$A$36&gt;35,N102+M103-V102,IF(A103&lt;'Données projet'!$A$36,$K$205^A103,IF(A103='Données projet'!$A$36,'Données projet'!$B$36,N102+M103-V102)))</f>
        <v>153.84615384615392</v>
      </c>
      <c r="O103" s="13">
        <f>N103*VLOOKUP('Données projet'!$B$9,Paramètres!$A$1:$I$89,3,0)*VLOOKUP('Données projet'!$B$9,Paramètres!$A$1:$I$89,5,0)</f>
        <v>160.8000000000001</v>
      </c>
      <c r="P103" s="13">
        <f t="shared" si="87"/>
        <v>41.022905228516315</v>
      </c>
      <c r="Q103" s="20">
        <f t="shared" si="107"/>
        <v>351.50822660633276</v>
      </c>
      <c r="R103" s="59">
        <f t="shared" si="55"/>
        <v>644.84155993966601</v>
      </c>
      <c r="S103" s="59">
        <f ca="1">AVERAGE(OFFSET($R$3,0,0,'Données projet'!$E$9+1,1))-AVERAGE(OFFSET($H$3,0,0,'Données projet'!$E$9+1,1))</f>
        <v>225.9892575177542</v>
      </c>
      <c r="T103" s="59">
        <f t="shared" si="88"/>
        <v>215.88467215650428</v>
      </c>
      <c r="U103" s="15">
        <f>IF(ISNA(VLOOKUP(A103,'Données projet'!$A$35:$I$55,3,0)),0,VLOOKUP(A103,'Données projet'!$A$35:$I$55,3,0))</f>
        <v>17</v>
      </c>
      <c r="V103" s="15">
        <f>IF(ISNA(VLOOKUP(A103,'Données projet'!$A$35:$I$55,4,0)),0,VLOOKUP(A103,'Données projet'!$A$35:$I$55,4,0))</f>
        <v>153.84615384615384</v>
      </c>
      <c r="W103" s="16">
        <f>IF(ISNA(VLOOKUP(A103,'Données projet'!$A$35:$I$55,5,0)),0%,VLOOKUP(A103,'Données projet'!$A$35:$I$55,5,0)*VLOOKUP('Données projet'!$B$9,Paramètres!$A$1:$I$89,7,0))</f>
        <v>8.6000000000000007E-2</v>
      </c>
      <c r="X103" s="16">
        <f>IF(ISNA(VLOOKUP(A103,'Données projet'!$A$35:$I$55,6,0)),0%,VLOOKUP(A103,'Données projet'!$A$35:$I$55,6,0)*VLOOKUP('Données projet'!$B$9,Paramètres!$A$1:$I$89,7,0))</f>
        <v>0.17200000000000001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17.799280368411043</v>
      </c>
      <c r="AA103" s="21">
        <f>EXP(-LN(2)/25)*AA102+(1-EXP(-LN(2)/25))/(LN(2)/25)*Calculateur!V103*Calculateur!X103*VLOOKUP('Données projet'!$B$9,Paramètres!$A$1:$I$89,3,0)*0.475*44/12</f>
        <v>45.446732308528091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63.246012676939131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8.9420000000000019</v>
      </c>
      <c r="AI103" s="13">
        <f>IF('Données projet'!$A$62&gt;35,AI102+AH103-AQ102,IF(A103&lt;'Données projet'!$A$62,$AF$205^A103,IF(A103='Données projet'!$A$62,'Données projet'!$B$62,AI102+AH103-AQ102)))</f>
        <v>366.43200000000053</v>
      </c>
      <c r="AJ103" s="13">
        <f>AI103*VLOOKUP('Données projet'!$B$10,Paramètres!$A$1:$I$89,3,0)*VLOOKUP('Données projet'!$B$10,Paramètres!$A$1:$I$89,5,0)</f>
        <v>371.56204800000057</v>
      </c>
      <c r="AK103" s="13">
        <f t="shared" si="89"/>
        <v>85.986795441367093</v>
      </c>
      <c r="AL103" s="20">
        <f t="shared" si="58"/>
        <v>796.89756899371525</v>
      </c>
      <c r="AM103" s="59">
        <f t="shared" si="59"/>
        <v>1090.2309023270486</v>
      </c>
      <c r="AN103" s="59">
        <f ca="1">AVERAGE(OFFSET($AM$3,0,0,'Données projet'!$E$10+1,1))-AVERAGE(OFFSET($H$3,0,0,'Données projet'!$E$10+1,1))</f>
        <v>644.15138437063933</v>
      </c>
      <c r="AO103" s="59">
        <f t="shared" si="90"/>
        <v>289.3097279858207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28.078583345362532</v>
      </c>
      <c r="AV103" s="21">
        <f>EXP(-LN(2)/25)*AV102+(1-EXP(-LN(2)/25))/(LN(2)/25)*Calculateur!AQ103*Calculateur!AS103*VLOOKUP('Données projet'!$B$10,Paramètres!$A$1:$I$89,3,0)*0.475*44/12</f>
        <v>26.747688841644731</v>
      </c>
      <c r="AW103" s="21">
        <f>EXP(-LN(2)/2)*AW102+(1-EXP(-LN(2)/2))/(LN(2)/2)*AQ103*AT103*VLOOKUP('Données projet'!$B$10,Paramètres!$A$1:$I$89,3,0)*0.475*44/12</f>
        <v>0.8310194615137374</v>
      </c>
      <c r="AX103" s="21">
        <f t="shared" si="60"/>
        <v>55.657291648521003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8.9420000000000019</v>
      </c>
      <c r="BD103" s="12">
        <f>IF('Données projet'!$A$88&gt;35,BD102+BC103-BL102,IF(A103&lt;'Données projet'!$A$88,$BA$205^A103,IF(A103='Données projet'!$A$88,'Données projet'!$B$88,BD102+BC103-BL102)))</f>
        <v>366.43200000000053</v>
      </c>
      <c r="BE103" s="13">
        <f>BD103*VLOOKUP('Données projet'!$B$11,Paramètres!$A$1:$I$89,3,0)*VLOOKUP('Données projet'!$B$11,Paramètres!$A$1:$I$89,5,0)</f>
        <v>331.54767360000045</v>
      </c>
      <c r="BF103" s="13">
        <f t="shared" si="91"/>
        <v>77.751091964826287</v>
      </c>
      <c r="BG103" s="20">
        <f t="shared" si="61"/>
        <v>712.86201669207321</v>
      </c>
      <c r="BH103" s="59">
        <f t="shared" si="62"/>
        <v>1006.1953500254065</v>
      </c>
      <c r="BI103" s="59">
        <f ca="1">AVERAGE(OFFSET($BH$3,0,0,'Données projet'!$E$11+1,1))-AVERAGE(OFFSET($H$3,0,0,'Données projet'!$E$11+1,1))</f>
        <v>573.17174498173017</v>
      </c>
      <c r="BJ103" s="59">
        <f t="shared" si="92"/>
        <v>260.48854096157231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25.054735908169643</v>
      </c>
      <c r="BQ103" s="21">
        <f>EXP(-LN(2)/25)*BQ102+(1-EXP(-LN(2)/25))/(LN(2)/25)*Calculateur!BL103*Calculateur!BN103*VLOOKUP('Données projet'!$B$11,Paramètres!$A$1:$I$89,3,0)*0.475*44/12</f>
        <v>23.86716850485222</v>
      </c>
      <c r="BR103" s="21">
        <f>EXP(-LN(2)/2)*BR102+(1-EXP(-LN(2)/2))/(LN(2)/2)*BL103*BO103*VLOOKUP('Données projet'!$B$11,Paramètres!$A$1:$I$89,3,0)*0.475*44/12</f>
        <v>0.74152505796610368</v>
      </c>
      <c r="BS103" s="22">
        <f t="shared" si="63"/>
        <v>49.663429470987964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8.9420000000000019</v>
      </c>
      <c r="BY103" s="12">
        <f>IF('Données projet'!$A$114&gt;35,BY102+BX103-CG102,IF(A103&lt;'Données projet'!$A$114,$BV$205^A103,IF(A103='Données projet'!$A$114,'Données projet'!$B$114,BY102+BX103-CG102)))</f>
        <v>366.43200000000053</v>
      </c>
      <c r="BZ103" s="13">
        <f>BY103*VLOOKUP('Données projet'!$B$12,Paramètres!$A$1:$I$89,3,0)*VLOOKUP('Données projet'!$B$12,Paramètres!$A$1:$I$89,5,0)</f>
        <v>348.69669120000049</v>
      </c>
      <c r="CA103" s="13">
        <f t="shared" si="93"/>
        <v>81.294088179387458</v>
      </c>
      <c r="CB103" s="20">
        <f t="shared" si="64"/>
        <v>748.90060741910065</v>
      </c>
      <c r="CC103" s="59">
        <f t="shared" si="65"/>
        <v>1042.2339407524339</v>
      </c>
      <c r="CD103" s="59">
        <f ca="1">AVERAGE(OFFSET($CC$3,0,0,'Données projet'!$E$12+1,1))-AVERAGE(OFFSET($H$3,0,0,'Données projet'!$E$12+1,1))</f>
        <v>603.61135046904178</v>
      </c>
      <c r="CE103" s="59">
        <f t="shared" si="94"/>
        <v>272.84936867513068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26.35067052410945</v>
      </c>
      <c r="CL103" s="21">
        <f>EXP(-LN(2)/25)*CL102+(1-EXP(-LN(2)/25))/(LN(2)/25)*Calculateur!CG103*Calculateur!CI103*VLOOKUP('Données projet'!$B$12,Paramètres!$A$1:$I$89,3,0)*0.475*44/12</f>
        <v>25.101677220620438</v>
      </c>
      <c r="CM103" s="21">
        <f>EXP(-LN(2)/2)*CM102+(1-EXP(-LN(2)/2))/(LN(2)/2)*CG103*CJ103*VLOOKUP('Données projet'!$B$12,Paramètres!$A$1:$I$89,3,0)*0.475*44/12</f>
        <v>0.77987980234366117</v>
      </c>
      <c r="CN103" s="22">
        <f t="shared" si="66"/>
        <v>52.232227547073556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30.330300000000001</v>
      </c>
      <c r="D104" s="11">
        <f t="shared" si="86"/>
        <v>9.3958986221811536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168.66210643101476</v>
      </c>
      <c r="H104" s="67">
        <f t="shared" si="56"/>
        <v>325.85646260029887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8.5265128291212022E-14</v>
      </c>
      <c r="O104" s="13">
        <f>N104*VLOOKUP('Données projet'!$B$9,Paramètres!$A$1:$I$89,3,0)*VLOOKUP('Données projet'!$B$9,Paramètres!$A$1:$I$89,5,0)</f>
        <v>8.9119112089974823E-14</v>
      </c>
      <c r="P104" s="13">
        <f t="shared" si="87"/>
        <v>1.3568952080113142E-12</v>
      </c>
      <c r="Q104" s="20">
        <f t="shared" si="107"/>
        <v>2.5184749408430782E-12</v>
      </c>
      <c r="R104" s="59">
        <f t="shared" si="55"/>
        <v>293.33333333333582</v>
      </c>
      <c r="S104" s="59">
        <f ca="1">AVERAGE(OFFSET($R$3,0,0,'Données projet'!$E$9+1,1))-AVERAGE(OFFSET($H$3,0,0,'Données projet'!$E$9+1,1))</f>
        <v>225.9892575177542</v>
      </c>
      <c r="T104" s="59">
        <f t="shared" si="88"/>
        <v>215.88467215650428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17.450247336875538</v>
      </c>
      <c r="AA104" s="21">
        <f>EXP(-LN(2)/25)*AA103+(1-EXP(-LN(2)/25))/(LN(2)/25)*Calculateur!V104*Calculateur!X104*VLOOKUP('Données projet'!$B$9,Paramètres!$A$1:$I$89,3,0)*0.475*44/12</f>
        <v>44.203989023611605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61.654236360487147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8.9420000000000019</v>
      </c>
      <c r="AI104" s="13">
        <f>IF('Données projet'!$A$62&gt;35,AI103+AH104-AQ103,IF(A104&lt;'Données projet'!$A$62,$AF$205^A104,IF(A104='Données projet'!$A$62,'Données projet'!$B$62,AI103+AH104-AQ103)))</f>
        <v>375.37400000000054</v>
      </c>
      <c r="AJ104" s="13">
        <f>AI104*VLOOKUP('Données projet'!$B$10,Paramètres!$A$1:$I$89,3,0)*VLOOKUP('Données projet'!$B$10,Paramètres!$A$1:$I$89,5,0)</f>
        <v>380.62923600000056</v>
      </c>
      <c r="AK104" s="13">
        <f t="shared" si="89"/>
        <v>87.83826696657087</v>
      </c>
      <c r="AL104" s="20">
        <f t="shared" si="58"/>
        <v>815.91423433344517</v>
      </c>
      <c r="AM104" s="59">
        <f t="shared" si="59"/>
        <v>1109.2475676667784</v>
      </c>
      <c r="AN104" s="59">
        <f ca="1">AVERAGE(OFFSET($AM$3,0,0,'Données projet'!$E$10+1,1))-AVERAGE(OFFSET($H$3,0,0,'Données projet'!$E$10+1,1))</f>
        <v>644.15138437063933</v>
      </c>
      <c r="AO104" s="59">
        <f t="shared" si="90"/>
        <v>289.3097279858207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27.527979452204736</v>
      </c>
      <c r="AV104" s="21">
        <f>EXP(-LN(2)/25)*AV103+(1-EXP(-LN(2)/25))/(LN(2)/25)*Calculateur!AQ104*Calculateur!AS104*VLOOKUP('Données projet'!$B$10,Paramètres!$A$1:$I$89,3,0)*0.475*44/12</f>
        <v>26.016271883670132</v>
      </c>
      <c r="AW104" s="21">
        <f>EXP(-LN(2)/2)*AW103+(1-EXP(-LN(2)/2))/(LN(2)/2)*AQ104*AT104*VLOOKUP('Données projet'!$B$10,Paramètres!$A$1:$I$89,3,0)*0.475*44/12</f>
        <v>0.58761949653435686</v>
      </c>
      <c r="AX104" s="21">
        <f t="shared" si="60"/>
        <v>54.131870832409227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8.9420000000000019</v>
      </c>
      <c r="BD104" s="12">
        <f>IF('Données projet'!$A$88&gt;35,BD103+BC104-BL103,IF(A104&lt;'Données projet'!$A$88,$BA$205^A104,IF(A104='Données projet'!$A$88,'Données projet'!$B$88,BD103+BC104-BL103)))</f>
        <v>375.37400000000054</v>
      </c>
      <c r="BE104" s="13">
        <f>BD104*VLOOKUP('Données projet'!$B$11,Paramètres!$A$1:$I$89,3,0)*VLOOKUP('Données projet'!$B$11,Paramètres!$A$1:$I$89,5,0)</f>
        <v>339.6383952000005</v>
      </c>
      <c r="BF104" s="13">
        <f t="shared" si="91"/>
        <v>79.425231954431325</v>
      </c>
      <c r="BG104" s="20">
        <f t="shared" si="61"/>
        <v>729.86915062730213</v>
      </c>
      <c r="BH104" s="59">
        <f t="shared" si="62"/>
        <v>1023.2024839606354</v>
      </c>
      <c r="BI104" s="59">
        <f ca="1">AVERAGE(OFFSET($BH$3,0,0,'Données projet'!$E$11+1,1))-AVERAGE(OFFSET($H$3,0,0,'Données projet'!$E$11+1,1))</f>
        <v>573.17174498173017</v>
      </c>
      <c r="BJ104" s="59">
        <f t="shared" si="92"/>
        <v>260.48854096157231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24.563427818890382</v>
      </c>
      <c r="BQ104" s="21">
        <f>EXP(-LN(2)/25)*BQ103+(1-EXP(-LN(2)/25))/(LN(2)/25)*Calculateur!BL104*Calculateur!BN104*VLOOKUP('Données projet'!$B$11,Paramètres!$A$1:$I$89,3,0)*0.475*44/12</f>
        <v>23.214519526967194</v>
      </c>
      <c r="BR104" s="21">
        <f>EXP(-LN(2)/2)*BR103+(1-EXP(-LN(2)/2))/(LN(2)/2)*BL104*BO104*VLOOKUP('Données projet'!$B$11,Paramètres!$A$1:$I$89,3,0)*0.475*44/12</f>
        <v>0.52433739690757963</v>
      </c>
      <c r="BS104" s="22">
        <f t="shared" si="63"/>
        <v>48.302284742765153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8.9420000000000019</v>
      </c>
      <c r="BY104" s="12">
        <f>IF('Données projet'!$A$114&gt;35,BY103+BX104-CG103,IF(A104&lt;'Données projet'!$A$114,$BV$205^A104,IF(A104='Données projet'!$A$114,'Données projet'!$B$114,BY103+BX104-CG103)))</f>
        <v>375.37400000000054</v>
      </c>
      <c r="BZ104" s="13">
        <f>BY104*VLOOKUP('Données projet'!$B$12,Paramètres!$A$1:$I$89,3,0)*VLOOKUP('Données projet'!$B$12,Paramètres!$A$1:$I$89,5,0)</f>
        <v>357.20589840000048</v>
      </c>
      <c r="CA104" s="13">
        <f t="shared" si="93"/>
        <v>83.044516121944824</v>
      </c>
      <c r="CB104" s="20">
        <f t="shared" si="64"/>
        <v>766.76947195905461</v>
      </c>
      <c r="CC104" s="59">
        <f t="shared" si="65"/>
        <v>1060.102805292388</v>
      </c>
      <c r="CD104" s="59">
        <f ca="1">AVERAGE(OFFSET($CC$3,0,0,'Données projet'!$E$12+1,1))-AVERAGE(OFFSET($H$3,0,0,'Données projet'!$E$12+1,1))</f>
        <v>603.61135046904178</v>
      </c>
      <c r="CE104" s="59">
        <f t="shared" si="94"/>
        <v>272.84936867513068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25.833949947453675</v>
      </c>
      <c r="CL104" s="21">
        <f>EXP(-LN(2)/25)*CL103+(1-EXP(-LN(2)/25))/(LN(2)/25)*Calculateur!CG104*Calculateur!CI104*VLOOKUP('Données projet'!$B$12,Paramètres!$A$1:$I$89,3,0)*0.475*44/12</f>
        <v>24.415270536982739</v>
      </c>
      <c r="CM104" s="21">
        <f>EXP(-LN(2)/2)*CM103+(1-EXP(-LN(2)/2))/(LN(2)/2)*CG104*CJ104*VLOOKUP('Données projet'!$B$12,Paramètres!$A$1:$I$89,3,0)*0.475*44/12</f>
        <v>0.55145829674762714</v>
      </c>
      <c r="CN104" s="22">
        <f t="shared" si="66"/>
        <v>50.80067878118404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30.630600000000001</v>
      </c>
      <c r="D105" s="11">
        <f t="shared" si="86"/>
        <v>9.4780515876101319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170.28585410880092</v>
      </c>
      <c r="H105" s="67">
        <f t="shared" si="56"/>
        <v>326.52256818175431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8.5265128291212022E-14</v>
      </c>
      <c r="O105" s="13">
        <f>N105*VLOOKUP('Données projet'!$B$9,Paramètres!$A$1:$I$89,3,0)*VLOOKUP('Données projet'!$B$9,Paramètres!$A$1:$I$89,5,0)</f>
        <v>8.9119112089974823E-14</v>
      </c>
      <c r="P105" s="13">
        <f t="shared" si="87"/>
        <v>1.3568952080113142E-12</v>
      </c>
      <c r="Q105" s="20">
        <f t="shared" si="107"/>
        <v>2.5184749408430782E-12</v>
      </c>
      <c r="R105" s="59">
        <f t="shared" si="55"/>
        <v>293.33333333333582</v>
      </c>
      <c r="S105" s="59">
        <f ca="1">AVERAGE(OFFSET($R$3,0,0,'Données projet'!$E$9+1,1))-AVERAGE(OFFSET($H$3,0,0,'Données projet'!$E$9+1,1))</f>
        <v>225.9892575177542</v>
      </c>
      <c r="T105" s="59">
        <f t="shared" si="88"/>
        <v>215.88467215650428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17.108058630199316</v>
      </c>
      <c r="AA105" s="21">
        <f>EXP(-LN(2)/25)*AA104+(1-EXP(-LN(2)/25))/(LN(2)/25)*Calculateur!V105*Calculateur!X105*VLOOKUP('Données projet'!$B$9,Paramètres!$A$1:$I$89,3,0)*0.475*44/12</f>
        <v>42.995228619174192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60.103287249373508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8.9420000000000019</v>
      </c>
      <c r="AI105" s="13">
        <f>IF('Données projet'!$A$62&gt;35,AI104+AH105-AQ104,IF(A105&lt;'Données projet'!$A$62,$AF$205^A105,IF(A105='Données projet'!$A$62,'Données projet'!$B$62,AI104+AH105-AQ104)))</f>
        <v>384.31600000000054</v>
      </c>
      <c r="AJ105" s="13">
        <f>AI105*VLOOKUP('Données projet'!$B$10,Paramètres!$A$1:$I$89,3,0)*VLOOKUP('Données projet'!$B$10,Paramètres!$A$1:$I$89,5,0)</f>
        <v>389.6964240000006</v>
      </c>
      <c r="AK105" s="13">
        <f t="shared" si="89"/>
        <v>89.684611271990661</v>
      </c>
      <c r="AL105" s="20">
        <f t="shared" si="58"/>
        <v>834.9219697653848</v>
      </c>
      <c r="AM105" s="59">
        <f t="shared" si="59"/>
        <v>1128.2553030987181</v>
      </c>
      <c r="AN105" s="59">
        <f ca="1">AVERAGE(OFFSET($AM$3,0,0,'Données projet'!$E$10+1,1))-AVERAGE(OFFSET($H$3,0,0,'Données projet'!$E$10+1,1))</f>
        <v>644.15138437063933</v>
      </c>
      <c r="AO105" s="59">
        <f t="shared" si="90"/>
        <v>289.3097279858207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26.988172565556553</v>
      </c>
      <c r="AV105" s="21">
        <f>EXP(-LN(2)/25)*AV104+(1-EXP(-LN(2)/25))/(LN(2)/25)*Calculateur!AQ105*Calculateur!AS105*VLOOKUP('Données projet'!$B$10,Paramètres!$A$1:$I$89,3,0)*0.475*44/12</f>
        <v>25.304855560874895</v>
      </c>
      <c r="AW105" s="21">
        <f>EXP(-LN(2)/2)*AW104+(1-EXP(-LN(2)/2))/(LN(2)/2)*AQ105*AT105*VLOOKUP('Données projet'!$B$10,Paramètres!$A$1:$I$89,3,0)*0.475*44/12</f>
        <v>0.4155097307568687</v>
      </c>
      <c r="AX105" s="21">
        <f t="shared" si="60"/>
        <v>52.708537857188318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8.9420000000000019</v>
      </c>
      <c r="BD105" s="12">
        <f>IF('Données projet'!$A$88&gt;35,BD104+BC105-BL104,IF(A105&lt;'Données projet'!$A$88,$BA$205^A105,IF(A105='Données projet'!$A$88,'Données projet'!$B$88,BD104+BC105-BL104)))</f>
        <v>384.31600000000054</v>
      </c>
      <c r="BE105" s="13">
        <f>BD105*VLOOKUP('Données projet'!$B$11,Paramètres!$A$1:$I$89,3,0)*VLOOKUP('Données projet'!$B$11,Paramètres!$A$1:$I$89,5,0)</f>
        <v>347.7291168000005</v>
      </c>
      <c r="BF105" s="13">
        <f t="shared" si="91"/>
        <v>81.094735802697301</v>
      </c>
      <c r="BG105" s="20">
        <f t="shared" si="61"/>
        <v>746.86820994969855</v>
      </c>
      <c r="BH105" s="59">
        <f t="shared" si="62"/>
        <v>1040.2015432830319</v>
      </c>
      <c r="BI105" s="59">
        <f ca="1">AVERAGE(OFFSET($BH$3,0,0,'Données projet'!$E$11+1,1))-AVERAGE(OFFSET($H$3,0,0,'Données projet'!$E$11+1,1))</f>
        <v>573.17174498173017</v>
      </c>
      <c r="BJ105" s="59">
        <f t="shared" si="92"/>
        <v>260.48854096157231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24.081753981573542</v>
      </c>
      <c r="BQ105" s="21">
        <f>EXP(-LN(2)/25)*BQ104+(1-EXP(-LN(2)/25))/(LN(2)/25)*Calculateur!BL105*Calculateur!BN105*VLOOKUP('Données projet'!$B$11,Paramètres!$A$1:$I$89,3,0)*0.475*44/12</f>
        <v>22.579717269703753</v>
      </c>
      <c r="BR105" s="21">
        <f>EXP(-LN(2)/2)*BR104+(1-EXP(-LN(2)/2))/(LN(2)/2)*BL105*BO105*VLOOKUP('Données projet'!$B$11,Paramètres!$A$1:$I$89,3,0)*0.475*44/12</f>
        <v>0.37076252898305184</v>
      </c>
      <c r="BS105" s="22">
        <f t="shared" si="63"/>
        <v>47.032233780260341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8.9420000000000019</v>
      </c>
      <c r="BY105" s="12">
        <f>IF('Données projet'!$A$114&gt;35,BY104+BX105-CG104,IF(A105&lt;'Données projet'!$A$114,$BV$205^A105,IF(A105='Données projet'!$A$114,'Données projet'!$B$114,BY104+BX105-CG104)))</f>
        <v>384.31600000000054</v>
      </c>
      <c r="BZ105" s="13">
        <f>BY105*VLOOKUP('Données projet'!$B$12,Paramètres!$A$1:$I$89,3,0)*VLOOKUP('Données projet'!$B$12,Paramètres!$A$1:$I$89,5,0)</f>
        <v>365.71510560000053</v>
      </c>
      <c r="CA105" s="13">
        <f t="shared" si="93"/>
        <v>84.790096661420279</v>
      </c>
      <c r="CB105" s="20">
        <f t="shared" si="64"/>
        <v>784.62989393864109</v>
      </c>
      <c r="CC105" s="59">
        <f t="shared" si="65"/>
        <v>1077.9632272719743</v>
      </c>
      <c r="CD105" s="59">
        <f ca="1">AVERAGE(OFFSET($CC$3,0,0,'Données projet'!$E$12+1,1))-AVERAGE(OFFSET($H$3,0,0,'Données projet'!$E$12+1,1))</f>
        <v>603.61135046904178</v>
      </c>
      <c r="CE105" s="59">
        <f t="shared" si="94"/>
        <v>272.84936867513068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25.327361946137685</v>
      </c>
      <c r="CL105" s="21">
        <f>EXP(-LN(2)/25)*CL104+(1-EXP(-LN(2)/25))/(LN(2)/25)*Calculateur!CG105*Calculateur!CI105*VLOOKUP('Données projet'!$B$12,Paramètres!$A$1:$I$89,3,0)*0.475*44/12</f>
        <v>23.74763368020567</v>
      </c>
      <c r="CM105" s="21">
        <f>EXP(-LN(2)/2)*CM104+(1-EXP(-LN(2)/2))/(LN(2)/2)*CG105*CJ105*VLOOKUP('Données projet'!$B$12,Paramètres!$A$1:$I$89,3,0)*0.475*44/12</f>
        <v>0.38993990117183058</v>
      </c>
      <c r="CN105" s="22">
        <f t="shared" si="66"/>
        <v>49.464935527515181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30.930900000000001</v>
      </c>
      <c r="D106" s="11">
        <f t="shared" si="86"/>
        <v>9.5601108538933648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171.90920397617887</v>
      </c>
      <c r="H106" s="67">
        <f t="shared" si="56"/>
        <v>327.18851057053098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8.5265128291212022E-14</v>
      </c>
      <c r="O106" s="13">
        <f>N106*VLOOKUP('Données projet'!$B$9,Paramètres!$A$1:$I$89,3,0)*VLOOKUP('Données projet'!$B$9,Paramètres!$A$1:$I$89,5,0)</f>
        <v>8.9119112089974823E-14</v>
      </c>
      <c r="P106" s="13">
        <f t="shared" si="87"/>
        <v>1.3568952080113142E-12</v>
      </c>
      <c r="Q106" s="20">
        <f t="shared" si="107"/>
        <v>2.5184749408430782E-12</v>
      </c>
      <c r="R106" s="59">
        <f t="shared" si="55"/>
        <v>293.33333333333582</v>
      </c>
      <c r="S106" s="59">
        <f ca="1">AVERAGE(OFFSET($R$3,0,0,'Données projet'!$E$9+1,1))-AVERAGE(OFFSET($H$3,0,0,'Données projet'!$E$9+1,1))</f>
        <v>225.9892575177542</v>
      </c>
      <c r="T106" s="59">
        <f t="shared" si="88"/>
        <v>215.88467215650428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16.772580035346515</v>
      </c>
      <c r="AA106" s="21">
        <f>EXP(-LN(2)/25)*AA105+(1-EXP(-LN(2)/25))/(LN(2)/25)*Calculateur!V106*Calculateur!X106*VLOOKUP('Données projet'!$B$9,Paramètres!$A$1:$I$89,3,0)*0.475*44/12</f>
        <v>41.819521831562071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58.592101866908585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8.9420000000000019</v>
      </c>
      <c r="AI106" s="13">
        <f>IF('Données projet'!$A$62&gt;35,AI105+AH106-AQ105,IF(A106&lt;'Données projet'!$A$62,$AF$205^A106,IF(A106='Données projet'!$A$62,'Données projet'!$B$62,AI105+AH106-AQ105)))</f>
        <v>393.25800000000055</v>
      </c>
      <c r="AJ106" s="13">
        <f>AI106*VLOOKUP('Données projet'!$B$10,Paramètres!$A$1:$I$89,3,0)*VLOOKUP('Données projet'!$B$10,Paramètres!$A$1:$I$89,5,0)</f>
        <v>398.76361200000059</v>
      </c>
      <c r="AK106" s="13">
        <f t="shared" si="89"/>
        <v>91.525961384445637</v>
      </c>
      <c r="AL106" s="20">
        <f t="shared" si="58"/>
        <v>853.92100697791045</v>
      </c>
      <c r="AM106" s="59">
        <f t="shared" si="59"/>
        <v>1147.2543403112438</v>
      </c>
      <c r="AN106" s="59">
        <f ca="1">AVERAGE(OFFSET($AM$3,0,0,'Données projet'!$E$10+1,1))-AVERAGE(OFFSET($H$3,0,0,'Données projet'!$E$10+1,1))</f>
        <v>644.15138437063933</v>
      </c>
      <c r="AO106" s="59">
        <f t="shared" si="90"/>
        <v>289.3097279858207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26.458950962705849</v>
      </c>
      <c r="AV106" s="21">
        <f>EXP(-LN(2)/25)*AV105+(1-EXP(-LN(2)/25))/(LN(2)/25)*Calculateur!AQ106*Calculateur!AS106*VLOOKUP('Données projet'!$B$10,Paramètres!$A$1:$I$89,3,0)*0.475*44/12</f>
        <v>24.612892954838252</v>
      </c>
      <c r="AW106" s="21">
        <f>EXP(-LN(2)/2)*AW105+(1-EXP(-LN(2)/2))/(LN(2)/2)*AQ106*AT106*VLOOKUP('Données projet'!$B$10,Paramètres!$A$1:$I$89,3,0)*0.475*44/12</f>
        <v>0.29380974826717843</v>
      </c>
      <c r="AX106" s="21">
        <f t="shared" si="60"/>
        <v>51.36565366581128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8.9420000000000019</v>
      </c>
      <c r="BD106" s="12">
        <f>IF('Données projet'!$A$88&gt;35,BD105+BC106-BL105,IF(A106&lt;'Données projet'!$A$88,$BA$205^A106,IF(A106='Données projet'!$A$88,'Données projet'!$B$88,BD105+BC106-BL105)))</f>
        <v>393.25800000000055</v>
      </c>
      <c r="BE106" s="13">
        <f>BD106*VLOOKUP('Données projet'!$B$11,Paramètres!$A$1:$I$89,3,0)*VLOOKUP('Données projet'!$B$11,Paramètres!$A$1:$I$89,5,0)</f>
        <v>355.81983840000049</v>
      </c>
      <c r="BF106" s="13">
        <f t="shared" si="91"/>
        <v>82.759723795307863</v>
      </c>
      <c r="BG106" s="20">
        <f t="shared" si="61"/>
        <v>763.85940415682887</v>
      </c>
      <c r="BH106" s="59">
        <f t="shared" si="62"/>
        <v>1057.1927374901622</v>
      </c>
      <c r="BI106" s="59">
        <f ca="1">AVERAGE(OFFSET($BH$3,0,0,'Données projet'!$E$11+1,1))-AVERAGE(OFFSET($H$3,0,0,'Données projet'!$E$11+1,1))</f>
        <v>573.17174498173017</v>
      </c>
      <c r="BJ106" s="59">
        <f t="shared" si="92"/>
        <v>260.48854096157231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23.60952547441445</v>
      </c>
      <c r="BQ106" s="21">
        <f>EXP(-LN(2)/25)*BQ105+(1-EXP(-LN(2)/25))/(LN(2)/25)*Calculateur!BL106*Calculateur!BN106*VLOOKUP('Données projet'!$B$11,Paramètres!$A$1:$I$89,3,0)*0.475*44/12</f>
        <v>21.96227371354798</v>
      </c>
      <c r="BR106" s="21">
        <f>EXP(-LN(2)/2)*BR105+(1-EXP(-LN(2)/2))/(LN(2)/2)*BL106*BO106*VLOOKUP('Données projet'!$B$11,Paramètres!$A$1:$I$89,3,0)*0.475*44/12</f>
        <v>0.26216869845378982</v>
      </c>
      <c r="BS106" s="22">
        <f t="shared" si="63"/>
        <v>45.833967886416218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8.9420000000000019</v>
      </c>
      <c r="BY106" s="12">
        <f>IF('Données projet'!$A$114&gt;35,BY105+BX106-CG105,IF(A106&lt;'Données projet'!$A$114,$BV$205^A106,IF(A106='Données projet'!$A$114,'Données projet'!$B$114,BY105+BX106-CG105)))</f>
        <v>393.25800000000055</v>
      </c>
      <c r="BZ106" s="13">
        <f>BY106*VLOOKUP('Données projet'!$B$12,Paramètres!$A$1:$I$89,3,0)*VLOOKUP('Données projet'!$B$12,Paramètres!$A$1:$I$89,5,0)</f>
        <v>374.22431280000052</v>
      </c>
      <c r="CA106" s="13">
        <f t="shared" si="93"/>
        <v>86.530955564728501</v>
      </c>
      <c r="CB106" s="20">
        <f t="shared" si="64"/>
        <v>802.48209240190306</v>
      </c>
      <c r="CC106" s="59">
        <f t="shared" si="65"/>
        <v>1095.8154257352364</v>
      </c>
      <c r="CD106" s="59">
        <f ca="1">AVERAGE(OFFSET($CC$3,0,0,'Données projet'!$E$12+1,1))-AVERAGE(OFFSET($H$3,0,0,'Données projet'!$E$12+1,1))</f>
        <v>603.61135046904178</v>
      </c>
      <c r="CE106" s="59">
        <f t="shared" si="94"/>
        <v>272.84936867513068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24.830707826539332</v>
      </c>
      <c r="CL106" s="21">
        <f>EXP(-LN(2)/25)*CL105+(1-EXP(-LN(2)/25))/(LN(2)/25)*Calculateur!CG106*Calculateur!CI106*VLOOKUP('Données projet'!$B$12,Paramètres!$A$1:$I$89,3,0)*0.475*44/12</f>
        <v>23.098253388386667</v>
      </c>
      <c r="CM106" s="21">
        <f>EXP(-LN(2)/2)*CM105+(1-EXP(-LN(2)/2))/(LN(2)/2)*CG106*CJ106*VLOOKUP('Données projet'!$B$12,Paramètres!$A$1:$I$89,3,0)*0.475*44/12</f>
        <v>0.27572914837381357</v>
      </c>
      <c r="CN106" s="22">
        <f t="shared" si="66"/>
        <v>48.204690363299811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31.231200000000001</v>
      </c>
      <c r="D107" s="11">
        <f t="shared" si="86"/>
        <v>9.6420774360788197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173.53216034265043</v>
      </c>
      <c r="H107" s="67">
        <f t="shared" si="56"/>
        <v>327.85429153450394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8.5265128291212022E-14</v>
      </c>
      <c r="O107" s="13">
        <f>N107*VLOOKUP('Données projet'!$B$9,Paramètres!$A$1:$I$89,3,0)*VLOOKUP('Données projet'!$B$9,Paramètres!$A$1:$I$89,5,0)</f>
        <v>8.9119112089974823E-14</v>
      </c>
      <c r="P107" s="13">
        <f t="shared" si="87"/>
        <v>1.3568952080113142E-12</v>
      </c>
      <c r="Q107" s="20">
        <f t="shared" si="107"/>
        <v>2.5184749408430782E-12</v>
      </c>
      <c r="R107" s="59">
        <f t="shared" si="55"/>
        <v>293.33333333333582</v>
      </c>
      <c r="S107" s="59">
        <f ca="1">AVERAGE(OFFSET($R$3,0,0,'Données projet'!$E$9+1,1))-AVERAGE(OFFSET($H$3,0,0,'Données projet'!$E$9+1,1))</f>
        <v>225.9892575177542</v>
      </c>
      <c r="T107" s="59">
        <f t="shared" si="88"/>
        <v>215.88467215650428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16.443679971117035</v>
      </c>
      <c r="AA107" s="21">
        <f>EXP(-LN(2)/25)*AA106+(1-EXP(-LN(2)/25))/(LN(2)/25)*Calculateur!V107*Calculateur!X107*VLOOKUP('Données projet'!$B$9,Paramètres!$A$1:$I$89,3,0)*0.475*44/12</f>
        <v>40.675964807884931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57.119644779001966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8.9420000000000019</v>
      </c>
      <c r="AH107" s="12">
        <f t="array" ref="AH107">INDEX(AG:AG,MIN(IF(ISNUMBER(AG107:AG303),ROW(AG107:AG303),"")))</f>
        <v>8.9420000000000019</v>
      </c>
      <c r="AI107" s="13">
        <f>IF('Données projet'!$A$62&gt;35,AI106+AH107-AQ106,IF(A107&lt;'Données projet'!$A$62,$AF$205^A107,IF(A107='Données projet'!$A$62,'Données projet'!$B$62,AI106+AH107-AQ106)))</f>
        <v>402.20000000000056</v>
      </c>
      <c r="AJ107" s="13">
        <f>AI107*VLOOKUP('Données projet'!$B$10,Paramètres!$A$1:$I$89,3,0)*VLOOKUP('Données projet'!$B$10,Paramètres!$A$1:$I$89,5,0)</f>
        <v>407.83080000000058</v>
      </c>
      <c r="AK107" s="13">
        <f t="shared" si="89"/>
        <v>93.362443935880506</v>
      </c>
      <c r="AL107" s="20">
        <f t="shared" si="58"/>
        <v>872.91156652165955</v>
      </c>
      <c r="AM107" s="59">
        <f t="shared" si="59"/>
        <v>1166.2448998549928</v>
      </c>
      <c r="AN107" s="59">
        <f ca="1">AVERAGE(OFFSET($AM$3,0,0,'Données projet'!$E$10+1,1))-AVERAGE(OFFSET($H$3,0,0,'Données projet'!$E$10+1,1))</f>
        <v>644.15138437063933</v>
      </c>
      <c r="AO107" s="59">
        <f t="shared" si="90"/>
        <v>289.3097279858207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66.089999999999975</v>
      </c>
      <c r="AR107" s="16">
        <f>IF(ISNA(VLOOKUP(A107,'Données projet'!$A$61:$I$81,5,0)),0%,VLOOKUP(A107,'Données projet'!$A$61:$I$81,5,0)*VLOOKUP('Données projet'!$B$10,Paramètres!$A$1:$I$89,7,0))</f>
        <v>0.15049999999999999</v>
      </c>
      <c r="AS107" s="16">
        <f>IF(ISNA(VLOOKUP(A107,'Données projet'!$A$61:$I$81,6,0)),0%,VLOOKUP(A107,'Données projet'!$A$61:$I$81,6,0)*VLOOKUP('Données projet'!$B$10,Paramètres!$A$1:$I$89,7,0))</f>
        <v>8.6000000000000007E-2</v>
      </c>
      <c r="AT107" s="16">
        <f>IF(ISNA(VLOOKUP(A107,'Données projet'!$A$61:$I$81,7,0)),0%,VLOOKUP(A107,'Données projet'!$A$61:$I$81,7,0))</f>
        <v>0.1</v>
      </c>
      <c r="AU107" s="21">
        <f>EXP(-LN(2)/35)*AU106+(1-EXP(-LN(2)/35))/(LN(2)/35)*AQ107*AR107*VLOOKUP('Données projet'!$B$10,Paramètres!$A$1:$I$89,3,0)*0.475*44/12</f>
        <v>37.089656501151985</v>
      </c>
      <c r="AV107" s="21">
        <f>EXP(-LN(2)/25)*AV106+(1-EXP(-LN(2)/25))/(LN(2)/25)*Calculateur!AQ107*Calculateur!AS107*VLOOKUP('Données projet'!$B$10,Paramètres!$A$1:$I$89,3,0)*0.475*44/12</f>
        <v>30.285937476393563</v>
      </c>
      <c r="AW107" s="21">
        <f>EXP(-LN(2)/2)*AW106+(1-EXP(-LN(2)/2))/(LN(2)/2)*AQ107*AT107*VLOOKUP('Données projet'!$B$10,Paramètres!$A$1:$I$89,3,0)*0.475*44/12</f>
        <v>6.5308250153062213</v>
      </c>
      <c r="AX107" s="21">
        <f t="shared" si="60"/>
        <v>73.906418992851769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402.2</v>
      </c>
      <c r="BB107" s="12">
        <f>VLOOKUP(A107,'Données projet'!$A$87:$I$107,9,0)</f>
        <v>8.9420000000000019</v>
      </c>
      <c r="BC107" s="12">
        <f t="array" ref="BC107">INDEX(BB:BB,MIN(IF(ISNUMBER(BB107:BB303),ROW(BB107:BB303),"")))</f>
        <v>8.9420000000000019</v>
      </c>
      <c r="BD107" s="12">
        <f>IF('Données projet'!$A$88&gt;35,BD106+BC107-BL106,IF(A107&lt;'Données projet'!$A$88,$BA$205^A107,IF(A107='Données projet'!$A$88,'Données projet'!$B$88,BD106+BC107-BL106)))</f>
        <v>402.20000000000056</v>
      </c>
      <c r="BE107" s="13">
        <f>BD107*VLOOKUP('Données projet'!$B$11,Paramètres!$A$1:$I$89,3,0)*VLOOKUP('Données projet'!$B$11,Paramètres!$A$1:$I$89,5,0)</f>
        <v>363.91056000000049</v>
      </c>
      <c r="BF107" s="13">
        <f t="shared" si="91"/>
        <v>84.42031043556446</v>
      </c>
      <c r="BG107" s="20">
        <f t="shared" si="61"/>
        <v>780.84293267527562</v>
      </c>
      <c r="BH107" s="59">
        <f t="shared" si="62"/>
        <v>1074.176266008609</v>
      </c>
      <c r="BI107" s="59">
        <f ca="1">AVERAGE(OFFSET($BH$3,0,0,'Données projet'!$E$11+1,1))-AVERAGE(OFFSET($H$3,0,0,'Données projet'!$E$11+1,1))</f>
        <v>573.17174498173017</v>
      </c>
      <c r="BJ107" s="59">
        <f t="shared" si="92"/>
        <v>260.48854096157231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66.089999999999975</v>
      </c>
      <c r="BM107" s="16">
        <f>IF(ISNA(VLOOKUP(A107,'Données projet'!$A$87:$I$107,5,0)),0%,VLOOKUP(A107,'Données projet'!$A$87:$I$107,5,0)*VLOOKUP('Données projet'!$B$11,Paramètres!$A$1:$I$89,7,0))</f>
        <v>0.15049999999999999</v>
      </c>
      <c r="BN107" s="16">
        <f>IF(ISNA(VLOOKUP(A107,'Données projet'!$A$87:$I$107,6,0)),0%,VLOOKUP(A107,'Données projet'!$A$87:$I$107,6,0)*VLOOKUP('Données projet'!$B$11,Paramètres!$A$1:$I$89,7,0))</f>
        <v>8.6000000000000007E-2</v>
      </c>
      <c r="BO107" s="16">
        <f>IF(ISNA(VLOOKUP(A107,'Données projet'!$A$87:$I$107,7,0)),0%,VLOOKUP(A107,'Données projet'!$A$87:$I$107,7,0))</f>
        <v>0.1</v>
      </c>
      <c r="BP107" s="21">
        <f>EXP(-LN(2)/35)*BP106+(1-EXP(-LN(2)/35))/(LN(2)/35)*BL107*BM107*VLOOKUP('Données projet'!$B$11,Paramètres!$A$1:$I$89,3,0)*0.475*44/12</f>
        <v>33.09538580102793</v>
      </c>
      <c r="BQ107" s="21">
        <f>EXP(-LN(2)/25)*BQ106+(1-EXP(-LN(2)/25))/(LN(2)/25)*Calculateur!BL107*Calculateur!BN107*VLOOKUP('Données projet'!$B$11,Paramètres!$A$1:$I$89,3,0)*0.475*44/12</f>
        <v>27.024374978935796</v>
      </c>
      <c r="BR107" s="21">
        <f>EXP(-LN(2)/2)*BR106+(1-EXP(-LN(2)/2))/(LN(2)/2)*BL107*BO107*VLOOKUP('Données projet'!$B$11,Paramètres!$A$1:$I$89,3,0)*0.475*44/12</f>
        <v>5.8275053982732432</v>
      </c>
      <c r="BS107" s="22">
        <f t="shared" si="63"/>
        <v>65.947266178236973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402.2</v>
      </c>
      <c r="BW107" s="12">
        <f>VLOOKUP(A107,'Données projet'!$A$113:$I$133,9,0)</f>
        <v>8.9420000000000019</v>
      </c>
      <c r="BX107" s="12">
        <f t="array" ref="BX107">INDEX(BW:BW,MIN(IF(ISNUMBER(BW107:BW303),ROW(BW107:BW303),"")))</f>
        <v>8.9420000000000019</v>
      </c>
      <c r="BY107" s="12">
        <f>IF('Données projet'!$A$114&gt;35,BY106+BX107-CG106,IF(A107&lt;'Données projet'!$A$114,$BV$205^A107,IF(A107='Données projet'!$A$114,'Données projet'!$B$114,BY106+BX107-CG106)))</f>
        <v>402.20000000000056</v>
      </c>
      <c r="BZ107" s="13">
        <f>BY107*VLOOKUP('Données projet'!$B$12,Paramètres!$A$1:$I$89,3,0)*VLOOKUP('Données projet'!$B$12,Paramètres!$A$1:$I$89,5,0)</f>
        <v>382.73352000000051</v>
      </c>
      <c r="CA107" s="13">
        <f t="shared" si="93"/>
        <v>88.267212552908205</v>
      </c>
      <c r="CB107" s="20">
        <f t="shared" si="64"/>
        <v>820.3262758629827</v>
      </c>
      <c r="CC107" s="59">
        <f t="shared" si="65"/>
        <v>1113.6596091963161</v>
      </c>
      <c r="CD107" s="59">
        <f ca="1">AVERAGE(OFFSET($CC$3,0,0,'Données projet'!$E$12+1,1))-AVERAGE(OFFSET($H$3,0,0,'Données projet'!$E$12+1,1))</f>
        <v>603.61135046904178</v>
      </c>
      <c r="CE107" s="59">
        <f t="shared" si="94"/>
        <v>272.84936867513068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66.089999999999975</v>
      </c>
      <c r="CH107" s="16">
        <f>IF(ISNA(VLOOKUP(A107,'Données projet'!$A$113:$I$133,5,0)),0%,VLOOKUP(A107,'Données projet'!$A$113:$I$133,5,0)*VLOOKUP('Données projet'!$B$12,Paramètres!$A$1:$I$89,7,0))</f>
        <v>0.15049999999999999</v>
      </c>
      <c r="CI107" s="16">
        <f>IF(ISNA(VLOOKUP(A107,'Données projet'!$A$113:$I$133,6,0)),0%,VLOOKUP(A107,'Données projet'!$A$113:$I$133,6,0)*VLOOKUP('Données projet'!$B$12,Paramètres!$A$1:$I$89,7,0))</f>
        <v>8.6000000000000007E-2</v>
      </c>
      <c r="CJ107" s="16">
        <f>IF(ISNA(VLOOKUP(A107,'Données projet'!$A$113:$I$133,7,0)),0%,VLOOKUP(A107,'Données projet'!$A$113:$I$133,7,0))</f>
        <v>0.1</v>
      </c>
      <c r="CK107" s="21">
        <f>EXP(-LN(2)/35)*CK106+(1-EXP(-LN(2)/35))/(LN(2)/35)*CG107*CH107*VLOOKUP('Données projet'!$B$12,Paramètres!$A$1:$I$89,3,0)*0.475*44/12</f>
        <v>34.807216101081096</v>
      </c>
      <c r="CL107" s="21">
        <f>EXP(-LN(2)/25)*CL106+(1-EXP(-LN(2)/25))/(LN(2)/25)*Calculateur!CG107*Calculateur!CI107*VLOOKUP('Données projet'!$B$12,Paramètres!$A$1:$I$89,3,0)*0.475*44/12</f>
        <v>28.422187477846265</v>
      </c>
      <c r="CM107" s="21">
        <f>EXP(-LN(2)/2)*CM106+(1-EXP(-LN(2)/2))/(LN(2)/2)*CG107*CJ107*VLOOKUP('Données projet'!$B$12,Paramètres!$A$1:$I$89,3,0)*0.475*44/12</f>
        <v>6.128928091287376</v>
      </c>
      <c r="CN107" s="22">
        <f t="shared" si="66"/>
        <v>69.358331670214739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31.531500000000001</v>
      </c>
      <c r="D108" s="11">
        <f t="shared" si="86"/>
        <v>9.7239523285688421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175.15472743006421</v>
      </c>
      <c r="H108" s="67">
        <f t="shared" si="56"/>
        <v>328.51991280559076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8.5265128291212022E-14</v>
      </c>
      <c r="O108" s="13">
        <f>N108*VLOOKUP('Données projet'!$B$9,Paramètres!$A$1:$I$89,3,0)*VLOOKUP('Données projet'!$B$9,Paramètres!$A$1:$I$89,5,0)</f>
        <v>8.9119112089974823E-14</v>
      </c>
      <c r="P108" s="13">
        <f t="shared" si="87"/>
        <v>1.3568952080113142E-12</v>
      </c>
      <c r="Q108" s="20">
        <f t="shared" si="107"/>
        <v>2.5184749408430782E-12</v>
      </c>
      <c r="R108" s="59">
        <f t="shared" si="55"/>
        <v>293.33333333333582</v>
      </c>
      <c r="S108" s="59">
        <f ca="1">AVERAGE(OFFSET($R$3,0,0,'Données projet'!$E$9+1,1))-AVERAGE(OFFSET($H$3,0,0,'Données projet'!$E$9+1,1))</f>
        <v>225.9892575177542</v>
      </c>
      <c r="T108" s="59">
        <f t="shared" si="88"/>
        <v>215.88467215650428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16.121229436537867</v>
      </c>
      <c r="AA108" s="21">
        <f>EXP(-LN(2)/25)*AA107+(1-EXP(-LN(2)/25))/(LN(2)/25)*Calculateur!V108*Calculateur!X108*VLOOKUP('Données projet'!$B$9,Paramètres!$A$1:$I$89,3,0)*0.475*44/12</f>
        <v>39.563678411157298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55.684907847695165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8.8449999999999989</v>
      </c>
      <c r="AI108" s="13">
        <f>IF('Données projet'!$A$62&gt;35,AI107+AH108-AQ107,IF(A108&lt;'Données projet'!$A$62,$AF$205^A108,IF(A108='Données projet'!$A$62,'Données projet'!$B$62,AI107+AH108-AQ107)))</f>
        <v>344.95500000000055</v>
      </c>
      <c r="AJ108" s="13">
        <f>AI108*VLOOKUP('Données projet'!$B$10,Paramètres!$A$1:$I$89,3,0)*VLOOKUP('Données projet'!$B$10,Paramètres!$A$1:$I$89,5,0)</f>
        <v>349.78437000000059</v>
      </c>
      <c r="AK108" s="13">
        <f t="shared" si="89"/>
        <v>81.518109189230415</v>
      </c>
      <c r="AL108" s="20">
        <f t="shared" si="58"/>
        <v>751.18515125457725</v>
      </c>
      <c r="AM108" s="59">
        <f t="shared" si="59"/>
        <v>1044.5184845879105</v>
      </c>
      <c r="AN108" s="59">
        <f ca="1">AVERAGE(OFFSET($AM$3,0,0,'Données projet'!$E$10+1,1))-AVERAGE(OFFSET($H$3,0,0,'Données projet'!$E$10+1,1))</f>
        <v>644.15138437063933</v>
      </c>
      <c r="AO108" s="59">
        <f t="shared" si="90"/>
        <v>289.3097279858207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36.362350959621075</v>
      </c>
      <c r="AV108" s="21">
        <f>EXP(-LN(2)/25)*AV107+(1-EXP(-LN(2)/25))/(LN(2)/25)*Calculateur!AQ108*Calculateur!AS108*VLOOKUP('Données projet'!$B$10,Paramètres!$A$1:$I$89,3,0)*0.475*44/12</f>
        <v>29.457766923433351</v>
      </c>
      <c r="AW108" s="21">
        <f>EXP(-LN(2)/2)*AW107+(1-EXP(-LN(2)/2))/(LN(2)/2)*AQ108*AT108*VLOOKUP('Données projet'!$B$10,Paramètres!$A$1:$I$89,3,0)*0.475*44/12</f>
        <v>4.6179906550657677</v>
      </c>
      <c r="AX108" s="21">
        <f t="shared" si="60"/>
        <v>70.43810853812019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8.8449999999999989</v>
      </c>
      <c r="BD108" s="12">
        <f>IF('Données projet'!$A$88&gt;35,BD107+BC108-BL107,IF(A108&lt;'Données projet'!$A$88,$BA$205^A108,IF(A108='Données projet'!$A$88,'Données projet'!$B$88,BD107+BC108-BL107)))</f>
        <v>344.95500000000055</v>
      </c>
      <c r="BE108" s="13">
        <f>BD108*VLOOKUP('Données projet'!$B$11,Paramètres!$A$1:$I$89,3,0)*VLOOKUP('Données projet'!$B$11,Paramètres!$A$1:$I$89,5,0)</f>
        <v>312.11528400000049</v>
      </c>
      <c r="BF108" s="13">
        <f t="shared" si="91"/>
        <v>73.71041067221141</v>
      </c>
      <c r="BG108" s="20">
        <f t="shared" si="61"/>
        <v>671.97975155410234</v>
      </c>
      <c r="BH108" s="59">
        <f t="shared" si="62"/>
        <v>965.31308488743571</v>
      </c>
      <c r="BI108" s="59">
        <f ca="1">AVERAGE(OFFSET($BH$3,0,0,'Données projet'!$E$11+1,1))-AVERAGE(OFFSET($H$3,0,0,'Données projet'!$E$11+1,1))</f>
        <v>573.17174498173017</v>
      </c>
      <c r="BJ108" s="59">
        <f t="shared" si="92"/>
        <v>260.48854096157231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32.44640547166189</v>
      </c>
      <c r="BQ108" s="21">
        <f>EXP(-LN(2)/25)*BQ107+(1-EXP(-LN(2)/25))/(LN(2)/25)*Calculateur!BL108*Calculateur!BN108*VLOOKUP('Données projet'!$B$11,Paramètres!$A$1:$I$89,3,0)*0.475*44/12</f>
        <v>26.285392023986681</v>
      </c>
      <c r="BR108" s="21">
        <f>EXP(-LN(2)/2)*BR107+(1-EXP(-LN(2)/2))/(LN(2)/2)*BL108*BO108*VLOOKUP('Données projet'!$B$11,Paramètres!$A$1:$I$89,3,0)*0.475*44/12</f>
        <v>4.1206685845202227</v>
      </c>
      <c r="BS108" s="22">
        <f t="shared" si="63"/>
        <v>62.852466080168796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8.8449999999999989</v>
      </c>
      <c r="BY108" s="12">
        <f>IF('Données projet'!$A$114&gt;35,BY107+BX108-CG107,IF(A108&lt;'Données projet'!$A$114,$BV$205^A108,IF(A108='Données projet'!$A$114,'Données projet'!$B$114,BY107+BX108-CG107)))</f>
        <v>344.95500000000055</v>
      </c>
      <c r="BZ108" s="13">
        <f>BY108*VLOOKUP('Données projet'!$B$12,Paramètres!$A$1:$I$89,3,0)*VLOOKUP('Données projet'!$B$12,Paramètres!$A$1:$I$89,5,0)</f>
        <v>328.25917800000053</v>
      </c>
      <c r="CA108" s="13">
        <f t="shared" si="93"/>
        <v>77.069279330976201</v>
      </c>
      <c r="CB108" s="20">
        <f t="shared" si="64"/>
        <v>705.94706318478438</v>
      </c>
      <c r="CC108" s="59">
        <f t="shared" si="65"/>
        <v>999.28039651811764</v>
      </c>
      <c r="CD108" s="59">
        <f ca="1">AVERAGE(OFFSET($CC$3,0,0,'Données projet'!$E$12+1,1))-AVERAGE(OFFSET($H$3,0,0,'Données projet'!$E$12+1,1))</f>
        <v>603.61135046904178</v>
      </c>
      <c r="CE108" s="59">
        <f t="shared" si="94"/>
        <v>272.84936867513068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34.124667823644401</v>
      </c>
      <c r="CL108" s="21">
        <f>EXP(-LN(2)/25)*CL107+(1-EXP(-LN(2)/25))/(LN(2)/25)*Calculateur!CG108*Calculateur!CI108*VLOOKUP('Données projet'!$B$12,Paramètres!$A$1:$I$89,3,0)*0.475*44/12</f>
        <v>27.644981266606678</v>
      </c>
      <c r="CM108" s="21">
        <f>EXP(-LN(2)/2)*CM107+(1-EXP(-LN(2)/2))/(LN(2)/2)*CG108*CJ108*VLOOKUP('Données projet'!$B$12,Paramètres!$A$1:$I$89,3,0)*0.475*44/12</f>
        <v>4.3338066147540273</v>
      </c>
      <c r="CN108" s="22">
        <f t="shared" si="66"/>
        <v>66.103455705005103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31.831800000000001</v>
      </c>
      <c r="D109" s="11">
        <f t="shared" si="86"/>
        <v>9.8057365057326304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176.77690937521581</v>
      </c>
      <c r="H109" s="67">
        <f t="shared" si="56"/>
        <v>329.18537608081766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8.5265128291212022E-14</v>
      </c>
      <c r="O109" s="13">
        <f>N109*VLOOKUP('Données projet'!$B$9,Paramètres!$A$1:$I$89,3,0)*VLOOKUP('Données projet'!$B$9,Paramètres!$A$1:$I$89,5,0)</f>
        <v>8.9119112089974823E-14</v>
      </c>
      <c r="P109" s="13">
        <f t="shared" si="87"/>
        <v>1.3568952080113142E-12</v>
      </c>
      <c r="Q109" s="20">
        <f t="shared" si="107"/>
        <v>2.5184749408430782E-12</v>
      </c>
      <c r="R109" s="59">
        <f t="shared" si="55"/>
        <v>293.33333333333582</v>
      </c>
      <c r="S109" s="59">
        <f ca="1">AVERAGE(OFFSET($R$3,0,0,'Données projet'!$E$9+1,1))-AVERAGE(OFFSET($H$3,0,0,'Données projet'!$E$9+1,1))</f>
        <v>225.9892575177542</v>
      </c>
      <c r="T109" s="59">
        <f t="shared" si="88"/>
        <v>215.88467215650428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15.80510196026639</v>
      </c>
      <c r="AA109" s="21">
        <f>EXP(-LN(2)/25)*AA108+(1-EXP(-LN(2)/25))/(LN(2)/25)*Calculateur!V109*Calculateur!X109*VLOOKUP('Données projet'!$B$9,Paramètres!$A$1:$I$89,3,0)*0.475*44/12</f>
        <v>38.481807544440777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54.286909504707168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8.8449999999999989</v>
      </c>
      <c r="AI109" s="13">
        <f>IF('Données projet'!$A$62&gt;35,AI108+AH109-AQ108,IF(A109&lt;'Données projet'!$A$62,$AF$205^A109,IF(A109='Données projet'!$A$62,'Données projet'!$B$62,AI108+AH109-AQ108)))</f>
        <v>353.80000000000052</v>
      </c>
      <c r="AJ109" s="13">
        <f>AI109*VLOOKUP('Données projet'!$B$10,Paramètres!$A$1:$I$89,3,0)*VLOOKUP('Données projet'!$B$10,Paramètres!$A$1:$I$89,5,0)</f>
        <v>358.75320000000056</v>
      </c>
      <c r="AK109" s="13">
        <f t="shared" si="89"/>
        <v>83.362286707455894</v>
      </c>
      <c r="AL109" s="20">
        <f t="shared" si="58"/>
        <v>770.01780601548671</v>
      </c>
      <c r="AM109" s="59">
        <f t="shared" si="59"/>
        <v>1063.35113934882</v>
      </c>
      <c r="AN109" s="59">
        <f ca="1">AVERAGE(OFFSET($AM$3,0,0,'Données projet'!$E$10+1,1))-AVERAGE(OFFSET($H$3,0,0,'Données projet'!$E$10+1,1))</f>
        <v>644.15138437063933</v>
      </c>
      <c r="AO109" s="59">
        <f t="shared" si="90"/>
        <v>289.3097279858207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35.649307436147012</v>
      </c>
      <c r="AV109" s="21">
        <f>EXP(-LN(2)/25)*AV108+(1-EXP(-LN(2)/25))/(LN(2)/25)*Calculateur!AQ109*Calculateur!AS109*VLOOKUP('Données projet'!$B$10,Paramètres!$A$1:$I$89,3,0)*0.475*44/12</f>
        <v>28.652242737795429</v>
      </c>
      <c r="AW109" s="21">
        <f>EXP(-LN(2)/2)*AW108+(1-EXP(-LN(2)/2))/(LN(2)/2)*AQ109*AT109*VLOOKUP('Données projet'!$B$10,Paramètres!$A$1:$I$89,3,0)*0.475*44/12</f>
        <v>3.2654125076531111</v>
      </c>
      <c r="AX109" s="21">
        <f t="shared" si="60"/>
        <v>67.566962681595555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8.8449999999999989</v>
      </c>
      <c r="BD109" s="12">
        <f>IF('Données projet'!$A$88&gt;35,BD108+BC109-BL108,IF(A109&lt;'Données projet'!$A$88,$BA$205^A109,IF(A109='Données projet'!$A$88,'Données projet'!$B$88,BD108+BC109-BL108)))</f>
        <v>353.80000000000052</v>
      </c>
      <c r="BE109" s="13">
        <f>BD109*VLOOKUP('Données projet'!$B$11,Paramètres!$A$1:$I$89,3,0)*VLOOKUP('Données projet'!$B$11,Paramètres!$A$1:$I$89,5,0)</f>
        <v>320.11824000000047</v>
      </c>
      <c r="BF109" s="13">
        <f t="shared" si="91"/>
        <v>75.377955265343587</v>
      </c>
      <c r="BG109" s="20">
        <f t="shared" si="61"/>
        <v>688.82254008714096</v>
      </c>
      <c r="BH109" s="59">
        <f t="shared" si="62"/>
        <v>982.15587342047434</v>
      </c>
      <c r="BI109" s="59">
        <f ca="1">AVERAGE(OFFSET($BH$3,0,0,'Données projet'!$E$11+1,1))-AVERAGE(OFFSET($H$3,0,0,'Données projet'!$E$11+1,1))</f>
        <v>573.17174498173017</v>
      </c>
      <c r="BJ109" s="59">
        <f t="shared" si="92"/>
        <v>260.48854096157231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31.810151250715805</v>
      </c>
      <c r="BQ109" s="21">
        <f>EXP(-LN(2)/25)*BQ108+(1-EXP(-LN(2)/25))/(LN(2)/25)*Calculateur!BL109*Calculateur!BN109*VLOOKUP('Données projet'!$B$11,Paramètres!$A$1:$I$89,3,0)*0.475*44/12</f>
        <v>25.566616596802074</v>
      </c>
      <c r="BR109" s="21">
        <f>EXP(-LN(2)/2)*BR108+(1-EXP(-LN(2)/2))/(LN(2)/2)*BL109*BO109*VLOOKUP('Données projet'!$B$11,Paramètres!$A$1:$I$89,3,0)*0.475*44/12</f>
        <v>2.9137526991366216</v>
      </c>
      <c r="BS109" s="22">
        <f t="shared" si="63"/>
        <v>60.290520546654506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8.8449999999999989</v>
      </c>
      <c r="BY109" s="12">
        <f>IF('Données projet'!$A$114&gt;35,BY108+BX109-CG108,IF(A109&lt;'Données projet'!$A$114,$BV$205^A109,IF(A109='Données projet'!$A$114,'Données projet'!$B$114,BY108+BX109-CG108)))</f>
        <v>353.80000000000052</v>
      </c>
      <c r="BZ109" s="13">
        <f>BY109*VLOOKUP('Données projet'!$B$12,Paramètres!$A$1:$I$89,3,0)*VLOOKUP('Données projet'!$B$12,Paramètres!$A$1:$I$89,5,0)</f>
        <v>336.67608000000052</v>
      </c>
      <c r="CA109" s="13">
        <f t="shared" si="93"/>
        <v>78.81281133511159</v>
      </c>
      <c r="CB109" s="20">
        <f t="shared" si="64"/>
        <v>723.64315240865346</v>
      </c>
      <c r="CC109" s="59">
        <f t="shared" si="65"/>
        <v>1016.9764857419868</v>
      </c>
      <c r="CD109" s="59">
        <f ca="1">AVERAGE(OFFSET($CC$3,0,0,'Données projet'!$E$12+1,1))-AVERAGE(OFFSET($H$3,0,0,'Données projet'!$E$12+1,1))</f>
        <v>603.61135046904178</v>
      </c>
      <c r="CE109" s="59">
        <f t="shared" si="94"/>
        <v>272.84936867513068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33.455503901614897</v>
      </c>
      <c r="CL109" s="21">
        <f>EXP(-LN(2)/25)*CL108+(1-EXP(-LN(2)/25))/(LN(2)/25)*Calculateur!CG109*Calculateur!CI109*VLOOKUP('Données projet'!$B$12,Paramètres!$A$1:$I$89,3,0)*0.475*44/12</f>
        <v>26.889027800084936</v>
      </c>
      <c r="CM109" s="21">
        <f>EXP(-LN(2)/2)*CM108+(1-EXP(-LN(2)/2))/(LN(2)/2)*CG109*CJ109*VLOOKUP('Données projet'!$B$12,Paramètres!$A$1:$I$89,3,0)*0.475*44/12</f>
        <v>3.0644640456436885</v>
      </c>
      <c r="CN109" s="22">
        <f t="shared" si="66"/>
        <v>63.408995747343525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32.132100000000001</v>
      </c>
      <c r="D110" s="11">
        <f t="shared" si="86"/>
        <v>9.8874309224949126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178.39871023234684</v>
      </c>
      <c r="H110" s="67">
        <f t="shared" si="56"/>
        <v>329.85068302334531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8.5265128291212022E-14</v>
      </c>
      <c r="O110" s="13">
        <f>N110*VLOOKUP('Données projet'!$B$9,Paramètres!$A$1:$I$89,3,0)*VLOOKUP('Données projet'!$B$9,Paramètres!$A$1:$I$89,5,0)</f>
        <v>8.9119112089974823E-14</v>
      </c>
      <c r="P110" s="13">
        <f t="shared" si="87"/>
        <v>1.3568952080113142E-12</v>
      </c>
      <c r="Q110" s="20">
        <f t="shared" si="107"/>
        <v>2.5184749408430782E-12</v>
      </c>
      <c r="R110" s="59">
        <f t="shared" si="55"/>
        <v>293.33333333333582</v>
      </c>
      <c r="S110" s="59">
        <f ca="1">AVERAGE(OFFSET($R$3,0,0,'Données projet'!$E$9+1,1))-AVERAGE(OFFSET($H$3,0,0,'Données projet'!$E$9+1,1))</f>
        <v>225.9892575177542</v>
      </c>
      <c r="T110" s="59">
        <f t="shared" si="88"/>
        <v>215.88467215650428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15.495173550985875</v>
      </c>
      <c r="AA110" s="21">
        <f>EXP(-LN(2)/25)*AA109+(1-EXP(-LN(2)/25))/(LN(2)/25)*Calculateur!V110*Calculateur!X110*VLOOKUP('Données projet'!$B$9,Paramètres!$A$1:$I$89,3,0)*0.475*44/12</f>
        <v>37.429520493467734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52.924694044453609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8.8449999999999989</v>
      </c>
      <c r="AI110" s="13">
        <f>IF('Données projet'!$A$62&gt;35,AI109+AH110-AQ109,IF(A110&lt;'Données projet'!$A$62,$AF$205^A110,IF(A110='Données projet'!$A$62,'Données projet'!$B$62,AI109+AH110-AQ109)))</f>
        <v>362.64500000000055</v>
      </c>
      <c r="AJ110" s="13">
        <f>AI110*VLOOKUP('Données projet'!$B$10,Paramètres!$A$1:$I$89,3,0)*VLOOKUP('Données projet'!$B$10,Paramètres!$A$1:$I$89,5,0)</f>
        <v>367.72203000000059</v>
      </c>
      <c r="AK110" s="13">
        <f t="shared" si="89"/>
        <v>85.201104879888135</v>
      </c>
      <c r="AL110" s="20">
        <f t="shared" si="58"/>
        <v>788.84112658247284</v>
      </c>
      <c r="AM110" s="59">
        <f t="shared" si="59"/>
        <v>1082.1744599158062</v>
      </c>
      <c r="AN110" s="59">
        <f ca="1">AVERAGE(OFFSET($AM$3,0,0,'Données projet'!$E$10+1,1))-AVERAGE(OFFSET($H$3,0,0,'Données projet'!$E$10+1,1))</f>
        <v>644.15138437063933</v>
      </c>
      <c r="AO110" s="59">
        <f t="shared" si="90"/>
        <v>289.3097279858207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34.950246261254669</v>
      </c>
      <c r="AV110" s="21">
        <f>EXP(-LN(2)/25)*AV109+(1-EXP(-LN(2)/25))/(LN(2)/25)*Calculateur!AQ110*Calculateur!AS110*VLOOKUP('Données projet'!$B$10,Paramètres!$A$1:$I$89,3,0)*0.475*44/12</f>
        <v>27.868745653374454</v>
      </c>
      <c r="AW110" s="21">
        <f>EXP(-LN(2)/2)*AW109+(1-EXP(-LN(2)/2))/(LN(2)/2)*AQ110*AT110*VLOOKUP('Données projet'!$B$10,Paramètres!$A$1:$I$89,3,0)*0.475*44/12</f>
        <v>2.3089953275328838</v>
      </c>
      <c r="AX110" s="21">
        <f t="shared" si="60"/>
        <v>65.127987242162007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8.8449999999999989</v>
      </c>
      <c r="BD110" s="12">
        <f>IF('Données projet'!$A$88&gt;35,BD109+BC110-BL109,IF(A110&lt;'Données projet'!$A$88,$BA$205^A110,IF(A110='Données projet'!$A$88,'Données projet'!$B$88,BD109+BC110-BL109)))</f>
        <v>362.64500000000055</v>
      </c>
      <c r="BE110" s="13">
        <f>BD110*VLOOKUP('Données projet'!$B$11,Paramètres!$A$1:$I$89,3,0)*VLOOKUP('Données projet'!$B$11,Paramètres!$A$1:$I$89,5,0)</f>
        <v>328.12119600000045</v>
      </c>
      <c r="BF110" s="13">
        <f t="shared" si="91"/>
        <v>77.040653823854953</v>
      </c>
      <c r="BG110" s="20">
        <f t="shared" si="61"/>
        <v>705.65688844321483</v>
      </c>
      <c r="BH110" s="59">
        <f t="shared" si="62"/>
        <v>998.9902217765482</v>
      </c>
      <c r="BI110" s="59">
        <f ca="1">AVERAGE(OFFSET($BH$3,0,0,'Données projet'!$E$11+1,1))-AVERAGE(OFFSET($H$3,0,0,'Données projet'!$E$11+1,1))</f>
        <v>573.17174498173017</v>
      </c>
      <c r="BJ110" s="59">
        <f t="shared" si="92"/>
        <v>260.48854096157231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31.186373586965715</v>
      </c>
      <c r="BQ110" s="21">
        <f>EXP(-LN(2)/25)*BQ109+(1-EXP(-LN(2)/25))/(LN(2)/25)*Calculateur!BL110*Calculateur!BN110*VLOOKUP('Données projet'!$B$11,Paramètres!$A$1:$I$89,3,0)*0.475*44/12</f>
        <v>24.867496121472588</v>
      </c>
      <c r="BR110" s="21">
        <f>EXP(-LN(2)/2)*BR109+(1-EXP(-LN(2)/2))/(LN(2)/2)*BL110*BO110*VLOOKUP('Données projet'!$B$11,Paramètres!$A$1:$I$89,3,0)*0.475*44/12</f>
        <v>2.0603342922601113</v>
      </c>
      <c r="BS110" s="22">
        <f t="shared" si="63"/>
        <v>58.114204000698408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8.8449999999999989</v>
      </c>
      <c r="BY110" s="12">
        <f>IF('Données projet'!$A$114&gt;35,BY109+BX110-CG109,IF(A110&lt;'Données projet'!$A$114,$BV$205^A110,IF(A110='Données projet'!$A$114,'Données projet'!$B$114,BY109+BX110-CG109)))</f>
        <v>362.64500000000055</v>
      </c>
      <c r="BZ110" s="13">
        <f>BY110*VLOOKUP('Données projet'!$B$12,Paramètres!$A$1:$I$89,3,0)*VLOOKUP('Données projet'!$B$12,Paramètres!$A$1:$I$89,5,0)</f>
        <v>345.09298200000052</v>
      </c>
      <c r="CA110" s="13">
        <f t="shared" si="93"/>
        <v>80.551276478373012</v>
      </c>
      <c r="CB110" s="20">
        <f t="shared" si="64"/>
        <v>741.33041684983391</v>
      </c>
      <c r="CC110" s="59">
        <f t="shared" si="65"/>
        <v>1034.6637501831672</v>
      </c>
      <c r="CD110" s="59">
        <f ca="1">AVERAGE(OFFSET($CC$3,0,0,'Données projet'!$E$12+1,1))-AVERAGE(OFFSET($H$3,0,0,'Données projet'!$E$12+1,1))</f>
        <v>603.61135046904178</v>
      </c>
      <c r="CE110" s="59">
        <f t="shared" si="94"/>
        <v>272.84936867513068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32.799461875946697</v>
      </c>
      <c r="CL110" s="21">
        <f>EXP(-LN(2)/25)*CL109+(1-EXP(-LN(2)/25))/(LN(2)/25)*Calculateur!CG110*Calculateur!CI110*VLOOKUP('Données projet'!$B$12,Paramètres!$A$1:$I$89,3,0)*0.475*44/12</f>
        <v>26.153745920859098</v>
      </c>
      <c r="CM110" s="21">
        <f>EXP(-LN(2)/2)*CM109+(1-EXP(-LN(2)/2))/(LN(2)/2)*CG110*CJ110*VLOOKUP('Données projet'!$B$12,Paramètres!$A$1:$I$89,3,0)*0.475*44/12</f>
        <v>2.1669033073770141</v>
      </c>
      <c r="CN110" s="22">
        <f t="shared" si="66"/>
        <v>61.120111104182811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32.432400000000001</v>
      </c>
      <c r="D111" s="11">
        <f t="shared" si="86"/>
        <v>9.969036514901978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180.02013397554879</v>
      </c>
      <c r="H111" s="67">
        <f t="shared" si="56"/>
        <v>330.51583526345428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8.5265128291212022E-14</v>
      </c>
      <c r="O111" s="13">
        <f>N111*VLOOKUP('Données projet'!$B$9,Paramètres!$A$1:$I$89,3,0)*VLOOKUP('Données projet'!$B$9,Paramètres!$A$1:$I$89,5,0)</f>
        <v>8.9119112089974823E-14</v>
      </c>
      <c r="P111" s="13">
        <f t="shared" si="87"/>
        <v>1.3568952080113142E-12</v>
      </c>
      <c r="Q111" s="20">
        <f t="shared" si="107"/>
        <v>2.5184749408430782E-12</v>
      </c>
      <c r="R111" s="59">
        <f t="shared" si="55"/>
        <v>293.33333333333582</v>
      </c>
      <c r="S111" s="59">
        <f ca="1">AVERAGE(OFFSET($R$3,0,0,'Données projet'!$E$9+1,1))-AVERAGE(OFFSET($H$3,0,0,'Données projet'!$E$9+1,1))</f>
        <v>225.9892575177542</v>
      </c>
      <c r="T111" s="59">
        <f t="shared" si="88"/>
        <v>215.88467215650428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15.191322648773687</v>
      </c>
      <c r="AA111" s="21">
        <f>EXP(-LN(2)/25)*AA110+(1-EXP(-LN(2)/25))/(LN(2)/25)*Calculateur!V111*Calculateur!X111*VLOOKUP('Données projet'!$B$9,Paramètres!$A$1:$I$89,3,0)*0.475*44/12</f>
        <v>36.406008287240923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51.597330936014608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8.8449999999999989</v>
      </c>
      <c r="AI111" s="13">
        <f>IF('Données projet'!$A$62&gt;35,AI110+AH111-AQ110,IF(A111&lt;'Données projet'!$A$62,$AF$205^A111,IF(A111='Données projet'!$A$62,'Données projet'!$B$62,AI110+AH111-AQ110)))</f>
        <v>371.49000000000058</v>
      </c>
      <c r="AJ111" s="13">
        <f>AI111*VLOOKUP('Données projet'!$B$10,Paramètres!$A$1:$I$89,3,0)*VLOOKUP('Données projet'!$B$10,Paramètres!$A$1:$I$89,5,0)</f>
        <v>376.69086000000061</v>
      </c>
      <c r="AK111" s="13">
        <f t="shared" si="89"/>
        <v>87.034709459862782</v>
      </c>
      <c r="AL111" s="20">
        <f t="shared" si="58"/>
        <v>807.65536680926198</v>
      </c>
      <c r="AM111" s="59">
        <f t="shared" si="59"/>
        <v>1100.9887001425952</v>
      </c>
      <c r="AN111" s="59">
        <f ca="1">AVERAGE(OFFSET($AM$3,0,0,'Données projet'!$E$10+1,1))-AVERAGE(OFFSET($H$3,0,0,'Données projet'!$E$10+1,1))</f>
        <v>644.15138437063933</v>
      </c>
      <c r="AO111" s="59">
        <f t="shared" si="90"/>
        <v>289.3097279858207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34.264893249616755</v>
      </c>
      <c r="AV111" s="21">
        <f>EXP(-LN(2)/25)*AV110+(1-EXP(-LN(2)/25))/(LN(2)/25)*Calculateur!AQ111*Calculateur!AS111*VLOOKUP('Données projet'!$B$10,Paramètres!$A$1:$I$89,3,0)*0.475*44/12</f>
        <v>27.106673337929291</v>
      </c>
      <c r="AW111" s="21">
        <f>EXP(-LN(2)/2)*AW110+(1-EXP(-LN(2)/2))/(LN(2)/2)*AQ111*AT111*VLOOKUP('Données projet'!$B$10,Paramètres!$A$1:$I$89,3,0)*0.475*44/12</f>
        <v>1.6327062538265555</v>
      </c>
      <c r="AX111" s="21">
        <f t="shared" si="60"/>
        <v>63.004272841372597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8.8449999999999989</v>
      </c>
      <c r="BD111" s="12">
        <f>IF('Données projet'!$A$88&gt;35,BD110+BC111-BL110,IF(A111&lt;'Données projet'!$A$88,$BA$205^A111,IF(A111='Données projet'!$A$88,'Données projet'!$B$88,BD110+BC111-BL110)))</f>
        <v>371.49000000000058</v>
      </c>
      <c r="BE111" s="13">
        <f>BD111*VLOOKUP('Données projet'!$B$11,Paramètres!$A$1:$I$89,3,0)*VLOOKUP('Données projet'!$B$11,Paramètres!$A$1:$I$89,5,0)</f>
        <v>336.12415200000049</v>
      </c>
      <c r="BF111" s="13">
        <f t="shared" si="91"/>
        <v>78.698638141016232</v>
      </c>
      <c r="BG111" s="20">
        <f t="shared" si="61"/>
        <v>722.4830261622709</v>
      </c>
      <c r="BH111" s="59">
        <f t="shared" si="62"/>
        <v>1015.8163594956043</v>
      </c>
      <c r="BI111" s="59">
        <f ca="1">AVERAGE(OFFSET($BH$3,0,0,'Données projet'!$E$11+1,1))-AVERAGE(OFFSET($H$3,0,0,'Données projet'!$E$11+1,1))</f>
        <v>573.17174498173017</v>
      </c>
      <c r="BJ111" s="59">
        <f t="shared" si="92"/>
        <v>260.48854096157231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30.574827822734957</v>
      </c>
      <c r="BQ111" s="21">
        <f>EXP(-LN(2)/25)*BQ110+(1-EXP(-LN(2)/25))/(LN(2)/25)*Calculateur!BL111*Calculateur!BN111*VLOOKUP('Données projet'!$B$11,Paramètres!$A$1:$I$89,3,0)*0.475*44/12</f>
        <v>24.187493132306134</v>
      </c>
      <c r="BR111" s="21">
        <f>EXP(-LN(2)/2)*BR110+(1-EXP(-LN(2)/2))/(LN(2)/2)*BL111*BO111*VLOOKUP('Données projet'!$B$11,Paramètres!$A$1:$I$89,3,0)*0.475*44/12</f>
        <v>1.4568763495683108</v>
      </c>
      <c r="BS111" s="22">
        <f t="shared" si="63"/>
        <v>56.219197304609402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8.8449999999999989</v>
      </c>
      <c r="BY111" s="12">
        <f>IF('Données projet'!$A$114&gt;35,BY110+BX111-CG110,IF(A111&lt;'Données projet'!$A$114,$BV$205^A111,IF(A111='Données projet'!$A$114,'Données projet'!$B$114,BY110+BX111-CG110)))</f>
        <v>371.49000000000058</v>
      </c>
      <c r="BZ111" s="13">
        <f>BY111*VLOOKUP('Données projet'!$B$12,Paramètres!$A$1:$I$89,3,0)*VLOOKUP('Données projet'!$B$12,Paramètres!$A$1:$I$89,5,0)</f>
        <v>353.50988400000057</v>
      </c>
      <c r="CA111" s="13">
        <f t="shared" si="93"/>
        <v>82.284812559645275</v>
      </c>
      <c r="CB111" s="20">
        <f t="shared" si="64"/>
        <v>759.00909650804977</v>
      </c>
      <c r="CC111" s="59">
        <f t="shared" si="65"/>
        <v>1052.3424298413831</v>
      </c>
      <c r="CD111" s="59">
        <f ca="1">AVERAGE(OFFSET($CC$3,0,0,'Données projet'!$E$12+1,1))-AVERAGE(OFFSET($H$3,0,0,'Données projet'!$E$12+1,1))</f>
        <v>603.61135046904178</v>
      </c>
      <c r="CE111" s="59">
        <f t="shared" si="94"/>
        <v>272.84936867513068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32.156284434255731</v>
      </c>
      <c r="CL111" s="21">
        <f>EXP(-LN(2)/25)*CL110+(1-EXP(-LN(2)/25))/(LN(2)/25)*Calculateur!CG111*Calculateur!CI111*VLOOKUP('Données projet'!$B$12,Paramètres!$A$1:$I$89,3,0)*0.475*44/12</f>
        <v>25.438570363287482</v>
      </c>
      <c r="CM111" s="21">
        <f>EXP(-LN(2)/2)*CM110+(1-EXP(-LN(2)/2))/(LN(2)/2)*CG111*CJ111*VLOOKUP('Données projet'!$B$12,Paramètres!$A$1:$I$89,3,0)*0.475*44/12</f>
        <v>1.5322320228218445</v>
      </c>
      <c r="CN111" s="22">
        <f t="shared" si="66"/>
        <v>59.127086820365058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32.732700000000001</v>
      </c>
      <c r="D112" s="11">
        <f t="shared" si="86"/>
        <v>10.050554200666202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181.64118450107409</v>
      </c>
      <c r="H112" s="67">
        <f t="shared" si="56"/>
        <v>331.18083439949368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8.5265128291212022E-14</v>
      </c>
      <c r="O112" s="13">
        <f>N112*VLOOKUP('Données projet'!$B$9,Paramètres!$A$1:$I$89,3,0)*VLOOKUP('Données projet'!$B$9,Paramètres!$A$1:$I$89,5,0)</f>
        <v>8.9119112089974823E-14</v>
      </c>
      <c r="P112" s="13">
        <f t="shared" si="87"/>
        <v>1.3568952080113142E-12</v>
      </c>
      <c r="Q112" s="20">
        <f t="shared" si="107"/>
        <v>2.5184749408430782E-12</v>
      </c>
      <c r="R112" s="59">
        <f t="shared" si="55"/>
        <v>293.33333333333582</v>
      </c>
      <c r="S112" s="59">
        <f ca="1">AVERAGE(OFFSET($R$3,0,0,'Données projet'!$E$9+1,1))-AVERAGE(OFFSET($H$3,0,0,'Données projet'!$E$9+1,1))</f>
        <v>225.9892575177542</v>
      </c>
      <c r="T112" s="59">
        <f t="shared" si="88"/>
        <v>215.88467215650428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14.89343007742313</v>
      </c>
      <c r="AA112" s="21">
        <f>EXP(-LN(2)/25)*AA111+(1-EXP(-LN(2)/25))/(LN(2)/25)*Calculateur!V112*Calculateur!X112*VLOOKUP('Données projet'!$B$9,Paramètres!$A$1:$I$89,3,0)*0.475*44/12</f>
        <v>35.410484076117548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50.303914153540674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8.8449999999999989</v>
      </c>
      <c r="AI112" s="13">
        <f>IF('Données projet'!$A$62&gt;35,AI111+AH112-AQ111,IF(A112&lt;'Données projet'!$A$62,$AF$205^A112,IF(A112='Données projet'!$A$62,'Données projet'!$B$62,AI111+AH112-AQ111)))</f>
        <v>380.3350000000006</v>
      </c>
      <c r="AJ112" s="13">
        <f>AI112*VLOOKUP('Données projet'!$B$10,Paramètres!$A$1:$I$89,3,0)*VLOOKUP('Données projet'!$B$10,Paramètres!$A$1:$I$89,5,0)</f>
        <v>385.65969000000064</v>
      </c>
      <c r="AK112" s="13">
        <f t="shared" si="89"/>
        <v>88.86323886421664</v>
      </c>
      <c r="AL112" s="20">
        <f t="shared" si="58"/>
        <v>826.4607677718451</v>
      </c>
      <c r="AM112" s="59">
        <f t="shared" si="59"/>
        <v>1119.7941011051785</v>
      </c>
      <c r="AN112" s="59">
        <f ca="1">AVERAGE(OFFSET($AM$3,0,0,'Données projet'!$E$10+1,1))-AVERAGE(OFFSET($H$3,0,0,'Données projet'!$E$10+1,1))</f>
        <v>644.15138437063933</v>
      </c>
      <c r="AO112" s="59">
        <f t="shared" si="90"/>
        <v>289.3097279858207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33.592979592512997</v>
      </c>
      <c r="AV112" s="21">
        <f>EXP(-LN(2)/25)*AV111+(1-EXP(-LN(2)/25))/(LN(2)/25)*Calculateur!AQ112*Calculateur!AS112*VLOOKUP('Données projet'!$B$10,Paramètres!$A$1:$I$89,3,0)*0.475*44/12</f>
        <v>26.365439930025616</v>
      </c>
      <c r="AW112" s="21">
        <f>EXP(-LN(2)/2)*AW111+(1-EXP(-LN(2)/2))/(LN(2)/2)*AQ112*AT112*VLOOKUP('Données projet'!$B$10,Paramètres!$A$1:$I$89,3,0)*0.475*44/12</f>
        <v>1.1544976637664419</v>
      </c>
      <c r="AX112" s="21">
        <f t="shared" si="60"/>
        <v>61.112917186305054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8.8449999999999989</v>
      </c>
      <c r="BD112" s="12">
        <f>IF('Données projet'!$A$88&gt;35,BD111+BC112-BL111,IF(A112&lt;'Données projet'!$A$88,$BA$205^A112,IF(A112='Données projet'!$A$88,'Données projet'!$B$88,BD111+BC112-BL111)))</f>
        <v>380.3350000000006</v>
      </c>
      <c r="BE112" s="13">
        <f>BD112*VLOOKUP('Données projet'!$B$11,Paramètres!$A$1:$I$89,3,0)*VLOOKUP('Données projet'!$B$11,Paramètres!$A$1:$I$89,5,0)</f>
        <v>344.12710800000053</v>
      </c>
      <c r="BF112" s="13">
        <f t="shared" si="91"/>
        <v>80.352033376279337</v>
      </c>
      <c r="BG112" s="20">
        <f t="shared" si="61"/>
        <v>739.30117123035416</v>
      </c>
      <c r="BH112" s="59">
        <f t="shared" si="62"/>
        <v>1032.6345045636874</v>
      </c>
      <c r="BI112" s="59">
        <f ca="1">AVERAGE(OFFSET($BH$3,0,0,'Données projet'!$E$11+1,1))-AVERAGE(OFFSET($H$3,0,0,'Données projet'!$E$11+1,1))</f>
        <v>573.17174498173017</v>
      </c>
      <c r="BJ112" s="59">
        <f t="shared" si="92"/>
        <v>260.48854096157231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29.97527409793468</v>
      </c>
      <c r="BQ112" s="21">
        <f>EXP(-LN(2)/25)*BQ111+(1-EXP(-LN(2)/25))/(LN(2)/25)*Calculateur!BL112*Calculateur!BN112*VLOOKUP('Données projet'!$B$11,Paramètres!$A$1:$I$89,3,0)*0.475*44/12</f>
        <v>23.526084860638239</v>
      </c>
      <c r="BR112" s="21">
        <f>EXP(-LN(2)/2)*BR111+(1-EXP(-LN(2)/2))/(LN(2)/2)*BL112*BO112*VLOOKUP('Données projet'!$B$11,Paramètres!$A$1:$I$89,3,0)*0.475*44/12</f>
        <v>1.0301671461300557</v>
      </c>
      <c r="BS112" s="22">
        <f t="shared" si="63"/>
        <v>54.531526104702976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8.8449999999999989</v>
      </c>
      <c r="BY112" s="12">
        <f>IF('Données projet'!$A$114&gt;35,BY111+BX112-CG111,IF(A112&lt;'Données projet'!$A$114,$BV$205^A112,IF(A112='Données projet'!$A$114,'Données projet'!$B$114,BY111+BX112-CG111)))</f>
        <v>380.3350000000006</v>
      </c>
      <c r="BZ112" s="13">
        <f>BY112*VLOOKUP('Données projet'!$B$12,Paramètres!$A$1:$I$89,3,0)*VLOOKUP('Données projet'!$B$12,Paramètres!$A$1:$I$89,5,0)</f>
        <v>361.92678600000056</v>
      </c>
      <c r="CA112" s="13">
        <f t="shared" si="93"/>
        <v>84.013550441701824</v>
      </c>
      <c r="CB112" s="20">
        <f t="shared" si="64"/>
        <v>776.67941930263157</v>
      </c>
      <c r="CC112" s="59">
        <f t="shared" si="65"/>
        <v>1070.0127526359649</v>
      </c>
      <c r="CD112" s="59">
        <f ca="1">AVERAGE(OFFSET($CC$3,0,0,'Données projet'!$E$12+1,1))-AVERAGE(OFFSET($H$3,0,0,'Données projet'!$E$12+1,1))</f>
        <v>603.61135046904178</v>
      </c>
      <c r="CE112" s="59">
        <f t="shared" si="94"/>
        <v>272.84936867513068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31.525719309896818</v>
      </c>
      <c r="CL112" s="21">
        <f>EXP(-LN(2)/25)*CL111+(1-EXP(-LN(2)/25))/(LN(2)/25)*Calculateur!CG112*Calculateur!CI112*VLOOKUP('Données projet'!$B$12,Paramètres!$A$1:$I$89,3,0)*0.475*44/12</f>
        <v>24.74295131894711</v>
      </c>
      <c r="CM112" s="21">
        <f>EXP(-LN(2)/2)*CM111+(1-EXP(-LN(2)/2))/(LN(2)/2)*CG112*CJ112*VLOOKUP('Données projet'!$B$12,Paramètres!$A$1:$I$89,3,0)*0.475*44/12</f>
        <v>1.083451653688507</v>
      </c>
      <c r="CN112" s="22">
        <f t="shared" si="66"/>
        <v>57.352122282532434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33.033000000000001</v>
      </c>
      <c r="D113" s="11">
        <f t="shared" si="86"/>
        <v>10.131984879689941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183.26186562956082</v>
      </c>
      <c r="H113" s="67">
        <f t="shared" si="56"/>
        <v>331.84568199879334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8.5265128291212022E-14</v>
      </c>
      <c r="O113" s="13">
        <f>N113*VLOOKUP('Données projet'!$B$9,Paramètres!$A$1:$I$89,3,0)*VLOOKUP('Données projet'!$B$9,Paramètres!$A$1:$I$89,5,0)</f>
        <v>8.9119112089974823E-14</v>
      </c>
      <c r="P113" s="13">
        <f t="shared" si="87"/>
        <v>1.3568952080113142E-12</v>
      </c>
      <c r="Q113" s="20">
        <f t="shared" si="107"/>
        <v>2.5184749408430782E-12</v>
      </c>
      <c r="R113" s="59">
        <f t="shared" si="55"/>
        <v>293.33333333333582</v>
      </c>
      <c r="S113" s="59">
        <f ca="1">AVERAGE(OFFSET($R$3,0,0,'Données projet'!$E$9+1,1))-AVERAGE(OFFSET($H$3,0,0,'Données projet'!$E$9+1,1))</f>
        <v>225.9892575177542</v>
      </c>
      <c r="T113" s="59">
        <f t="shared" si="88"/>
        <v>215.88467215650428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14.601378997700229</v>
      </c>
      <c r="AA113" s="21">
        <f>EXP(-LN(2)/25)*AA112+(1-EXP(-LN(2)/25))/(LN(2)/25)*Calculateur!V113*Calculateur!X113*VLOOKUP('Données projet'!$B$9,Paramètres!$A$1:$I$89,3,0)*0.475*44/12</f>
        <v>34.442182526899686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49.043561524599916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8.8449999999999989</v>
      </c>
      <c r="AI113" s="13">
        <f>IF('Données projet'!$A$62&gt;35,AI112+AH113-AQ112,IF(A113&lt;'Données projet'!$A$62,$AF$205^A113,IF(A113='Données projet'!$A$62,'Données projet'!$B$62,AI112+AH113-AQ112)))</f>
        <v>389.18000000000063</v>
      </c>
      <c r="AJ113" s="13">
        <f>AI113*VLOOKUP('Données projet'!$B$10,Paramètres!$A$1:$I$89,3,0)*VLOOKUP('Données projet'!$B$10,Paramètres!$A$1:$I$89,5,0)</f>
        <v>394.62852000000066</v>
      </c>
      <c r="AK113" s="13">
        <f t="shared" si="89"/>
        <v>90.686824704469188</v>
      </c>
      <c r="AL113" s="20">
        <f t="shared" si="58"/>
        <v>845.25755869361831</v>
      </c>
      <c r="AM113" s="59">
        <f t="shared" si="59"/>
        <v>1138.5908920269517</v>
      </c>
      <c r="AN113" s="59">
        <f ca="1">AVERAGE(OFFSET($AM$3,0,0,'Données projet'!$E$10+1,1))-AVERAGE(OFFSET($H$3,0,0,'Données projet'!$E$10+1,1))</f>
        <v>644.15138437063933</v>
      </c>
      <c r="AO113" s="59">
        <f t="shared" si="90"/>
        <v>289.3097279858207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32.934241752398179</v>
      </c>
      <c r="AV113" s="21">
        <f>EXP(-LN(2)/25)*AV112+(1-EXP(-LN(2)/25))/(LN(2)/25)*Calculateur!AQ113*Calculateur!AS113*VLOOKUP('Données projet'!$B$10,Paramètres!$A$1:$I$89,3,0)*0.475*44/12</f>
        <v>25.644475588640837</v>
      </c>
      <c r="AW113" s="21">
        <f>EXP(-LN(2)/2)*AW112+(1-EXP(-LN(2)/2))/(LN(2)/2)*AQ113*AT113*VLOOKUP('Données projet'!$B$10,Paramètres!$A$1:$I$89,3,0)*0.475*44/12</f>
        <v>0.81635312691327777</v>
      </c>
      <c r="AX113" s="21">
        <f t="shared" si="60"/>
        <v>59.395070467952294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8.8449999999999989</v>
      </c>
      <c r="BD113" s="12">
        <f>IF('Données projet'!$A$88&gt;35,BD112+BC113-BL112,IF(A113&lt;'Données projet'!$A$88,$BA$205^A113,IF(A113='Données projet'!$A$88,'Données projet'!$B$88,BD112+BC113-BL112)))</f>
        <v>389.18000000000063</v>
      </c>
      <c r="BE113" s="13">
        <f>BD113*VLOOKUP('Données projet'!$B$11,Paramètres!$A$1:$I$89,3,0)*VLOOKUP('Données projet'!$B$11,Paramètres!$A$1:$I$89,5,0)</f>
        <v>352.13006400000057</v>
      </c>
      <c r="BF113" s="13">
        <f t="shared" si="91"/>
        <v>82.000958535583734</v>
      </c>
      <c r="BG113" s="20">
        <f t="shared" si="61"/>
        <v>756.11153091614267</v>
      </c>
      <c r="BH113" s="59">
        <f t="shared" si="62"/>
        <v>1049.444864249476</v>
      </c>
      <c r="BI113" s="59">
        <f ca="1">AVERAGE(OFFSET($BH$3,0,0,'Données projet'!$E$11+1,1))-AVERAGE(OFFSET($H$3,0,0,'Données projet'!$E$11+1,1))</f>
        <v>573.17174498173017</v>
      </c>
      <c r="BJ113" s="59">
        <f t="shared" si="92"/>
        <v>260.48854096157231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29.387477255986074</v>
      </c>
      <c r="BQ113" s="21">
        <f>EXP(-LN(2)/25)*BQ112+(1-EXP(-LN(2)/25))/(LN(2)/25)*Calculateur!BL113*Calculateur!BN113*VLOOKUP('Données projet'!$B$11,Paramètres!$A$1:$I$89,3,0)*0.475*44/12</f>
        <v>22.882762832941054</v>
      </c>
      <c r="BR113" s="21">
        <f>EXP(-LN(2)/2)*BR112+(1-EXP(-LN(2)/2))/(LN(2)/2)*BL113*BO113*VLOOKUP('Données projet'!$B$11,Paramètres!$A$1:$I$89,3,0)*0.475*44/12</f>
        <v>0.7284381747841554</v>
      </c>
      <c r="BS113" s="22">
        <f t="shared" si="63"/>
        <v>52.998678263711277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8.8449999999999989</v>
      </c>
      <c r="BY113" s="12">
        <f>IF('Données projet'!$A$114&gt;35,BY112+BX113-CG112,IF(A113&lt;'Données projet'!$A$114,$BV$205^A113,IF(A113='Données projet'!$A$114,'Données projet'!$B$114,BY112+BX113-CG112)))</f>
        <v>389.18000000000063</v>
      </c>
      <c r="BZ113" s="13">
        <f>BY113*VLOOKUP('Données projet'!$B$12,Paramètres!$A$1:$I$89,3,0)*VLOOKUP('Données projet'!$B$12,Paramètres!$A$1:$I$89,5,0)</f>
        <v>370.34368800000061</v>
      </c>
      <c r="CA113" s="13">
        <f t="shared" si="93"/>
        <v>85.737614553397449</v>
      </c>
      <c r="CB113" s="20">
        <f t="shared" si="64"/>
        <v>794.34160194716833</v>
      </c>
      <c r="CC113" s="59">
        <f t="shared" si="65"/>
        <v>1087.6749352805016</v>
      </c>
      <c r="CD113" s="59">
        <f ca="1">AVERAGE(OFFSET($CC$3,0,0,'Données projet'!$E$12+1,1))-AVERAGE(OFFSET($H$3,0,0,'Données projet'!$E$12+1,1))</f>
        <v>603.61135046904178</v>
      </c>
      <c r="CE113" s="59">
        <f t="shared" si="94"/>
        <v>272.84936867513068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30.907519183019836</v>
      </c>
      <c r="CL113" s="21">
        <f>EXP(-LN(2)/25)*CL112+(1-EXP(-LN(2)/25))/(LN(2)/25)*Calculateur!CG113*Calculateur!CI113*VLOOKUP('Données projet'!$B$12,Paramètres!$A$1:$I$89,3,0)*0.475*44/12</f>
        <v>24.066354013955241</v>
      </c>
      <c r="CM113" s="21">
        <f>EXP(-LN(2)/2)*CM112+(1-EXP(-LN(2)/2))/(LN(2)/2)*CG113*CJ113*VLOOKUP('Données projet'!$B$12,Paramètres!$A$1:$I$89,3,0)*0.475*44/12</f>
        <v>0.76611601141092223</v>
      </c>
      <c r="CN113" s="22">
        <f t="shared" si="66"/>
        <v>55.739989208386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33.333300000000001</v>
      </c>
      <c r="D114" s="11">
        <f t="shared" si="86"/>
        <v>10.213329434569879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184.88218110817391</v>
      </c>
      <c r="H114" s="67">
        <f t="shared" si="56"/>
        <v>332.51037959854256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8.5265128291212022E-14</v>
      </c>
      <c r="O114" s="13">
        <f>N114*VLOOKUP('Données projet'!$B$9,Paramètres!$A$1:$I$89,3,0)*VLOOKUP('Données projet'!$B$9,Paramètres!$A$1:$I$89,5,0)</f>
        <v>8.9119112089974823E-14</v>
      </c>
      <c r="P114" s="13">
        <f t="shared" si="87"/>
        <v>1.3568952080113142E-12</v>
      </c>
      <c r="Q114" s="20">
        <f t="shared" si="107"/>
        <v>2.5184749408430782E-12</v>
      </c>
      <c r="R114" s="59">
        <f t="shared" si="55"/>
        <v>293.33333333333582</v>
      </c>
      <c r="S114" s="59">
        <f ca="1">AVERAGE(OFFSET($R$3,0,0,'Données projet'!$E$9+1,1))-AVERAGE(OFFSET($H$3,0,0,'Données projet'!$E$9+1,1))</f>
        <v>225.9892575177542</v>
      </c>
      <c r="T114" s="59">
        <f t="shared" si="88"/>
        <v>215.88467215650428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14.315054861517124</v>
      </c>
      <c r="AA114" s="21">
        <f>EXP(-LN(2)/25)*AA113+(1-EXP(-LN(2)/25))/(LN(2)/25)*Calculateur!V114*Calculateur!X114*VLOOKUP('Données projet'!$B$9,Paramètres!$A$1:$I$89,3,0)*0.475*44/12</f>
        <v>33.500359234465954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47.81541409598308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8.8449999999999989</v>
      </c>
      <c r="AI114" s="13">
        <f>IF('Données projet'!$A$62&gt;35,AI113+AH114-AQ113,IF(A114&lt;'Données projet'!$A$62,$AF$205^A114,IF(A114='Données projet'!$A$62,'Données projet'!$B$62,AI113+AH114-AQ113)))</f>
        <v>398.02500000000066</v>
      </c>
      <c r="AJ114" s="13">
        <f>AI114*VLOOKUP('Données projet'!$B$10,Paramètres!$A$1:$I$89,3,0)*VLOOKUP('Données projet'!$B$10,Paramètres!$A$1:$I$89,5,0)</f>
        <v>403.59735000000074</v>
      </c>
      <c r="AK114" s="13">
        <f t="shared" si="89"/>
        <v>92.505592268354718</v>
      </c>
      <c r="AL114" s="20">
        <f t="shared" si="58"/>
        <v>864.04595778405246</v>
      </c>
      <c r="AM114" s="59">
        <f t="shared" si="59"/>
        <v>1157.3792911173857</v>
      </c>
      <c r="AN114" s="59">
        <f ca="1">AVERAGE(OFFSET($AM$3,0,0,'Données projet'!$E$10+1,1))-AVERAGE(OFFSET($H$3,0,0,'Données projet'!$E$10+1,1))</f>
        <v>644.15138437063933</v>
      </c>
      <c r="AO114" s="59">
        <f t="shared" si="90"/>
        <v>289.3097279858207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32.288421359537601</v>
      </c>
      <c r="AV114" s="21">
        <f>EXP(-LN(2)/25)*AV113+(1-EXP(-LN(2)/25))/(LN(2)/25)*Calculateur!AQ114*Calculateur!AS114*VLOOKUP('Données projet'!$B$10,Paramètres!$A$1:$I$89,3,0)*0.475*44/12</f>
        <v>24.943226055085095</v>
      </c>
      <c r="AW114" s="21">
        <f>EXP(-LN(2)/2)*AW113+(1-EXP(-LN(2)/2))/(LN(2)/2)*AQ114*AT114*VLOOKUP('Données projet'!$B$10,Paramètres!$A$1:$I$89,3,0)*0.475*44/12</f>
        <v>0.57724883188322096</v>
      </c>
      <c r="AX114" s="21">
        <f t="shared" si="60"/>
        <v>57.808896246505924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8.8449999999999989</v>
      </c>
      <c r="BD114" s="12">
        <f>IF('Données projet'!$A$88&gt;35,BD113+BC114-BL113,IF(A114&lt;'Données projet'!$A$88,$BA$205^A114,IF(A114='Données projet'!$A$88,'Données projet'!$B$88,BD113+BC114-BL113)))</f>
        <v>398.02500000000066</v>
      </c>
      <c r="BE114" s="13">
        <f>BD114*VLOOKUP('Données projet'!$B$11,Paramètres!$A$1:$I$89,3,0)*VLOOKUP('Données projet'!$B$11,Paramètres!$A$1:$I$89,5,0)</f>
        <v>360.13302000000061</v>
      </c>
      <c r="BF114" s="13">
        <f t="shared" si="91"/>
        <v>83.645526906767415</v>
      </c>
      <c r="BG114" s="20">
        <f t="shared" si="61"/>
        <v>772.91430252928774</v>
      </c>
      <c r="BH114" s="59">
        <f t="shared" si="62"/>
        <v>1066.2476358626211</v>
      </c>
      <c r="BI114" s="59">
        <f ca="1">AVERAGE(OFFSET($BH$3,0,0,'Données projet'!$E$11+1,1))-AVERAGE(OFFSET($H$3,0,0,'Données projet'!$E$11+1,1))</f>
        <v>573.17174498173017</v>
      </c>
      <c r="BJ114" s="59">
        <f t="shared" si="92"/>
        <v>260.48854096157231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28.811206751587406</v>
      </c>
      <c r="BQ114" s="21">
        <f>EXP(-LN(2)/25)*BQ113+(1-EXP(-LN(2)/25))/(LN(2)/25)*Calculateur!BL114*Calculateur!BN114*VLOOKUP('Données projet'!$B$11,Paramètres!$A$1:$I$89,3,0)*0.475*44/12</f>
        <v>22.257032479922085</v>
      </c>
      <c r="BR114" s="21">
        <f>EXP(-LN(2)/2)*BR113+(1-EXP(-LN(2)/2))/(LN(2)/2)*BL114*BO114*VLOOKUP('Données projet'!$B$11,Paramètres!$A$1:$I$89,3,0)*0.475*44/12</f>
        <v>0.51508357306502783</v>
      </c>
      <c r="BS114" s="22">
        <f t="shared" si="63"/>
        <v>51.583322804574522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8.8449999999999989</v>
      </c>
      <c r="BY114" s="12">
        <f>IF('Données projet'!$A$114&gt;35,BY113+BX114-CG113,IF(A114&lt;'Données projet'!$A$114,$BV$205^A114,IF(A114='Données projet'!$A$114,'Données projet'!$B$114,BY113+BX114-CG113)))</f>
        <v>398.02500000000066</v>
      </c>
      <c r="BZ114" s="13">
        <f>BY114*VLOOKUP('Données projet'!$B$12,Paramètres!$A$1:$I$89,3,0)*VLOOKUP('Données projet'!$B$12,Paramètres!$A$1:$I$89,5,0)</f>
        <v>378.76059000000066</v>
      </c>
      <c r="CA114" s="13">
        <f t="shared" si="93"/>
        <v>87.457123344920589</v>
      </c>
      <c r="CB114" s="20">
        <f t="shared" si="64"/>
        <v>811.9958507424044</v>
      </c>
      <c r="CC114" s="59">
        <f t="shared" si="65"/>
        <v>1105.3291840757377</v>
      </c>
      <c r="CD114" s="59">
        <f ca="1">AVERAGE(OFFSET($CC$3,0,0,'Données projet'!$E$12+1,1))-AVERAGE(OFFSET($H$3,0,0,'Données projet'!$E$12+1,1))</f>
        <v>603.61135046904178</v>
      </c>
      <c r="CE114" s="59">
        <f t="shared" si="94"/>
        <v>272.84936867513068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30.301441583566067</v>
      </c>
      <c r="CL114" s="21">
        <f>EXP(-LN(2)/25)*CL113+(1-EXP(-LN(2)/25))/(LN(2)/25)*Calculateur!CG114*Calculateur!CI114*VLOOKUP('Données projet'!$B$12,Paramètres!$A$1:$I$89,3,0)*0.475*44/12</f>
        <v>23.408258297849081</v>
      </c>
      <c r="CM114" s="21">
        <f>EXP(-LN(2)/2)*CM113+(1-EXP(-LN(2)/2))/(LN(2)/2)*CG114*CJ114*VLOOKUP('Données projet'!$B$12,Paramètres!$A$1:$I$89,3,0)*0.475*44/12</f>
        <v>0.54172582684425352</v>
      </c>
      <c r="CN114" s="22">
        <f t="shared" si="66"/>
        <v>54.251425708259404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33.633600000000001</v>
      </c>
      <c r="D115" s="11">
        <f t="shared" si="86"/>
        <v>10.294588731082687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186.50213461266685</v>
      </c>
      <c r="H115" s="67">
        <f t="shared" si="56"/>
        <v>333.17492870663568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8.5265128291212022E-14</v>
      </c>
      <c r="O115" s="13">
        <f>N115*VLOOKUP('Données projet'!$B$9,Paramètres!$A$1:$I$89,3,0)*VLOOKUP('Données projet'!$B$9,Paramètres!$A$1:$I$89,5,0)</f>
        <v>8.9119112089974823E-14</v>
      </c>
      <c r="P115" s="13">
        <f t="shared" si="87"/>
        <v>1.3568952080113142E-12</v>
      </c>
      <c r="Q115" s="20">
        <f t="shared" si="107"/>
        <v>2.5184749408430782E-12</v>
      </c>
      <c r="R115" s="59">
        <f t="shared" si="55"/>
        <v>293.33333333333582</v>
      </c>
      <c r="S115" s="59">
        <f ca="1">AVERAGE(OFFSET($R$3,0,0,'Données projet'!$E$9+1,1))-AVERAGE(OFFSET($H$3,0,0,'Données projet'!$E$9+1,1))</f>
        <v>225.9892575177542</v>
      </c>
      <c r="T115" s="59">
        <f t="shared" si="88"/>
        <v>215.88467215650428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14.034345367004093</v>
      </c>
      <c r="AA115" s="21">
        <f>EXP(-LN(2)/25)*AA114+(1-EXP(-LN(2)/25))/(LN(2)/25)*Calculateur!V115*Calculateur!X115*VLOOKUP('Données projet'!$B$9,Paramètres!$A$1:$I$89,3,0)*0.475*44/12</f>
        <v>32.584290149492155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46.618635516496248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8.8449999999999989</v>
      </c>
      <c r="AI115" s="13">
        <f>IF('Données projet'!$A$62&gt;35,AI114+AH115-AQ114,IF(A115&lt;'Données projet'!$A$62,$AF$205^A115,IF(A115='Données projet'!$A$62,'Données projet'!$B$62,AI114+AH115-AQ114)))</f>
        <v>406.87000000000069</v>
      </c>
      <c r="AJ115" s="13">
        <f>AI115*VLOOKUP('Données projet'!$B$10,Paramètres!$A$1:$I$89,3,0)*VLOOKUP('Données projet'!$B$10,Paramètres!$A$1:$I$89,5,0)</f>
        <v>412.56618000000077</v>
      </c>
      <c r="AK115" s="13">
        <f t="shared" si="89"/>
        <v>94.319660957344354</v>
      </c>
      <c r="AL115" s="20">
        <f t="shared" si="58"/>
        <v>882.82617300070933</v>
      </c>
      <c r="AM115" s="59">
        <f t="shared" si="59"/>
        <v>1176.1595063340426</v>
      </c>
      <c r="AN115" s="59">
        <f ca="1">AVERAGE(OFFSET($AM$3,0,0,'Données projet'!$E$10+1,1))-AVERAGE(OFFSET($H$3,0,0,'Données projet'!$E$10+1,1))</f>
        <v>644.15138437063933</v>
      </c>
      <c r="AO115" s="59">
        <f t="shared" si="90"/>
        <v>289.3097279858207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31.655265110669479</v>
      </c>
      <c r="AV115" s="21">
        <f>EXP(-LN(2)/25)*AV114+(1-EXP(-LN(2)/25))/(LN(2)/25)*Calculateur!AQ115*Calculateur!AS115*VLOOKUP('Données projet'!$B$10,Paramètres!$A$1:$I$89,3,0)*0.475*44/12</f>
        <v>24.261152226901544</v>
      </c>
      <c r="AW115" s="21">
        <f>EXP(-LN(2)/2)*AW114+(1-EXP(-LN(2)/2))/(LN(2)/2)*AQ115*AT115*VLOOKUP('Données projet'!$B$10,Paramètres!$A$1:$I$89,3,0)*0.475*44/12</f>
        <v>0.40817656345663889</v>
      </c>
      <c r="AX115" s="21">
        <f t="shared" si="60"/>
        <v>56.324593901027662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8.8449999999999989</v>
      </c>
      <c r="BD115" s="12">
        <f>IF('Données projet'!$A$88&gt;35,BD114+BC115-BL114,IF(A115&lt;'Données projet'!$A$88,$BA$205^A115,IF(A115='Données projet'!$A$88,'Données projet'!$B$88,BD114+BC115-BL114)))</f>
        <v>406.87000000000069</v>
      </c>
      <c r="BE115" s="13">
        <f>BD115*VLOOKUP('Données projet'!$B$11,Paramètres!$A$1:$I$89,3,0)*VLOOKUP('Données projet'!$B$11,Paramètres!$A$1:$I$89,5,0)</f>
        <v>368.1359760000006</v>
      </c>
      <c r="BF115" s="13">
        <f t="shared" si="91"/>
        <v>85.285846455183602</v>
      </c>
      <c r="BG115" s="20">
        <f t="shared" si="61"/>
        <v>789.70967410944593</v>
      </c>
      <c r="BH115" s="59">
        <f t="shared" si="62"/>
        <v>1083.0430074427793</v>
      </c>
      <c r="BI115" s="59">
        <f ca="1">AVERAGE(OFFSET($BH$3,0,0,'Données projet'!$E$11+1,1))-AVERAGE(OFFSET($H$3,0,0,'Données projet'!$E$11+1,1))</f>
        <v>573.17174498173017</v>
      </c>
      <c r="BJ115" s="59">
        <f t="shared" si="92"/>
        <v>260.48854096157231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28.246236560289695</v>
      </c>
      <c r="BQ115" s="21">
        <f>EXP(-LN(2)/25)*BQ114+(1-EXP(-LN(2)/25))/(LN(2)/25)*Calculateur!BL115*Calculateur!BN115*VLOOKUP('Données projet'!$B$11,Paramètres!$A$1:$I$89,3,0)*0.475*44/12</f>
        <v>21.648412756312148</v>
      </c>
      <c r="BR115" s="21">
        <f>EXP(-LN(2)/2)*BR114+(1-EXP(-LN(2)/2))/(LN(2)/2)*BL115*BO115*VLOOKUP('Données projet'!$B$11,Paramètres!$A$1:$I$89,3,0)*0.475*44/12</f>
        <v>0.3642190873920777</v>
      </c>
      <c r="BS115" s="22">
        <f t="shared" si="63"/>
        <v>50.258868403993922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8.8449999999999989</v>
      </c>
      <c r="BY115" s="12">
        <f>IF('Données projet'!$A$114&gt;35,BY114+BX115-CG114,IF(A115&lt;'Données projet'!$A$114,$BV$205^A115,IF(A115='Données projet'!$A$114,'Données projet'!$B$114,BY114+BX115-CG114)))</f>
        <v>406.87000000000069</v>
      </c>
      <c r="BZ115" s="13">
        <f>BY115*VLOOKUP('Données projet'!$B$12,Paramètres!$A$1:$I$89,3,0)*VLOOKUP('Données projet'!$B$12,Paramètres!$A$1:$I$89,5,0)</f>
        <v>387.17749200000065</v>
      </c>
      <c r="CA115" s="13">
        <f t="shared" si="93"/>
        <v>89.172189701437333</v>
      </c>
      <c r="CB115" s="20">
        <f t="shared" si="64"/>
        <v>829.64236229667119</v>
      </c>
      <c r="CC115" s="59">
        <f t="shared" si="65"/>
        <v>1122.9756956300046</v>
      </c>
      <c r="CD115" s="59">
        <f ca="1">AVERAGE(OFFSET($CC$3,0,0,'Données projet'!$E$12+1,1))-AVERAGE(OFFSET($H$3,0,0,'Données projet'!$E$12+1,1))</f>
        <v>603.61135046904178</v>
      </c>
      <c r="CE115" s="59">
        <f t="shared" si="94"/>
        <v>272.84936867513068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29.707248796166752</v>
      </c>
      <c r="CL115" s="21">
        <f>EXP(-LN(2)/25)*CL114+(1-EXP(-LN(2)/25))/(LN(2)/25)*Calculateur!CG115*Calculateur!CI115*VLOOKUP('Données projet'!$B$12,Paramètres!$A$1:$I$89,3,0)*0.475*44/12</f>
        <v>22.768158243707592</v>
      </c>
      <c r="CM115" s="21">
        <f>EXP(-LN(2)/2)*CM114+(1-EXP(-LN(2)/2))/(LN(2)/2)*CG115*CJ115*VLOOKUP('Données projet'!$B$12,Paramètres!$A$1:$I$89,3,0)*0.475*44/12</f>
        <v>0.38305800570546111</v>
      </c>
      <c r="CN115" s="22">
        <f t="shared" si="66"/>
        <v>52.858465045579806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33.933900000000001</v>
      </c>
      <c r="D116" s="11">
        <f t="shared" si="86"/>
        <v>10.375763618652767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188.12172974936792</v>
      </c>
      <c r="H116" s="67">
        <f t="shared" si="56"/>
        <v>333.83933080248693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8.5265128291212022E-14</v>
      </c>
      <c r="O116" s="13">
        <f>N116*VLOOKUP('Données projet'!$B$9,Paramètres!$A$1:$I$89,3,0)*VLOOKUP('Données projet'!$B$9,Paramètres!$A$1:$I$89,5,0)</f>
        <v>8.9119112089974823E-14</v>
      </c>
      <c r="P116" s="13">
        <f t="shared" si="87"/>
        <v>1.3568952080113142E-12</v>
      </c>
      <c r="Q116" s="20">
        <f t="shared" si="107"/>
        <v>2.5184749408430782E-12</v>
      </c>
      <c r="R116" s="59">
        <f t="shared" si="55"/>
        <v>293.33333333333582</v>
      </c>
      <c r="S116" s="59">
        <f ca="1">AVERAGE(OFFSET($R$3,0,0,'Données projet'!$E$9+1,1))-AVERAGE(OFFSET($H$3,0,0,'Données projet'!$E$9+1,1))</f>
        <v>225.9892575177542</v>
      </c>
      <c r="T116" s="59">
        <f t="shared" si="88"/>
        <v>215.88467215650428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13.759140414462577</v>
      </c>
      <c r="AA116" s="21">
        <f>EXP(-LN(2)/25)*AA115+(1-EXP(-LN(2)/25))/(LN(2)/25)*Calculateur!V116*Calculateur!X116*VLOOKUP('Données projet'!$B$9,Paramètres!$A$1:$I$89,3,0)*0.475*44/12</f>
        <v>31.693271021820944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45.452411436283519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8.8449999999999989</v>
      </c>
      <c r="AI116" s="13">
        <f>IF('Données projet'!$A$62&gt;35,AI115+AH116-AQ115,IF(A116&lt;'Données projet'!$A$62,$AF$205^A116,IF(A116='Données projet'!$A$62,'Données projet'!$B$62,AI115+AH116-AQ115)))</f>
        <v>415.71500000000071</v>
      </c>
      <c r="AJ116" s="13">
        <f>AI116*VLOOKUP('Données projet'!$B$10,Paramètres!$A$1:$I$89,3,0)*VLOOKUP('Données projet'!$B$10,Paramètres!$A$1:$I$89,5,0)</f>
        <v>421.5350100000008</v>
      </c>
      <c r="AK116" s="13">
        <f t="shared" si="89"/>
        <v>96.129144685048502</v>
      </c>
      <c r="AL116" s="20">
        <f t="shared" si="58"/>
        <v>901.59840274312739</v>
      </c>
      <c r="AM116" s="59">
        <f t="shared" si="59"/>
        <v>1194.9317360764608</v>
      </c>
      <c r="AN116" s="59">
        <f ca="1">AVERAGE(OFFSET($AM$3,0,0,'Données projet'!$E$10+1,1))-AVERAGE(OFFSET($H$3,0,0,'Données projet'!$E$10+1,1))</f>
        <v>644.15138437063933</v>
      </c>
      <c r="AO116" s="59">
        <f t="shared" si="90"/>
        <v>289.3097279858207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31.034524669654481</v>
      </c>
      <c r="AV116" s="21">
        <f>EXP(-LN(2)/25)*AV115+(1-EXP(-LN(2)/25))/(LN(2)/25)*Calculateur!AQ116*Calculateur!AS116*VLOOKUP('Données projet'!$B$10,Paramètres!$A$1:$I$89,3,0)*0.475*44/12</f>
        <v>23.597729743418377</v>
      </c>
      <c r="AW116" s="21">
        <f>EXP(-LN(2)/2)*AW115+(1-EXP(-LN(2)/2))/(LN(2)/2)*AQ116*AT116*VLOOKUP('Données projet'!$B$10,Paramètres!$A$1:$I$89,3,0)*0.475*44/12</f>
        <v>0.28862441594161048</v>
      </c>
      <c r="AX116" s="21">
        <f t="shared" si="60"/>
        <v>54.92087882901447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8.8449999999999989</v>
      </c>
      <c r="BD116" s="12">
        <f>IF('Données projet'!$A$88&gt;35,BD115+BC116-BL115,IF(A116&lt;'Données projet'!$A$88,$BA$205^A116,IF(A116='Données projet'!$A$88,'Données projet'!$B$88,BD115+BC116-BL115)))</f>
        <v>415.71500000000071</v>
      </c>
      <c r="BE116" s="13">
        <f>BD116*VLOOKUP('Données projet'!$B$11,Paramètres!$A$1:$I$89,3,0)*VLOOKUP('Données projet'!$B$11,Paramètres!$A$1:$I$89,5,0)</f>
        <v>376.13893200000064</v>
      </c>
      <c r="BF116" s="13">
        <f t="shared" si="91"/>
        <v>86.922020183945492</v>
      </c>
      <c r="BG116" s="20">
        <f t="shared" si="61"/>
        <v>806.49782505370615</v>
      </c>
      <c r="BH116" s="59">
        <f t="shared" si="62"/>
        <v>1099.8311583870395</v>
      </c>
      <c r="BI116" s="59">
        <f ca="1">AVERAGE(OFFSET($BH$3,0,0,'Données projet'!$E$11+1,1))-AVERAGE(OFFSET($H$3,0,0,'Données projet'!$E$11+1,1))</f>
        <v>573.17174498173017</v>
      </c>
      <c r="BJ116" s="59">
        <f t="shared" si="92"/>
        <v>260.48854096157231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27.692345089845542</v>
      </c>
      <c r="BQ116" s="21">
        <f>EXP(-LN(2)/25)*BQ115+(1-EXP(-LN(2)/25))/(LN(2)/25)*Calculateur!BL116*Calculateur!BN116*VLOOKUP('Données projet'!$B$11,Paramètres!$A$1:$I$89,3,0)*0.475*44/12</f>
        <v>21.056435771050243</v>
      </c>
      <c r="BR116" s="21">
        <f>EXP(-LN(2)/2)*BR115+(1-EXP(-LN(2)/2))/(LN(2)/2)*BL116*BO116*VLOOKUP('Données projet'!$B$11,Paramètres!$A$1:$I$89,3,0)*0.475*44/12</f>
        <v>0.25754178653251392</v>
      </c>
      <c r="BS116" s="22">
        <f t="shared" si="63"/>
        <v>49.006322647428298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8.8449999999999989</v>
      </c>
      <c r="BY116" s="12">
        <f>IF('Données projet'!$A$114&gt;35,BY115+BX116-CG115,IF(A116&lt;'Données projet'!$A$114,$BV$205^A116,IF(A116='Données projet'!$A$114,'Données projet'!$B$114,BY115+BX116-CG115)))</f>
        <v>415.71500000000071</v>
      </c>
      <c r="BZ116" s="13">
        <f>BY116*VLOOKUP('Données projet'!$B$12,Paramètres!$A$1:$I$89,3,0)*VLOOKUP('Données projet'!$B$12,Paramètres!$A$1:$I$89,5,0)</f>
        <v>395.5943940000007</v>
      </c>
      <c r="CA116" s="13">
        <f t="shared" si="93"/>
        <v>90.882921319752683</v>
      </c>
      <c r="CB116" s="20">
        <f t="shared" si="64"/>
        <v>847.28132418190387</v>
      </c>
      <c r="CC116" s="59">
        <f t="shared" si="65"/>
        <v>1140.6146575152372</v>
      </c>
      <c r="CD116" s="59">
        <f ca="1">AVERAGE(OFFSET($CC$3,0,0,'Données projet'!$E$12+1,1))-AVERAGE(OFFSET($H$3,0,0,'Données projet'!$E$12+1,1))</f>
        <v>603.61135046904178</v>
      </c>
      <c r="CE116" s="59">
        <f t="shared" si="94"/>
        <v>272.84936867513068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29.124707766906521</v>
      </c>
      <c r="CL116" s="21">
        <f>EXP(-LN(2)/25)*CL115+(1-EXP(-LN(2)/25))/(LN(2)/25)*Calculateur!CG116*Calculateur!CI116*VLOOKUP('Données projet'!$B$12,Paramètres!$A$1:$I$89,3,0)*0.475*44/12</f>
        <v>22.145561759208004</v>
      </c>
      <c r="CM116" s="21">
        <f>EXP(-LN(2)/2)*CM115+(1-EXP(-LN(2)/2))/(LN(2)/2)*CG116*CJ116*VLOOKUP('Données projet'!$B$12,Paramètres!$A$1:$I$89,3,0)*0.475*44/12</f>
        <v>0.27086291342212676</v>
      </c>
      <c r="CN116" s="22">
        <f t="shared" si="66"/>
        <v>51.541132439536653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34.234200000000001</v>
      </c>
      <c r="D117" s="11">
        <f t="shared" si="86"/>
        <v>10.456854930803093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189.74097005709385</v>
      </c>
      <c r="H117" s="67">
        <f t="shared" si="56"/>
        <v>334.50358733781542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8.5265128291212022E-14</v>
      </c>
      <c r="O117" s="13">
        <f>N117*VLOOKUP('Données projet'!$B$9,Paramètres!$A$1:$I$89,3,0)*VLOOKUP('Données projet'!$B$9,Paramètres!$A$1:$I$89,5,0)</f>
        <v>8.9119112089974823E-14</v>
      </c>
      <c r="P117" s="13">
        <f t="shared" si="87"/>
        <v>1.3568952080113142E-12</v>
      </c>
      <c r="Q117" s="20">
        <f t="shared" si="107"/>
        <v>2.5184749408430782E-12</v>
      </c>
      <c r="R117" s="59">
        <f t="shared" si="55"/>
        <v>293.33333333333582</v>
      </c>
      <c r="S117" s="59">
        <f ca="1">AVERAGE(OFFSET($R$3,0,0,'Données projet'!$E$9+1,1))-AVERAGE(OFFSET($H$3,0,0,'Données projet'!$E$9+1,1))</f>
        <v>225.9892575177542</v>
      </c>
      <c r="T117" s="59">
        <f t="shared" si="88"/>
        <v>215.88467215650428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13.489332063181953</v>
      </c>
      <c r="AA117" s="21">
        <f>EXP(-LN(2)/25)*AA116+(1-EXP(-LN(2)/25))/(LN(2)/25)*Calculateur!V117*Calculateur!X117*VLOOKUP('Données projet'!$B$9,Paramètres!$A$1:$I$89,3,0)*0.475*44/12</f>
        <v>30.826616859052564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44.315948922234519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8.8449999999999989</v>
      </c>
      <c r="AH117" s="12">
        <f t="array" ref="AH117">INDEX(AG:AG,MIN(IF(ISNUMBER(AG117:AG313),ROW(AG117:AG313),"")))</f>
        <v>8.8449999999999989</v>
      </c>
      <c r="AI117" s="13">
        <f>IF('Données projet'!$A$62&gt;35,AI116+AH117-AQ116,IF(A117&lt;'Données projet'!$A$62,$AF$205^A117,IF(A117='Données projet'!$A$62,'Données projet'!$B$62,AI116+AH117-AQ116)))</f>
        <v>424.56000000000074</v>
      </c>
      <c r="AJ117" s="13">
        <f>AI117*VLOOKUP('Données projet'!$B$10,Paramètres!$A$1:$I$89,3,0)*VLOOKUP('Données projet'!$B$10,Paramètres!$A$1:$I$89,5,0)</f>
        <v>430.50384000000082</v>
      </c>
      <c r="AK117" s="13">
        <f t="shared" si="89"/>
        <v>97.934152240758081</v>
      </c>
      <c r="AL117" s="20">
        <f t="shared" si="58"/>
        <v>920.3628364859884</v>
      </c>
      <c r="AM117" s="59">
        <f t="shared" si="59"/>
        <v>1213.6961698193218</v>
      </c>
      <c r="AN117" s="59">
        <f ca="1">AVERAGE(OFFSET($AM$3,0,0,'Données projet'!$E$10+1,1))-AVERAGE(OFFSET($H$3,0,0,'Données projet'!$E$10+1,1))</f>
        <v>644.15138437063933</v>
      </c>
      <c r="AO117" s="59">
        <f t="shared" si="90"/>
        <v>289.3097279858207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61.860000000000014</v>
      </c>
      <c r="AR117" s="16">
        <f>IF(ISNA(VLOOKUP(A117,'Données projet'!$A$61:$I$81,5,0)),0%,VLOOKUP(A117,'Données projet'!$A$61:$I$81,5,0)*VLOOKUP('Données projet'!$B$10,Paramètres!$A$1:$I$89,7,0))</f>
        <v>0.15049999999999999</v>
      </c>
      <c r="AS117" s="16">
        <f>IF(ISNA(VLOOKUP(A117,'Données projet'!$A$61:$I$81,6,0)),0%,VLOOKUP(A117,'Données projet'!$A$61:$I$81,6,0)*VLOOKUP('Données projet'!$B$10,Paramètres!$A$1:$I$89,7,0))</f>
        <v>8.6000000000000007E-2</v>
      </c>
      <c r="AT117" s="16">
        <f>IF(ISNA(VLOOKUP(A117,'Données projet'!$A$61:$I$81,7,0)),0%,VLOOKUP(A117,'Données projet'!$A$61:$I$81,7,0))</f>
        <v>0.1</v>
      </c>
      <c r="AU117" s="21">
        <f>EXP(-LN(2)/35)*AU116+(1-EXP(-LN(2)/35))/(LN(2)/35)*AQ117*AR117*VLOOKUP('Données projet'!$B$10,Paramètres!$A$1:$I$89,3,0)*0.475*44/12</f>
        <v>40.861894346506055</v>
      </c>
      <c r="AV117" s="21">
        <f>EXP(-LN(2)/25)*AV116+(1-EXP(-LN(2)/25))/(LN(2)/25)*Calculateur!AQ117*Calculateur!AS117*VLOOKUP('Données projet'!$B$10,Paramètres!$A$1:$I$89,3,0)*0.475*44/12</f>
        <v>28.892361447206902</v>
      </c>
      <c r="AW117" s="21">
        <f>EXP(-LN(2)/2)*AW116+(1-EXP(-LN(2)/2))/(LN(2)/2)*AQ117*AT117*VLOOKUP('Données projet'!$B$10,Paramètres!$A$1:$I$89,3,0)*0.475*44/12</f>
        <v>6.1224589803897382</v>
      </c>
      <c r="AX117" s="21">
        <f t="shared" si="60"/>
        <v>75.876714774102695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424.56</v>
      </c>
      <c r="BB117" s="12">
        <f>VLOOKUP(A117,'Données projet'!$A$87:$I$107,9,0)</f>
        <v>8.8449999999999989</v>
      </c>
      <c r="BC117" s="12">
        <f t="array" ref="BC117">INDEX(BB:BB,MIN(IF(ISNUMBER(BB117:BB313),ROW(BB117:BB313),"")))</f>
        <v>8.8449999999999989</v>
      </c>
      <c r="BD117" s="12">
        <f>IF('Données projet'!$A$88&gt;35,BD116+BC117-BL116,IF(A117&lt;'Données projet'!$A$88,$BA$205^A117,IF(A117='Données projet'!$A$88,'Données projet'!$B$88,BD116+BC117-BL116)))</f>
        <v>424.56000000000074</v>
      </c>
      <c r="BE117" s="13">
        <f>BD117*VLOOKUP('Données projet'!$B$11,Paramètres!$A$1:$I$89,3,0)*VLOOKUP('Données projet'!$B$11,Paramètres!$A$1:$I$89,5,0)</f>
        <v>384.14188800000068</v>
      </c>
      <c r="BF117" s="13">
        <f t="shared" si="91"/>
        <v>88.554146462646884</v>
      </c>
      <c r="BG117" s="20">
        <f t="shared" si="61"/>
        <v>823.27892668911102</v>
      </c>
      <c r="BH117" s="59">
        <f t="shared" si="62"/>
        <v>1116.6122600224444</v>
      </c>
      <c r="BI117" s="59">
        <f ca="1">AVERAGE(OFFSET($BH$3,0,0,'Données projet'!$E$11+1,1))-AVERAGE(OFFSET($H$3,0,0,'Données projet'!$E$11+1,1))</f>
        <v>573.17174498173017</v>
      </c>
      <c r="BJ117" s="59">
        <f t="shared" si="92"/>
        <v>260.48854096157231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61.860000000000014</v>
      </c>
      <c r="BM117" s="16">
        <f>IF(ISNA(VLOOKUP(A117,'Données projet'!$A$87:$I$107,5,0)),0%,VLOOKUP(A117,'Données projet'!$A$87:$I$107,5,0)*VLOOKUP('Données projet'!$B$11,Paramètres!$A$1:$I$89,7,0))</f>
        <v>0.15049999999999999</v>
      </c>
      <c r="BN117" s="16">
        <f>IF(ISNA(VLOOKUP(A117,'Données projet'!$A$87:$I$107,6,0)),0%,VLOOKUP(A117,'Données projet'!$A$87:$I$107,6,0)*VLOOKUP('Données projet'!$B$11,Paramètres!$A$1:$I$89,7,0))</f>
        <v>8.6000000000000007E-2</v>
      </c>
      <c r="BO117" s="16">
        <f>IF(ISNA(VLOOKUP(A117,'Données projet'!$A$87:$I$107,7,0)),0%,VLOOKUP(A117,'Données projet'!$A$87:$I$107,7,0))</f>
        <v>0.1</v>
      </c>
      <c r="BP117" s="21">
        <f>EXP(-LN(2)/35)*BP116+(1-EXP(-LN(2)/35))/(LN(2)/35)*BL117*BM117*VLOOKUP('Données projet'!$B$11,Paramètres!$A$1:$I$89,3,0)*0.475*44/12</f>
        <v>36.461382647651561</v>
      </c>
      <c r="BQ117" s="21">
        <f>EXP(-LN(2)/25)*BQ116+(1-EXP(-LN(2)/25))/(LN(2)/25)*Calculateur!BL117*Calculateur!BN117*VLOOKUP('Données projet'!$B$11,Paramètres!$A$1:$I$89,3,0)*0.475*44/12</f>
        <v>25.780876368276925</v>
      </c>
      <c r="BR117" s="21">
        <f>EXP(-LN(2)/2)*BR116+(1-EXP(-LN(2)/2))/(LN(2)/2)*BL117*BO117*VLOOKUP('Données projet'!$B$11,Paramètres!$A$1:$I$89,3,0)*0.475*44/12</f>
        <v>5.4631172440400739</v>
      </c>
      <c r="BS117" s="22">
        <f t="shared" si="63"/>
        <v>67.70537625996856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424.56</v>
      </c>
      <c r="BW117" s="12">
        <f>VLOOKUP(A117,'Données projet'!$A$113:$I$133,9,0)</f>
        <v>8.8449999999999989</v>
      </c>
      <c r="BX117" s="12">
        <f t="array" ref="BX117">INDEX(BW:BW,MIN(IF(ISNUMBER(BW117:BW313),ROW(BW117:BW313),"")))</f>
        <v>8.8449999999999989</v>
      </c>
      <c r="BY117" s="12">
        <f>IF('Données projet'!$A$114&gt;35,BY116+BX117-CG116,IF(A117&lt;'Données projet'!$A$114,$BV$205^A117,IF(A117='Données projet'!$A$114,'Données projet'!$B$114,BY116+BX117-CG116)))</f>
        <v>424.56000000000074</v>
      </c>
      <c r="BZ117" s="13">
        <f>BY117*VLOOKUP('Données projet'!$B$12,Paramètres!$A$1:$I$89,3,0)*VLOOKUP('Données projet'!$B$12,Paramètres!$A$1:$I$89,5,0)</f>
        <v>404.01129600000075</v>
      </c>
      <c r="CA117" s="13">
        <f t="shared" si="93"/>
        <v>92.589421052009357</v>
      </c>
      <c r="CB117" s="20">
        <f t="shared" si="64"/>
        <v>864.91291553225085</v>
      </c>
      <c r="CC117" s="59">
        <f t="shared" si="65"/>
        <v>1158.2462488655842</v>
      </c>
      <c r="CD117" s="59">
        <f ca="1">AVERAGE(OFFSET($CC$3,0,0,'Données projet'!$E$12+1,1))-AVERAGE(OFFSET($H$3,0,0,'Données projet'!$E$12+1,1))</f>
        <v>603.61135046904178</v>
      </c>
      <c r="CE117" s="59">
        <f t="shared" si="94"/>
        <v>272.84936867513068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61.860000000000014</v>
      </c>
      <c r="CH117" s="16">
        <f>IF(ISNA(VLOOKUP(A117,'Données projet'!$A$113:$I$133,5,0)),0%,VLOOKUP(A117,'Données projet'!$A$113:$I$133,5,0)*VLOOKUP('Données projet'!$B$12,Paramètres!$A$1:$I$89,7,0))</f>
        <v>0.15049999999999999</v>
      </c>
      <c r="CI117" s="16">
        <f>IF(ISNA(VLOOKUP(A117,'Données projet'!$A$113:$I$133,6,0)),0%,VLOOKUP(A117,'Données projet'!$A$113:$I$133,6,0)*VLOOKUP('Données projet'!$B$12,Paramètres!$A$1:$I$89,7,0))</f>
        <v>8.6000000000000007E-2</v>
      </c>
      <c r="CJ117" s="16">
        <f>IF(ISNA(VLOOKUP(A117,'Données projet'!$A$113:$I$133,7,0)),0%,VLOOKUP(A117,'Données projet'!$A$113:$I$133,7,0))</f>
        <v>0.1</v>
      </c>
      <c r="CK117" s="21">
        <f>EXP(-LN(2)/35)*CK116+(1-EXP(-LN(2)/35))/(LN(2)/35)*CG117*CH117*VLOOKUP('Données projet'!$B$12,Paramètres!$A$1:$I$89,3,0)*0.475*44/12</f>
        <v>38.347316232874924</v>
      </c>
      <c r="CL117" s="21">
        <f>EXP(-LN(2)/25)*CL116+(1-EXP(-LN(2)/25))/(LN(2)/25)*Calculateur!CG117*Calculateur!CI117*VLOOKUP('Données projet'!$B$12,Paramètres!$A$1:$I$89,3,0)*0.475*44/12</f>
        <v>27.114369973532618</v>
      </c>
      <c r="CM117" s="21">
        <f>EXP(-LN(2)/2)*CM116+(1-EXP(-LN(2)/2))/(LN(2)/2)*CG117*CJ117*VLOOKUP('Données projet'!$B$12,Paramètres!$A$1:$I$89,3,0)*0.475*44/12</f>
        <v>5.745692273904214</v>
      </c>
      <c r="CN117" s="22">
        <f t="shared" si="66"/>
        <v>71.207378480311746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34.534500000000001</v>
      </c>
      <c r="D118" s="11">
        <f t="shared" si="86"/>
        <v>10.537863485589643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191.35985900899468</v>
      </c>
      <c r="H118" s="67">
        <f t="shared" si="56"/>
        <v>335.16769973740202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8.5265128291212022E-14</v>
      </c>
      <c r="O118" s="13">
        <f>N118*VLOOKUP('Données projet'!$B$9,Paramètres!$A$1:$I$89,3,0)*VLOOKUP('Données projet'!$B$9,Paramètres!$A$1:$I$89,5,0)</f>
        <v>8.9119112089974823E-14</v>
      </c>
      <c r="P118" s="13">
        <f t="shared" si="87"/>
        <v>1.3568952080113142E-12</v>
      </c>
      <c r="Q118" s="20">
        <f t="shared" si="107"/>
        <v>2.5184749408430782E-12</v>
      </c>
      <c r="R118" s="59">
        <f t="shared" si="55"/>
        <v>293.33333333333582</v>
      </c>
      <c r="S118" s="59">
        <f ca="1">AVERAGE(OFFSET($R$3,0,0,'Données projet'!$E$9+1,1))-AVERAGE(OFFSET($H$3,0,0,'Données projet'!$E$9+1,1))</f>
        <v>225.9892575177542</v>
      </c>
      <c r="T118" s="59">
        <f t="shared" si="88"/>
        <v>215.88467215650428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13.224814489103098</v>
      </c>
      <c r="AA118" s="21">
        <f>EXP(-LN(2)/25)*AA117+(1-EXP(-LN(2)/25))/(LN(2)/25)*Calculateur!V118*Calculateur!X118*VLOOKUP('Données projet'!$B$9,Paramètres!$A$1:$I$89,3,0)*0.475*44/12</f>
        <v>29.983661399940445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43.208475889043541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8.9160000000000021</v>
      </c>
      <c r="AI118" s="13">
        <f>IF('Données projet'!$A$62&gt;35,AI117+AH118-AQ117,IF(A118&lt;'Données projet'!$A$62,$AF$205^A118,IF(A118='Données projet'!$A$62,'Données projet'!$B$62,AI117+AH118-AQ117)))</f>
        <v>371.61600000000072</v>
      </c>
      <c r="AJ118" s="13">
        <f>AI118*VLOOKUP('Données projet'!$B$10,Paramètres!$A$1:$I$89,3,0)*VLOOKUP('Données projet'!$B$10,Paramètres!$A$1:$I$89,5,0)</f>
        <v>376.81862400000074</v>
      </c>
      <c r="AK118" s="13">
        <f t="shared" si="89"/>
        <v>87.06079278989921</v>
      </c>
      <c r="AL118" s="20">
        <f t="shared" si="58"/>
        <v>807.92331757574232</v>
      </c>
      <c r="AM118" s="59">
        <f t="shared" si="59"/>
        <v>1101.2566509090757</v>
      </c>
      <c r="AN118" s="59">
        <f ca="1">AVERAGE(OFFSET($AM$3,0,0,'Données projet'!$E$10+1,1))-AVERAGE(OFFSET($H$3,0,0,'Données projet'!$E$10+1,1))</f>
        <v>644.15138437063933</v>
      </c>
      <c r="AO118" s="59">
        <f t="shared" si="90"/>
        <v>289.3097279858207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40.060617521665655</v>
      </c>
      <c r="AV118" s="21">
        <f>EXP(-LN(2)/25)*AV117+(1-EXP(-LN(2)/25))/(LN(2)/25)*Calculateur!AQ118*Calculateur!AS118*VLOOKUP('Données projet'!$B$10,Paramètres!$A$1:$I$89,3,0)*0.475*44/12</f>
        <v>28.102298304049775</v>
      </c>
      <c r="AW118" s="21">
        <f>EXP(-LN(2)/2)*AW117+(1-EXP(-LN(2)/2))/(LN(2)/2)*AQ118*AT118*VLOOKUP('Données projet'!$B$10,Paramètres!$A$1:$I$89,3,0)*0.475*44/12</f>
        <v>4.3292322625700601</v>
      </c>
      <c r="AX118" s="21">
        <f t="shared" si="60"/>
        <v>72.492148088285489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8.9160000000000021</v>
      </c>
      <c r="BD118" s="12">
        <f>IF('Données projet'!$A$88&gt;35,BD117+BC118-BL117,IF(A118&lt;'Données projet'!$A$88,$BA$205^A118,IF(A118='Données projet'!$A$88,'Données projet'!$B$88,BD117+BC118-BL117)))</f>
        <v>371.61600000000072</v>
      </c>
      <c r="BE118" s="13">
        <f>BD118*VLOOKUP('Données projet'!$B$11,Paramètres!$A$1:$I$89,3,0)*VLOOKUP('Données projet'!$B$11,Paramètres!$A$1:$I$89,5,0)</f>
        <v>336.23815680000064</v>
      </c>
      <c r="BF118" s="13">
        <f t="shared" si="91"/>
        <v>78.722223243612518</v>
      </c>
      <c r="BG118" s="20">
        <f t="shared" si="61"/>
        <v>722.72266190929292</v>
      </c>
      <c r="BH118" s="59">
        <f t="shared" si="62"/>
        <v>1016.0559952426263</v>
      </c>
      <c r="BI118" s="59">
        <f ca="1">AVERAGE(OFFSET($BH$3,0,0,'Données projet'!$E$11+1,1))-AVERAGE(OFFSET($H$3,0,0,'Données projet'!$E$11+1,1))</f>
        <v>573.17174498173017</v>
      </c>
      <c r="BJ118" s="59">
        <f t="shared" si="92"/>
        <v>260.48854096157231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35.746397173178586</v>
      </c>
      <c r="BQ118" s="21">
        <f>EXP(-LN(2)/25)*BQ117+(1-EXP(-LN(2)/25))/(LN(2)/25)*Calculateur!BL118*Calculateur!BN118*VLOOKUP('Données projet'!$B$11,Paramètres!$A$1:$I$89,3,0)*0.475*44/12</f>
        <v>25.075896948229026</v>
      </c>
      <c r="BR118" s="21">
        <f>EXP(-LN(2)/2)*BR117+(1-EXP(-LN(2)/2))/(LN(2)/2)*BL118*BO118*VLOOKUP('Données projet'!$B$11,Paramètres!$A$1:$I$89,3,0)*0.475*44/12</f>
        <v>3.8630072496778993</v>
      </c>
      <c r="BS118" s="22">
        <f t="shared" si="63"/>
        <v>64.685301371085501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8.9160000000000021</v>
      </c>
      <c r="BY118" s="12">
        <f>IF('Données projet'!$A$114&gt;35,BY117+BX118-CG117,IF(A118&lt;'Données projet'!$A$114,$BV$205^A118,IF(A118='Données projet'!$A$114,'Données projet'!$B$114,BY117+BX118-CG117)))</f>
        <v>371.61600000000072</v>
      </c>
      <c r="BZ118" s="13">
        <f>BY118*VLOOKUP('Données projet'!$B$12,Paramètres!$A$1:$I$89,3,0)*VLOOKUP('Données projet'!$B$12,Paramètres!$A$1:$I$89,5,0)</f>
        <v>353.62978560000073</v>
      </c>
      <c r="CA118" s="13">
        <f t="shared" si="93"/>
        <v>82.309472398648566</v>
      </c>
      <c r="CB118" s="20">
        <f t="shared" si="64"/>
        <v>759.26087434764747</v>
      </c>
      <c r="CC118" s="59">
        <f t="shared" si="65"/>
        <v>1052.5942076809808</v>
      </c>
      <c r="CD118" s="59">
        <f ca="1">AVERAGE(OFFSET($CC$3,0,0,'Données projet'!$E$12+1,1))-AVERAGE(OFFSET($H$3,0,0,'Données projet'!$E$12+1,1))</f>
        <v>603.61135046904178</v>
      </c>
      <c r="CE118" s="59">
        <f t="shared" si="94"/>
        <v>272.84936867513068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37.595348751101625</v>
      </c>
      <c r="CL118" s="21">
        <f>EXP(-LN(2)/25)*CL117+(1-EXP(-LN(2)/25))/(LN(2)/25)*Calculateur!CG118*Calculateur!CI118*VLOOKUP('Données projet'!$B$12,Paramètres!$A$1:$I$89,3,0)*0.475*44/12</f>
        <v>26.372926100723621</v>
      </c>
      <c r="CM118" s="21">
        <f>EXP(-LN(2)/2)*CM117+(1-EXP(-LN(2)/2))/(LN(2)/2)*CG118*CJ118*VLOOKUP('Données projet'!$B$12,Paramètres!$A$1:$I$89,3,0)*0.475*44/12</f>
        <v>4.0628179694888242</v>
      </c>
      <c r="CN118" s="22">
        <f t="shared" si="66"/>
        <v>68.031092821314061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34.834800000000001</v>
      </c>
      <c r="D119" s="11">
        <f t="shared" si="86"/>
        <v>10.618790086020381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192.97840001433221</v>
      </c>
      <c r="H119" s="67">
        <f t="shared" si="56"/>
        <v>335.83166939981885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8.5265128291212022E-14</v>
      </c>
      <c r="O119" s="13">
        <f>N119*VLOOKUP('Données projet'!$B$9,Paramètres!$A$1:$I$89,3,0)*VLOOKUP('Données projet'!$B$9,Paramètres!$A$1:$I$89,5,0)</f>
        <v>8.9119112089974823E-14</v>
      </c>
      <c r="P119" s="13">
        <f t="shared" si="87"/>
        <v>1.3568952080113142E-12</v>
      </c>
      <c r="Q119" s="20">
        <f t="shared" si="107"/>
        <v>2.5184749408430782E-12</v>
      </c>
      <c r="R119" s="59">
        <f t="shared" si="55"/>
        <v>293.33333333333582</v>
      </c>
      <c r="S119" s="59">
        <f ca="1">AVERAGE(OFFSET($R$3,0,0,'Données projet'!$E$9+1,1))-AVERAGE(OFFSET($H$3,0,0,'Données projet'!$E$9+1,1))</f>
        <v>225.9892575177542</v>
      </c>
      <c r="T119" s="59">
        <f t="shared" si="88"/>
        <v>215.88467215650428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12.96548394331214</v>
      </c>
      <c r="AA119" s="21">
        <f>EXP(-LN(2)/25)*AA118+(1-EXP(-LN(2)/25))/(LN(2)/25)*Calculateur!V119*Calculateur!X119*VLOOKUP('Données projet'!$B$9,Paramètres!$A$1:$I$89,3,0)*0.475*44/12</f>
        <v>29.163756602186847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42.129240545498988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8.9160000000000021</v>
      </c>
      <c r="AI119" s="13">
        <f>IF('Données projet'!$A$62&gt;35,AI118+AH119-AQ118,IF(A119&lt;'Données projet'!$A$62,$AF$205^A119,IF(A119='Données projet'!$A$62,'Données projet'!$B$62,AI118+AH119-AQ118)))</f>
        <v>380.53200000000072</v>
      </c>
      <c r="AJ119" s="13">
        <f>AI119*VLOOKUP('Données projet'!$B$10,Paramètres!$A$1:$I$89,3,0)*VLOOKUP('Données projet'!$B$10,Paramètres!$A$1:$I$89,5,0)</f>
        <v>385.85944800000078</v>
      </c>
      <c r="AK119" s="13">
        <f t="shared" si="89"/>
        <v>88.903907976148645</v>
      </c>
      <c r="AL119" s="20">
        <f t="shared" si="58"/>
        <v>826.87951165846027</v>
      </c>
      <c r="AM119" s="59">
        <f t="shared" si="59"/>
        <v>1120.2128449917936</v>
      </c>
      <c r="AN119" s="59">
        <f ca="1">AVERAGE(OFFSET($AM$3,0,0,'Données projet'!$E$10+1,1))-AVERAGE(OFFSET($H$3,0,0,'Données projet'!$E$10+1,1))</f>
        <v>644.15138437063933</v>
      </c>
      <c r="AO119" s="59">
        <f t="shared" si="90"/>
        <v>289.3097279858207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39.275053246629767</v>
      </c>
      <c r="AV119" s="21">
        <f>EXP(-LN(2)/25)*AV118+(1-EXP(-LN(2)/25))/(LN(2)/25)*Calculateur!AQ119*Calculateur!AS119*VLOOKUP('Données projet'!$B$10,Paramètres!$A$1:$I$89,3,0)*0.475*44/12</f>
        <v>27.333839479089896</v>
      </c>
      <c r="AW119" s="21">
        <f>EXP(-LN(2)/2)*AW118+(1-EXP(-LN(2)/2))/(LN(2)/2)*AQ119*AT119*VLOOKUP('Données projet'!$B$10,Paramètres!$A$1:$I$89,3,0)*0.475*44/12</f>
        <v>3.0612294901948696</v>
      </c>
      <c r="AX119" s="21">
        <f t="shared" si="60"/>
        <v>69.670122215914546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8.9160000000000021</v>
      </c>
      <c r="BD119" s="12">
        <f>IF('Données projet'!$A$88&gt;35,BD118+BC119-BL118,IF(A119&lt;'Données projet'!$A$88,$BA$205^A119,IF(A119='Données projet'!$A$88,'Données projet'!$B$88,BD118+BC119-BL118)))</f>
        <v>380.53200000000072</v>
      </c>
      <c r="BE119" s="13">
        <f>BD119*VLOOKUP('Données projet'!$B$11,Paramètres!$A$1:$I$89,3,0)*VLOOKUP('Données projet'!$B$11,Paramètres!$A$1:$I$89,5,0)</f>
        <v>344.30535360000061</v>
      </c>
      <c r="BF119" s="13">
        <f t="shared" si="91"/>
        <v>80.388807253544201</v>
      </c>
      <c r="BG119" s="20">
        <f t="shared" si="61"/>
        <v>739.67566348659057</v>
      </c>
      <c r="BH119" s="59">
        <f t="shared" si="62"/>
        <v>1033.0089968199238</v>
      </c>
      <c r="BI119" s="59">
        <f ca="1">AVERAGE(OFFSET($BH$3,0,0,'Données projet'!$E$11+1,1))-AVERAGE(OFFSET($H$3,0,0,'Données projet'!$E$11+1,1))</f>
        <v>573.17174498173017</v>
      </c>
      <c r="BJ119" s="59">
        <f t="shared" si="92"/>
        <v>260.48854096157231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35.045432127761948</v>
      </c>
      <c r="BQ119" s="21">
        <f>EXP(-LN(2)/25)*BQ118+(1-EXP(-LN(2)/25))/(LN(2)/25)*Calculateur!BL119*Calculateur!BN119*VLOOKUP('Données projet'!$B$11,Paramètres!$A$1:$I$89,3,0)*0.475*44/12</f>
        <v>24.390195227495596</v>
      </c>
      <c r="BR119" s="21">
        <f>EXP(-LN(2)/2)*BR118+(1-EXP(-LN(2)/2))/(LN(2)/2)*BL119*BO119*VLOOKUP('Données projet'!$B$11,Paramètres!$A$1:$I$89,3,0)*0.475*44/12</f>
        <v>2.7315586220200374</v>
      </c>
      <c r="BS119" s="22">
        <f t="shared" si="63"/>
        <v>62.167185977277583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8.9160000000000021</v>
      </c>
      <c r="BY119" s="12">
        <f>IF('Données projet'!$A$114&gt;35,BY118+BX119-CG118,IF(A119&lt;'Données projet'!$A$114,$BV$205^A119,IF(A119='Données projet'!$A$114,'Données projet'!$B$114,BY118+BX119-CG118)))</f>
        <v>380.53200000000072</v>
      </c>
      <c r="BZ119" s="13">
        <f>BY119*VLOOKUP('Données projet'!$B$12,Paramètres!$A$1:$I$89,3,0)*VLOOKUP('Données projet'!$B$12,Paramètres!$A$1:$I$89,5,0)</f>
        <v>362.11425120000069</v>
      </c>
      <c r="CA119" s="13">
        <f t="shared" si="93"/>
        <v>84.052000047302485</v>
      </c>
      <c r="CB119" s="20">
        <f t="shared" si="64"/>
        <v>777.07288758905304</v>
      </c>
      <c r="CC119" s="59">
        <f t="shared" si="65"/>
        <v>1070.4062209223864</v>
      </c>
      <c r="CD119" s="59">
        <f ca="1">AVERAGE(OFFSET($CC$3,0,0,'Données projet'!$E$12+1,1))-AVERAGE(OFFSET($H$3,0,0,'Données projet'!$E$12+1,1))</f>
        <v>603.61135046904178</v>
      </c>
      <c r="CE119" s="59">
        <f t="shared" si="94"/>
        <v>272.84936867513068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36.858126892991024</v>
      </c>
      <c r="CL119" s="21">
        <f>EXP(-LN(2)/25)*CL118+(1-EXP(-LN(2)/25))/(LN(2)/25)*Calculateur!CG119*Calculateur!CI119*VLOOKUP('Données projet'!$B$12,Paramètres!$A$1:$I$89,3,0)*0.475*44/12</f>
        <v>25.651757049607426</v>
      </c>
      <c r="CM119" s="21">
        <f>EXP(-LN(2)/2)*CM118+(1-EXP(-LN(2)/2))/(LN(2)/2)*CG119*CJ119*VLOOKUP('Données projet'!$B$12,Paramètres!$A$1:$I$89,3,0)*0.475*44/12</f>
        <v>2.8728461369521074</v>
      </c>
      <c r="CN119" s="22">
        <f t="shared" si="66"/>
        <v>65.382730079550555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35.135100000000001</v>
      </c>
      <c r="D120" s="11">
        <f t="shared" si="86"/>
        <v>10.699635520459337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194.59659642019582</v>
      </c>
      <c r="H120" s="67">
        <f t="shared" si="56"/>
        <v>336.49549769813336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8.5265128291212022E-14</v>
      </c>
      <c r="O120" s="13">
        <f>N120*VLOOKUP('Données projet'!$B$9,Paramètres!$A$1:$I$89,3,0)*VLOOKUP('Données projet'!$B$9,Paramètres!$A$1:$I$89,5,0)</f>
        <v>8.9119112089974823E-14</v>
      </c>
      <c r="P120" s="13">
        <f t="shared" si="87"/>
        <v>1.3568952080113142E-12</v>
      </c>
      <c r="Q120" s="20">
        <f t="shared" si="107"/>
        <v>2.5184749408430782E-12</v>
      </c>
      <c r="R120" s="59">
        <f t="shared" si="55"/>
        <v>293.33333333333582</v>
      </c>
      <c r="S120" s="59">
        <f ca="1">AVERAGE(OFFSET($R$3,0,0,'Données projet'!$E$9+1,1))-AVERAGE(OFFSET($H$3,0,0,'Données projet'!$E$9+1,1))</f>
        <v>225.9892575177542</v>
      </c>
      <c r="T120" s="59">
        <f t="shared" si="88"/>
        <v>215.88467215650428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12.711238711348129</v>
      </c>
      <c r="AA120" s="21">
        <f>EXP(-LN(2)/25)*AA119+(1-EXP(-LN(2)/25))/(LN(2)/25)*Calculateur!V120*Calculateur!X120*VLOOKUP('Données projet'!$B$9,Paramètres!$A$1:$I$89,3,0)*0.475*44/12</f>
        <v>28.366272144244743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41.07751085559287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8.9160000000000021</v>
      </c>
      <c r="AI120" s="13">
        <f>IF('Données projet'!$A$62&gt;35,AI119+AH120-AQ119,IF(A120&lt;'Données projet'!$A$62,$AF$205^A120,IF(A120='Données projet'!$A$62,'Données projet'!$B$62,AI119+AH120-AQ119)))</f>
        <v>389.44800000000072</v>
      </c>
      <c r="AJ120" s="13">
        <f>AI120*VLOOKUP('Données projet'!$B$10,Paramètres!$A$1:$I$89,3,0)*VLOOKUP('Données projet'!$B$10,Paramètres!$A$1:$I$89,5,0)</f>
        <v>394.90027200000077</v>
      </c>
      <c r="AK120" s="13">
        <f t="shared" si="89"/>
        <v>90.742002809527918</v>
      </c>
      <c r="AL120" s="20">
        <f t="shared" si="58"/>
        <v>845.82696195992901</v>
      </c>
      <c r="AM120" s="59">
        <f t="shared" si="59"/>
        <v>1139.1602952932624</v>
      </c>
      <c r="AN120" s="59">
        <f ca="1">AVERAGE(OFFSET($AM$3,0,0,'Données projet'!$E$10+1,1))-AVERAGE(OFFSET($H$3,0,0,'Données projet'!$E$10+1,1))</f>
        <v>644.15138437063933</v>
      </c>
      <c r="AO120" s="59">
        <f t="shared" si="90"/>
        <v>289.3097279858207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38.504893407880438</v>
      </c>
      <c r="AV120" s="21">
        <f>EXP(-LN(2)/25)*AV119+(1-EXP(-LN(2)/25))/(LN(2)/25)*Calculateur!AQ120*Calculateur!AS120*VLOOKUP('Données projet'!$B$10,Paramètres!$A$1:$I$89,3,0)*0.475*44/12</f>
        <v>26.586394201110036</v>
      </c>
      <c r="AW120" s="21">
        <f>EXP(-LN(2)/2)*AW119+(1-EXP(-LN(2)/2))/(LN(2)/2)*AQ120*AT120*VLOOKUP('Données projet'!$B$10,Paramètres!$A$1:$I$89,3,0)*0.475*44/12</f>
        <v>2.1646161312850301</v>
      </c>
      <c r="AX120" s="21">
        <f t="shared" si="60"/>
        <v>67.2559037402755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8.9160000000000021</v>
      </c>
      <c r="BD120" s="12">
        <f>IF('Données projet'!$A$88&gt;35,BD119+BC120-BL119,IF(A120&lt;'Données projet'!$A$88,$BA$205^A120,IF(A120='Données projet'!$A$88,'Données projet'!$B$88,BD119+BC120-BL119)))</f>
        <v>389.44800000000072</v>
      </c>
      <c r="BE120" s="13">
        <f>BD120*VLOOKUP('Données projet'!$B$11,Paramètres!$A$1:$I$89,3,0)*VLOOKUP('Données projet'!$B$11,Paramètres!$A$1:$I$89,5,0)</f>
        <v>352.37255040000065</v>
      </c>
      <c r="BF120" s="13">
        <f t="shared" si="91"/>
        <v>82.050851753476593</v>
      </c>
      <c r="BG120" s="20">
        <f t="shared" si="61"/>
        <v>756.62075875063954</v>
      </c>
      <c r="BH120" s="59">
        <f t="shared" si="62"/>
        <v>1049.9540920839729</v>
      </c>
      <c r="BI120" s="59">
        <f ca="1">AVERAGE(OFFSET($BH$3,0,0,'Données projet'!$E$11+1,1))-AVERAGE(OFFSET($H$3,0,0,'Données projet'!$E$11+1,1))</f>
        <v>573.17174498173017</v>
      </c>
      <c r="BJ120" s="59">
        <f t="shared" si="92"/>
        <v>260.48854096157231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34.358212579339472</v>
      </c>
      <c r="BQ120" s="21">
        <f>EXP(-LN(2)/25)*BQ119+(1-EXP(-LN(2)/25))/(LN(2)/25)*Calculateur!BL120*Calculateur!BN120*VLOOKUP('Données projet'!$B$11,Paramètres!$A$1:$I$89,3,0)*0.475*44/12</f>
        <v>23.723244056375105</v>
      </c>
      <c r="BR120" s="21">
        <f>EXP(-LN(2)/2)*BR119+(1-EXP(-LN(2)/2))/(LN(2)/2)*BL120*BO120*VLOOKUP('Données projet'!$B$11,Paramètres!$A$1:$I$89,3,0)*0.475*44/12</f>
        <v>1.9315036248389501</v>
      </c>
      <c r="BS120" s="22">
        <f t="shared" si="63"/>
        <v>60.012960260553527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8.9160000000000021</v>
      </c>
      <c r="BY120" s="12">
        <f>IF('Données projet'!$A$114&gt;35,BY119+BX120-CG119,IF(A120&lt;'Données projet'!$A$114,$BV$205^A120,IF(A120='Données projet'!$A$114,'Données projet'!$B$114,BY119+BX120-CG119)))</f>
        <v>389.44800000000072</v>
      </c>
      <c r="BZ120" s="13">
        <f>BY120*VLOOKUP('Données projet'!$B$12,Paramètres!$A$1:$I$89,3,0)*VLOOKUP('Données projet'!$B$12,Paramètres!$A$1:$I$89,5,0)</f>
        <v>370.59871680000072</v>
      </c>
      <c r="CA120" s="13">
        <f t="shared" si="93"/>
        <v>85.78978132755384</v>
      </c>
      <c r="CB120" s="20">
        <f t="shared" si="64"/>
        <v>794.87663423882407</v>
      </c>
      <c r="CC120" s="59">
        <f t="shared" si="65"/>
        <v>1088.2099675721574</v>
      </c>
      <c r="CD120" s="59">
        <f ca="1">AVERAGE(OFFSET($CC$3,0,0,'Données projet'!$E$12+1,1))-AVERAGE(OFFSET($H$3,0,0,'Données projet'!$E$12+1,1))</f>
        <v>603.61135046904178</v>
      </c>
      <c r="CE120" s="59">
        <f t="shared" si="94"/>
        <v>272.84936867513068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36.135361505857034</v>
      </c>
      <c r="CL120" s="21">
        <f>EXP(-LN(2)/25)*CL119+(1-EXP(-LN(2)/25))/(LN(2)/25)*Calculateur!CG120*Calculateur!CI120*VLOOKUP('Données projet'!$B$12,Paramètres!$A$1:$I$89,3,0)*0.475*44/12</f>
        <v>24.950308404118637</v>
      </c>
      <c r="CM120" s="21">
        <f>EXP(-LN(2)/2)*CM119+(1-EXP(-LN(2)/2))/(LN(2)/2)*CG120*CJ120*VLOOKUP('Données projet'!$B$12,Paramètres!$A$1:$I$89,3,0)*0.475*44/12</f>
        <v>2.0314089847444121</v>
      </c>
      <c r="CN120" s="22">
        <f t="shared" si="66"/>
        <v>63.11707889472008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35.435400000000001</v>
      </c>
      <c r="D121" s="11">
        <f t="shared" si="86"/>
        <v>10.780400563016492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196.21445151315777</v>
      </c>
      <c r="H121" s="67">
        <f t="shared" si="56"/>
        <v>337.1591859805871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8.5265128291212022E-14</v>
      </c>
      <c r="O121" s="13">
        <f>N121*VLOOKUP('Données projet'!$B$9,Paramètres!$A$1:$I$89,3,0)*VLOOKUP('Données projet'!$B$9,Paramètres!$A$1:$I$89,5,0)</f>
        <v>8.9119112089974823E-14</v>
      </c>
      <c r="P121" s="13">
        <f t="shared" si="87"/>
        <v>1.3568952080113142E-12</v>
      </c>
      <c r="Q121" s="20">
        <f t="shared" si="107"/>
        <v>2.5184749408430782E-12</v>
      </c>
      <c r="R121" s="59">
        <f t="shared" si="55"/>
        <v>293.33333333333582</v>
      </c>
      <c r="S121" s="59">
        <f ca="1">AVERAGE(OFFSET($R$3,0,0,'Données projet'!$E$9+1,1))-AVERAGE(OFFSET($H$3,0,0,'Données projet'!$E$9+1,1))</f>
        <v>225.9892575177542</v>
      </c>
      <c r="T121" s="59">
        <f t="shared" si="88"/>
        <v>215.88467215650428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12.461979073308651</v>
      </c>
      <c r="AA121" s="21">
        <f>EXP(-LN(2)/25)*AA120+(1-EXP(-LN(2)/25))/(LN(2)/25)*Calculateur!V121*Calculateur!X121*VLOOKUP('Données projet'!$B$9,Paramètres!$A$1:$I$89,3,0)*0.475*44/12</f>
        <v>27.59059494074295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40.052574014051601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8.9160000000000021</v>
      </c>
      <c r="AI121" s="13">
        <f>IF('Données projet'!$A$62&gt;35,AI120+AH121-AQ120,IF(A121&lt;'Données projet'!$A$62,$AF$205^A121,IF(A121='Données projet'!$A$62,'Données projet'!$B$62,AI120+AH121-AQ120)))</f>
        <v>398.36400000000071</v>
      </c>
      <c r="AJ121" s="13">
        <f>AI121*VLOOKUP('Données projet'!$B$10,Paramètres!$A$1:$I$89,3,0)*VLOOKUP('Données projet'!$B$10,Paramètres!$A$1:$I$89,5,0)</f>
        <v>403.9410960000007</v>
      </c>
      <c r="AK121" s="13">
        <f t="shared" si="89"/>
        <v>92.575205456026652</v>
      </c>
      <c r="AL121" s="20">
        <f t="shared" si="58"/>
        <v>864.76589170258092</v>
      </c>
      <c r="AM121" s="59">
        <f t="shared" si="59"/>
        <v>1158.0992250359143</v>
      </c>
      <c r="AN121" s="59">
        <f ca="1">AVERAGE(OFFSET($AM$3,0,0,'Données projet'!$E$10+1,1))-AVERAGE(OFFSET($H$3,0,0,'Données projet'!$E$10+1,1))</f>
        <v>644.15138437063933</v>
      </c>
      <c r="AO121" s="59">
        <f t="shared" si="90"/>
        <v>289.3097279858207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37.749835933817863</v>
      </c>
      <c r="AV121" s="21">
        <f>EXP(-LN(2)/25)*AV120+(1-EXP(-LN(2)/25))/(LN(2)/25)*Calculateur!AQ121*Calculateur!AS121*VLOOKUP('Données projet'!$B$10,Paramètres!$A$1:$I$89,3,0)*0.475*44/12</f>
        <v>25.859387853562975</v>
      </c>
      <c r="AW121" s="21">
        <f>EXP(-LN(2)/2)*AW120+(1-EXP(-LN(2)/2))/(LN(2)/2)*AQ121*AT121*VLOOKUP('Données projet'!$B$10,Paramètres!$A$1:$I$89,3,0)*0.475*44/12</f>
        <v>1.5306147450974348</v>
      </c>
      <c r="AX121" s="21">
        <f t="shared" si="60"/>
        <v>65.139838532478279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8.9160000000000021</v>
      </c>
      <c r="BD121" s="12">
        <f>IF('Données projet'!$A$88&gt;35,BD120+BC121-BL120,IF(A121&lt;'Données projet'!$A$88,$BA$205^A121,IF(A121='Données projet'!$A$88,'Données projet'!$B$88,BD120+BC121-BL120)))</f>
        <v>398.36400000000071</v>
      </c>
      <c r="BE121" s="13">
        <f>BD121*VLOOKUP('Données projet'!$B$11,Paramètres!$A$1:$I$89,3,0)*VLOOKUP('Données projet'!$B$11,Paramètres!$A$1:$I$89,5,0)</f>
        <v>360.43974720000062</v>
      </c>
      <c r="BF121" s="13">
        <f t="shared" si="91"/>
        <v>83.708472633827739</v>
      </c>
      <c r="BG121" s="20">
        <f t="shared" si="61"/>
        <v>773.55814954391769</v>
      </c>
      <c r="BH121" s="59">
        <f t="shared" si="62"/>
        <v>1066.8914828772511</v>
      </c>
      <c r="BI121" s="59">
        <f ca="1">AVERAGE(OFFSET($BH$3,0,0,'Données projet'!$E$11+1,1))-AVERAGE(OFFSET($H$3,0,0,'Données projet'!$E$11+1,1))</f>
        <v>573.17174498173017</v>
      </c>
      <c r="BJ121" s="59">
        <f t="shared" si="92"/>
        <v>260.48854096157231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33.684468987099024</v>
      </c>
      <c r="BQ121" s="21">
        <f>EXP(-LN(2)/25)*BQ120+(1-EXP(-LN(2)/25))/(LN(2)/25)*Calculateur!BL121*Calculateur!BN121*VLOOKUP('Données projet'!$B$11,Paramètres!$A$1:$I$89,3,0)*0.475*44/12</f>
        <v>23.074530700102343</v>
      </c>
      <c r="BR121" s="21">
        <f>EXP(-LN(2)/2)*BR120+(1-EXP(-LN(2)/2))/(LN(2)/2)*BL121*BO121*VLOOKUP('Données projet'!$B$11,Paramètres!$A$1:$I$89,3,0)*0.475*44/12</f>
        <v>1.3657793110100189</v>
      </c>
      <c r="BS121" s="22">
        <f t="shared" si="63"/>
        <v>58.124778998211383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8.9160000000000021</v>
      </c>
      <c r="BY121" s="12">
        <f>IF('Données projet'!$A$114&gt;35,BY120+BX121-CG120,IF(A121&lt;'Données projet'!$A$114,$BV$205^A121,IF(A121='Données projet'!$A$114,'Données projet'!$B$114,BY120+BX121-CG120)))</f>
        <v>398.36400000000071</v>
      </c>
      <c r="BZ121" s="13">
        <f>BY121*VLOOKUP('Données projet'!$B$12,Paramètres!$A$1:$I$89,3,0)*VLOOKUP('Données projet'!$B$12,Paramètres!$A$1:$I$89,5,0)</f>
        <v>379.08318240000068</v>
      </c>
      <c r="CA121" s="13">
        <f t="shared" si="93"/>
        <v>87.522937410766346</v>
      </c>
      <c r="CB121" s="20">
        <f t="shared" si="64"/>
        <v>812.67232533708591</v>
      </c>
      <c r="CC121" s="59">
        <f t="shared" si="65"/>
        <v>1106.0056586704193</v>
      </c>
      <c r="CD121" s="59">
        <f ca="1">AVERAGE(OFFSET($CC$3,0,0,'Données projet'!$E$12+1,1))-AVERAGE(OFFSET($H$3,0,0,'Données projet'!$E$12+1,1))</f>
        <v>603.61135046904178</v>
      </c>
      <c r="CE121" s="59">
        <f t="shared" si="94"/>
        <v>272.84936867513068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35.426769107121387</v>
      </c>
      <c r="CL121" s="21">
        <f>EXP(-LN(2)/25)*CL120+(1-EXP(-LN(2)/25))/(LN(2)/25)*Calculateur!CG121*Calculateur!CI121*VLOOKUP('Données projet'!$B$12,Paramètres!$A$1:$I$89,3,0)*0.475*44/12</f>
        <v>24.26804090872832</v>
      </c>
      <c r="CM121" s="21">
        <f>EXP(-LN(2)/2)*CM120+(1-EXP(-LN(2)/2))/(LN(2)/2)*CG121*CJ121*VLOOKUP('Données projet'!$B$12,Paramètres!$A$1:$I$89,3,0)*0.475*44/12</f>
        <v>1.4364230684760537</v>
      </c>
      <c r="CN121" s="22">
        <f t="shared" si="66"/>
        <v>61.131233084325764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35.735700000000001</v>
      </c>
      <c r="D122" s="11">
        <f t="shared" si="86"/>
        <v>10.861085973924057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197.83196852087056</v>
      </c>
      <c r="H122" s="67">
        <f t="shared" si="56"/>
        <v>337.82273557125109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8.5265128291212022E-14</v>
      </c>
      <c r="O122" s="13">
        <f>N122*VLOOKUP('Données projet'!$B$9,Paramètres!$A$1:$I$89,3,0)*VLOOKUP('Données projet'!$B$9,Paramètres!$A$1:$I$89,5,0)</f>
        <v>8.9119112089974823E-14</v>
      </c>
      <c r="P122" s="13">
        <f t="shared" si="87"/>
        <v>1.3568952080113142E-12</v>
      </c>
      <c r="Q122" s="20">
        <f t="shared" si="107"/>
        <v>2.5184749408430782E-12</v>
      </c>
      <c r="R122" s="59">
        <f t="shared" si="55"/>
        <v>293.33333333333582</v>
      </c>
      <c r="S122" s="59">
        <f ca="1">AVERAGE(OFFSET($R$3,0,0,'Données projet'!$E$9+1,1))-AVERAGE(OFFSET($H$3,0,0,'Données projet'!$E$9+1,1))</f>
        <v>225.9892575177542</v>
      </c>
      <c r="T122" s="59">
        <f t="shared" si="88"/>
        <v>215.88467215650428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12.217607264737762</v>
      </c>
      <c r="AA122" s="21">
        <f>EXP(-LN(2)/25)*AA121+(1-EXP(-LN(2)/25))/(LN(2)/25)*Calculateur!V122*Calculateur!X122*VLOOKUP('Données projet'!$B$9,Paramètres!$A$1:$I$89,3,0)*0.475*44/12</f>
        <v>26.836128671162005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39.053735935899766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8.9160000000000021</v>
      </c>
      <c r="AI122" s="13">
        <f>IF('Données projet'!$A$62&gt;35,AI121+AH122-AQ121,IF(A122&lt;'Données projet'!$A$62,$AF$205^A122,IF(A122='Données projet'!$A$62,'Données projet'!$B$62,AI121+AH122-AQ121)))</f>
        <v>407.28000000000071</v>
      </c>
      <c r="AJ122" s="13">
        <f>AI122*VLOOKUP('Données projet'!$B$10,Paramètres!$A$1:$I$89,3,0)*VLOOKUP('Données projet'!$B$10,Paramètres!$A$1:$I$89,5,0)</f>
        <v>412.98192000000074</v>
      </c>
      <c r="AK122" s="13">
        <f t="shared" si="89"/>
        <v>94.403638017009513</v>
      </c>
      <c r="AL122" s="20">
        <f t="shared" si="58"/>
        <v>883.69651354629275</v>
      </c>
      <c r="AM122" s="59">
        <f t="shared" si="59"/>
        <v>1177.0298468796261</v>
      </c>
      <c r="AN122" s="59">
        <f ca="1">AVERAGE(OFFSET($AM$3,0,0,'Données projet'!$E$10+1,1))-AVERAGE(OFFSET($H$3,0,0,'Données projet'!$E$10+1,1))</f>
        <v>644.15138437063933</v>
      </c>
      <c r="AO122" s="59">
        <f t="shared" si="90"/>
        <v>289.3097279858207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37.009584676282074</v>
      </c>
      <c r="AV122" s="21">
        <f>EXP(-LN(2)/25)*AV121+(1-EXP(-LN(2)/25))/(LN(2)/25)*Calculateur!AQ122*Calculateur!AS122*VLOOKUP('Données projet'!$B$10,Paramètres!$A$1:$I$89,3,0)*0.475*44/12</f>
        <v>25.152261532821189</v>
      </c>
      <c r="AW122" s="21">
        <f>EXP(-LN(2)/2)*AW121+(1-EXP(-LN(2)/2))/(LN(2)/2)*AQ122*AT122*VLOOKUP('Données projet'!$B$10,Paramètres!$A$1:$I$89,3,0)*0.475*44/12</f>
        <v>1.082308065642515</v>
      </c>
      <c r="AX122" s="21">
        <f t="shared" si="60"/>
        <v>63.244154274745775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8.9160000000000021</v>
      </c>
      <c r="BD122" s="12">
        <f>IF('Données projet'!$A$88&gt;35,BD121+BC122-BL121,IF(A122&lt;'Données projet'!$A$88,$BA$205^A122,IF(A122='Données projet'!$A$88,'Données projet'!$B$88,BD121+BC122-BL121)))</f>
        <v>407.28000000000071</v>
      </c>
      <c r="BE122" s="13">
        <f>BD122*VLOOKUP('Données projet'!$B$11,Paramètres!$A$1:$I$89,3,0)*VLOOKUP('Données projet'!$B$11,Paramètres!$A$1:$I$89,5,0)</f>
        <v>368.5069440000006</v>
      </c>
      <c r="BF122" s="13">
        <f t="shared" si="91"/>
        <v>85.361780301252097</v>
      </c>
      <c r="BG122" s="20">
        <f t="shared" si="61"/>
        <v>790.48802815801503</v>
      </c>
      <c r="BH122" s="59">
        <f t="shared" si="62"/>
        <v>1083.8213614913484</v>
      </c>
      <c r="BI122" s="59">
        <f ca="1">AVERAGE(OFFSET($BH$3,0,0,'Données projet'!$E$11+1,1))-AVERAGE(OFFSET($H$3,0,0,'Données projet'!$E$11+1,1))</f>
        <v>573.17174498173017</v>
      </c>
      <c r="BJ122" s="59">
        <f t="shared" si="92"/>
        <v>260.48854096157231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33.023937095759393</v>
      </c>
      <c r="BQ122" s="21">
        <f>EXP(-LN(2)/25)*BQ121+(1-EXP(-LN(2)/25))/(LN(2)/25)*Calculateur!BL122*Calculateur!BN122*VLOOKUP('Données projet'!$B$11,Paramètres!$A$1:$I$89,3,0)*0.475*44/12</f>
        <v>22.443556444671213</v>
      </c>
      <c r="BR122" s="21">
        <f>EXP(-LN(2)/2)*BR121+(1-EXP(-LN(2)/2))/(LN(2)/2)*BL122*BO122*VLOOKUP('Données projet'!$B$11,Paramètres!$A$1:$I$89,3,0)*0.475*44/12</f>
        <v>0.96575181241947516</v>
      </c>
      <c r="BS122" s="22">
        <f t="shared" si="63"/>
        <v>56.433245352850086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8.9160000000000021</v>
      </c>
      <c r="BY122" s="12">
        <f>IF('Données projet'!$A$114&gt;35,BY121+BX122-CG121,IF(A122&lt;'Données projet'!$A$114,$BV$205^A122,IF(A122='Données projet'!$A$114,'Données projet'!$B$114,BY121+BX122-CG121)))</f>
        <v>407.28000000000071</v>
      </c>
      <c r="BZ122" s="13">
        <f>BY122*VLOOKUP('Données projet'!$B$12,Paramètres!$A$1:$I$89,3,0)*VLOOKUP('Données projet'!$B$12,Paramètres!$A$1:$I$89,5,0)</f>
        <v>387.56764800000064</v>
      </c>
      <c r="CA122" s="13">
        <f t="shared" si="93"/>
        <v>89.251583734654062</v>
      </c>
      <c r="CB122" s="20">
        <f t="shared" si="64"/>
        <v>830.46016193785681</v>
      </c>
      <c r="CC122" s="59">
        <f t="shared" si="65"/>
        <v>1123.7934952711901</v>
      </c>
      <c r="CD122" s="59">
        <f ca="1">AVERAGE(OFFSET($CC$3,0,0,'Données projet'!$E$12+1,1))-AVERAGE(OFFSET($H$3,0,0,'Données projet'!$E$12+1,1))</f>
        <v>603.61135046904178</v>
      </c>
      <c r="CE122" s="59">
        <f t="shared" si="94"/>
        <v>272.84936867513068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34.732071773126258</v>
      </c>
      <c r="CL122" s="21">
        <f>EXP(-LN(2)/25)*CL121+(1-EXP(-LN(2)/25))/(LN(2)/25)*Calculateur!CG122*Calculateur!CI122*VLOOKUP('Données projet'!$B$12,Paramètres!$A$1:$I$89,3,0)*0.475*44/12</f>
        <v>23.604430053878339</v>
      </c>
      <c r="CM122" s="21">
        <f>EXP(-LN(2)/2)*CM121+(1-EXP(-LN(2)/2))/(LN(2)/2)*CG122*CJ122*VLOOKUP('Données projet'!$B$12,Paramètres!$A$1:$I$89,3,0)*0.475*44/12</f>
        <v>1.0157044923722061</v>
      </c>
      <c r="CN122" s="22">
        <f t="shared" si="66"/>
        <v>59.352206319376805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36.036000000000001</v>
      </c>
      <c r="D123" s="11">
        <f t="shared" si="86"/>
        <v>10.941692499899743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199.44915061360948</v>
      </c>
      <c r="H123" s="67">
        <f t="shared" si="56"/>
        <v>338.48614777065876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8.5265128291212022E-14</v>
      </c>
      <c r="O123" s="13">
        <f>N123*VLOOKUP('Données projet'!$B$9,Paramètres!$A$1:$I$89,3,0)*VLOOKUP('Données projet'!$B$9,Paramètres!$A$1:$I$89,5,0)</f>
        <v>8.9119112089974823E-14</v>
      </c>
      <c r="P123" s="13">
        <f t="shared" si="87"/>
        <v>1.3568952080113142E-12</v>
      </c>
      <c r="Q123" s="20">
        <f t="shared" si="107"/>
        <v>2.5184749408430782E-12</v>
      </c>
      <c r="R123" s="59">
        <f t="shared" si="55"/>
        <v>293.33333333333582</v>
      </c>
      <c r="S123" s="59">
        <f ca="1">AVERAGE(OFFSET($R$3,0,0,'Données projet'!$E$9+1,1))-AVERAGE(OFFSET($H$3,0,0,'Données projet'!$E$9+1,1))</f>
        <v>225.9892575177542</v>
      </c>
      <c r="T123" s="59">
        <f t="shared" si="88"/>
        <v>215.88467215650428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11.978027438280861</v>
      </c>
      <c r="AA123" s="21">
        <f>EXP(-LN(2)/25)*AA122+(1-EXP(-LN(2)/25))/(LN(2)/25)*Calculateur!V123*Calculateur!X123*VLOOKUP('Données projet'!$B$9,Paramètres!$A$1:$I$89,3,0)*0.475*44/12</f>
        <v>26.102293321398406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38.080320759679267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8.9160000000000021</v>
      </c>
      <c r="AI123" s="13">
        <f>IF('Données projet'!$A$62&gt;35,AI122+AH123-AQ122,IF(A123&lt;'Données projet'!$A$62,$AF$205^A123,IF(A123='Données projet'!$A$62,'Données projet'!$B$62,AI122+AH123-AQ122)))</f>
        <v>416.19600000000071</v>
      </c>
      <c r="AJ123" s="13">
        <f>AI123*VLOOKUP('Données projet'!$B$10,Paramètres!$A$1:$I$89,3,0)*VLOOKUP('Données projet'!$B$10,Paramètres!$A$1:$I$89,5,0)</f>
        <v>422.02274400000073</v>
      </c>
      <c r="AK123" s="13">
        <f t="shared" si="89"/>
        <v>96.227416942568027</v>
      </c>
      <c r="AL123" s="20">
        <f t="shared" si="58"/>
        <v>902.61903030830717</v>
      </c>
      <c r="AM123" s="59">
        <f t="shared" si="59"/>
        <v>1195.9523636416404</v>
      </c>
      <c r="AN123" s="59">
        <f ca="1">AVERAGE(OFFSET($AM$3,0,0,'Données projet'!$E$10+1,1))-AVERAGE(OFFSET($H$3,0,0,'Données projet'!$E$10+1,1))</f>
        <v>644.15138437063933</v>
      </c>
      <c r="AO123" s="59">
        <f t="shared" si="90"/>
        <v>289.3097279858207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36.283849294397875</v>
      </c>
      <c r="AV123" s="21">
        <f>EXP(-LN(2)/25)*AV122+(1-EXP(-LN(2)/25))/(LN(2)/25)*Calculateur!AQ123*Calculateur!AS123*VLOOKUP('Données projet'!$B$10,Paramètres!$A$1:$I$89,3,0)*0.475*44/12</f>
        <v>24.464471618506245</v>
      </c>
      <c r="AW123" s="21">
        <f>EXP(-LN(2)/2)*AW122+(1-EXP(-LN(2)/2))/(LN(2)/2)*AQ123*AT123*VLOOKUP('Données projet'!$B$10,Paramètres!$A$1:$I$89,3,0)*0.475*44/12</f>
        <v>0.76530737254871739</v>
      </c>
      <c r="AX123" s="21">
        <f t="shared" si="60"/>
        <v>61.513628285452839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8.9160000000000021</v>
      </c>
      <c r="BD123" s="12">
        <f>IF('Données projet'!$A$88&gt;35,BD122+BC123-BL122,IF(A123&lt;'Données projet'!$A$88,$BA$205^A123,IF(A123='Données projet'!$A$88,'Données projet'!$B$88,BD122+BC123-BL122)))</f>
        <v>416.19600000000071</v>
      </c>
      <c r="BE123" s="13">
        <f>BD123*VLOOKUP('Données projet'!$B$11,Paramètres!$A$1:$I$89,3,0)*VLOOKUP('Données projet'!$B$11,Paramètres!$A$1:$I$89,5,0)</f>
        <v>376.57414080000063</v>
      </c>
      <c r="BF123" s="13">
        <f t="shared" si="91"/>
        <v>87.010880052402811</v>
      </c>
      <c r="BG123" s="20">
        <f t="shared" si="61"/>
        <v>807.41057798460258</v>
      </c>
      <c r="BH123" s="59">
        <f t="shared" si="62"/>
        <v>1100.743911317936</v>
      </c>
      <c r="BI123" s="59">
        <f ca="1">AVERAGE(OFFSET($BH$3,0,0,'Données projet'!$E$11+1,1))-AVERAGE(OFFSET($H$3,0,0,'Données projet'!$E$11+1,1))</f>
        <v>573.17174498173017</v>
      </c>
      <c r="BJ123" s="59">
        <f t="shared" si="92"/>
        <v>260.48854096157231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32.37635783192426</v>
      </c>
      <c r="BQ123" s="21">
        <f>EXP(-LN(2)/25)*BQ122+(1-EXP(-LN(2)/25))/(LN(2)/25)*Calculateur!BL123*Calculateur!BN123*VLOOKUP('Données projet'!$B$11,Paramètres!$A$1:$I$89,3,0)*0.475*44/12</f>
        <v>21.829836213436341</v>
      </c>
      <c r="BR123" s="21">
        <f>EXP(-LN(2)/2)*BR122+(1-EXP(-LN(2)/2))/(LN(2)/2)*BL123*BO123*VLOOKUP('Données projet'!$B$11,Paramètres!$A$1:$I$89,3,0)*0.475*44/12</f>
        <v>0.68288965550500957</v>
      </c>
      <c r="BS123" s="22">
        <f t="shared" si="63"/>
        <v>54.889083700865612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8.9160000000000021</v>
      </c>
      <c r="BY123" s="12">
        <f>IF('Données projet'!$A$114&gt;35,BY122+BX123-CG122,IF(A123&lt;'Données projet'!$A$114,$BV$205^A123,IF(A123='Données projet'!$A$114,'Données projet'!$B$114,BY122+BX123-CG122)))</f>
        <v>416.19600000000071</v>
      </c>
      <c r="BZ123" s="13">
        <f>BY123*VLOOKUP('Données projet'!$B$12,Paramètres!$A$1:$I$89,3,0)*VLOOKUP('Données projet'!$B$12,Paramètres!$A$1:$I$89,5,0)</f>
        <v>396.05211360000067</v>
      </c>
      <c r="CA123" s="13">
        <f t="shared" si="93"/>
        <v>90.975830394074606</v>
      </c>
      <c r="CB123" s="20">
        <f t="shared" si="64"/>
        <v>848.24033578968101</v>
      </c>
      <c r="CC123" s="59">
        <f t="shared" si="65"/>
        <v>1141.5736691230143</v>
      </c>
      <c r="CD123" s="59">
        <f ca="1">AVERAGE(OFFSET($CC$3,0,0,'Données projet'!$E$12+1,1))-AVERAGE(OFFSET($H$3,0,0,'Données projet'!$E$12+1,1))</f>
        <v>603.61135046904178</v>
      </c>
      <c r="CE123" s="59">
        <f t="shared" si="94"/>
        <v>272.84936867513068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34.050997030127242</v>
      </c>
      <c r="CL123" s="21">
        <f>EXP(-LN(2)/25)*CL122+(1-EXP(-LN(2)/25))/(LN(2)/25)*Calculateur!CG123*Calculateur!CI123*VLOOKUP('Données projet'!$B$12,Paramètres!$A$1:$I$89,3,0)*0.475*44/12</f>
        <v>22.958965672752008</v>
      </c>
      <c r="CM123" s="21">
        <f>EXP(-LN(2)/2)*CM122+(1-EXP(-LN(2)/2))/(LN(2)/2)*CG123*CJ123*VLOOKUP('Données projet'!$B$12,Paramètres!$A$1:$I$89,3,0)*0.475*44/12</f>
        <v>0.71821153423802686</v>
      </c>
      <c r="CN123" s="22">
        <f t="shared" si="66"/>
        <v>57.72817423711728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36.336300000000001</v>
      </c>
      <c r="D124" s="11">
        <f t="shared" si="86"/>
        <v>11.022220874497588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201.06600090576171</v>
      </c>
      <c r="H124" s="67">
        <f t="shared" si="56"/>
        <v>339.14942385641666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8.5265128291212022E-14</v>
      </c>
      <c r="O124" s="13">
        <f>N124*VLOOKUP('Données projet'!$B$9,Paramètres!$A$1:$I$89,3,0)*VLOOKUP('Données projet'!$B$9,Paramètres!$A$1:$I$89,5,0)</f>
        <v>8.9119112089974823E-14</v>
      </c>
      <c r="P124" s="13">
        <f t="shared" si="87"/>
        <v>1.3568952080113142E-12</v>
      </c>
      <c r="Q124" s="20">
        <f t="shared" si="107"/>
        <v>2.5184749408430782E-12</v>
      </c>
      <c r="R124" s="59">
        <f t="shared" si="55"/>
        <v>293.33333333333582</v>
      </c>
      <c r="S124" s="59">
        <f ca="1">AVERAGE(OFFSET($R$3,0,0,'Données projet'!$E$9+1,1))-AVERAGE(OFFSET($H$3,0,0,'Données projet'!$E$9+1,1))</f>
        <v>225.9892575177542</v>
      </c>
      <c r="T124" s="59">
        <f t="shared" si="88"/>
        <v>215.88467215650428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11.743145626091517</v>
      </c>
      <c r="AA124" s="21">
        <f>EXP(-LN(2)/25)*AA123+(1-EXP(-LN(2)/25))/(LN(2)/25)*Calculateur!V124*Calculateur!X124*VLOOKUP('Données projet'!$B$9,Paramètres!$A$1:$I$89,3,0)*0.475*44/12</f>
        <v>25.38852473786482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37.131670363956339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8.9160000000000021</v>
      </c>
      <c r="AI124" s="13">
        <f>IF('Données projet'!$A$62&gt;35,AI123+AH124-AQ123,IF(A124&lt;'Données projet'!$A$62,$AF$205^A124,IF(A124='Données projet'!$A$62,'Données projet'!$B$62,AI123+AH124-AQ123)))</f>
        <v>425.11200000000071</v>
      </c>
      <c r="AJ124" s="13">
        <f>AI124*VLOOKUP('Données projet'!$B$10,Paramètres!$A$1:$I$89,3,0)*VLOOKUP('Données projet'!$B$10,Paramètres!$A$1:$I$89,5,0)</f>
        <v>431.06356800000077</v>
      </c>
      <c r="AK124" s="13">
        <f t="shared" si="89"/>
        <v>98.046653408452883</v>
      </c>
      <c r="AL124" s="20">
        <f t="shared" si="58"/>
        <v>921.53363561972344</v>
      </c>
      <c r="AM124" s="59">
        <f t="shared" si="59"/>
        <v>1214.8669689530568</v>
      </c>
      <c r="AN124" s="59">
        <f ca="1">AVERAGE(OFFSET($AM$3,0,0,'Données projet'!$E$10+1,1))-AVERAGE(OFFSET($H$3,0,0,'Données projet'!$E$10+1,1))</f>
        <v>644.15138437063933</v>
      </c>
      <c r="AO124" s="59">
        <f t="shared" si="90"/>
        <v>289.3097279858207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35.57234514069755</v>
      </c>
      <c r="AV124" s="21">
        <f>EXP(-LN(2)/25)*AV123+(1-EXP(-LN(2)/25))/(LN(2)/25)*Calculateur!AQ124*Calculateur!AS124*VLOOKUP('Données projet'!$B$10,Paramètres!$A$1:$I$89,3,0)*0.475*44/12</f>
        <v>23.795489355567543</v>
      </c>
      <c r="AW124" s="21">
        <f>EXP(-LN(2)/2)*AW123+(1-EXP(-LN(2)/2))/(LN(2)/2)*AQ124*AT124*VLOOKUP('Données projet'!$B$10,Paramètres!$A$1:$I$89,3,0)*0.475*44/12</f>
        <v>0.54115403282125751</v>
      </c>
      <c r="AX124" s="21">
        <f t="shared" si="60"/>
        <v>59.908988529086351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8.9160000000000021</v>
      </c>
      <c r="BD124" s="12">
        <f>IF('Données projet'!$A$88&gt;35,BD123+BC124-BL123,IF(A124&lt;'Données projet'!$A$88,$BA$205^A124,IF(A124='Données projet'!$A$88,'Données projet'!$B$88,BD123+BC124-BL123)))</f>
        <v>425.11200000000071</v>
      </c>
      <c r="BE124" s="13">
        <f>BD124*VLOOKUP('Données projet'!$B$11,Paramètres!$A$1:$I$89,3,0)*VLOOKUP('Données projet'!$B$11,Paramètres!$A$1:$I$89,5,0)</f>
        <v>384.64133760000061</v>
      </c>
      <c r="BF124" s="13">
        <f t="shared" si="91"/>
        <v>88.65587241476193</v>
      </c>
      <c r="BG124" s="20">
        <f t="shared" si="61"/>
        <v>824.32597410904464</v>
      </c>
      <c r="BH124" s="59">
        <f t="shared" si="62"/>
        <v>1117.6593074423779</v>
      </c>
      <c r="BI124" s="59">
        <f ca="1">AVERAGE(OFFSET($BH$3,0,0,'Données projet'!$E$11+1,1))-AVERAGE(OFFSET($H$3,0,0,'Données projet'!$E$11+1,1))</f>
        <v>573.17174498173017</v>
      </c>
      <c r="BJ124" s="59">
        <f t="shared" si="92"/>
        <v>260.48854096157231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31.741477202468587</v>
      </c>
      <c r="BQ124" s="21">
        <f>EXP(-LN(2)/25)*BQ123+(1-EXP(-LN(2)/25))/(LN(2)/25)*Calculateur!BL124*Calculateur!BN124*VLOOKUP('Données projet'!$B$11,Paramètres!$A$1:$I$89,3,0)*0.475*44/12</f>
        <v>21.232898194198729</v>
      </c>
      <c r="BR124" s="21">
        <f>EXP(-LN(2)/2)*BR123+(1-EXP(-LN(2)/2))/(LN(2)/2)*BL124*BO124*VLOOKUP('Données projet'!$B$11,Paramètres!$A$1:$I$89,3,0)*0.475*44/12</f>
        <v>0.48287590620973764</v>
      </c>
      <c r="BS124" s="22">
        <f t="shared" si="63"/>
        <v>53.457251302877047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8.9160000000000021</v>
      </c>
      <c r="BY124" s="12">
        <f>IF('Données projet'!$A$114&gt;35,BY123+BX124-CG123,IF(A124&lt;'Données projet'!$A$114,$BV$205^A124,IF(A124='Données projet'!$A$114,'Données projet'!$B$114,BY123+BX124-CG123)))</f>
        <v>425.11200000000071</v>
      </c>
      <c r="BZ124" s="13">
        <f>BY124*VLOOKUP('Données projet'!$B$12,Paramètres!$A$1:$I$89,3,0)*VLOOKUP('Données projet'!$B$12,Paramètres!$A$1:$I$89,5,0)</f>
        <v>404.53657920000069</v>
      </c>
      <c r="CA124" s="13">
        <f t="shared" si="93"/>
        <v>92.695782497390908</v>
      </c>
      <c r="CB124" s="20">
        <f t="shared" si="64"/>
        <v>866.01302995629032</v>
      </c>
      <c r="CC124" s="59">
        <f t="shared" si="65"/>
        <v>1159.3463632896237</v>
      </c>
      <c r="CD124" s="59">
        <f ca="1">AVERAGE(OFFSET($CC$3,0,0,'Données projet'!$E$12+1,1))-AVERAGE(OFFSET($H$3,0,0,'Données projet'!$E$12+1,1))</f>
        <v>603.61135046904178</v>
      </c>
      <c r="CE124" s="59">
        <f t="shared" si="94"/>
        <v>272.84936867513068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33.383277747423861</v>
      </c>
      <c r="CL124" s="21">
        <f>EXP(-LN(2)/25)*CL123+(1-EXP(-LN(2)/25))/(LN(2)/25)*Calculateur!CG124*Calculateur!CI124*VLOOKUP('Données projet'!$B$12,Paramètres!$A$1:$I$89,3,0)*0.475*44/12</f>
        <v>22.331151549071073</v>
      </c>
      <c r="CM124" s="21">
        <f>EXP(-LN(2)/2)*CM123+(1-EXP(-LN(2)/2))/(LN(2)/2)*CG124*CJ124*VLOOKUP('Données projet'!$B$12,Paramètres!$A$1:$I$89,3,0)*0.475*44/12</f>
        <v>0.50785224618610303</v>
      </c>
      <c r="CN124" s="22">
        <f t="shared" si="66"/>
        <v>56.222281542681039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36.636600000000001</v>
      </c>
      <c r="D125" s="11">
        <f t="shared" si="86"/>
        <v>11.102671818446842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202.68252245726558</v>
      </c>
      <c r="H125" s="67">
        <f t="shared" si="56"/>
        <v>339.81256508379494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8.5265128291212022E-14</v>
      </c>
      <c r="O125" s="13">
        <f>N125*VLOOKUP('Données projet'!$B$9,Paramètres!$A$1:$I$89,3,0)*VLOOKUP('Données projet'!$B$9,Paramètres!$A$1:$I$89,5,0)</f>
        <v>8.9119112089974823E-14</v>
      </c>
      <c r="P125" s="13">
        <f t="shared" si="87"/>
        <v>1.3568952080113142E-12</v>
      </c>
      <c r="Q125" s="20">
        <f t="shared" si="107"/>
        <v>2.5184749408430782E-12</v>
      </c>
      <c r="R125" s="59">
        <f t="shared" si="55"/>
        <v>293.33333333333582</v>
      </c>
      <c r="S125" s="59">
        <f ca="1">AVERAGE(OFFSET($R$3,0,0,'Données projet'!$E$9+1,1))-AVERAGE(OFFSET($H$3,0,0,'Données projet'!$E$9+1,1))</f>
        <v>225.9892575177542</v>
      </c>
      <c r="T125" s="59">
        <f t="shared" si="88"/>
        <v>215.88467215650428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11.512869702975445</v>
      </c>
      <c r="AA125" s="21">
        <f>EXP(-LN(2)/25)*AA124+(1-EXP(-LN(2)/25))/(LN(2)/25)*Calculateur!V125*Calculateur!X125*VLOOKUP('Données projet'!$B$9,Paramètres!$A$1:$I$89,3,0)*0.475*44/12</f>
        <v>24.694274193783418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36.207143896758865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8.9160000000000021</v>
      </c>
      <c r="AI125" s="13">
        <f>IF('Données projet'!$A$62&gt;35,AI124+AH125-AQ124,IF(A125&lt;'Données projet'!$A$62,$AF$205^A125,IF(A125='Données projet'!$A$62,'Données projet'!$B$62,AI124+AH125-AQ124)))</f>
        <v>434.0280000000007</v>
      </c>
      <c r="AJ125" s="13">
        <f>AI125*VLOOKUP('Données projet'!$B$10,Paramètres!$A$1:$I$89,3,0)*VLOOKUP('Données projet'!$B$10,Paramètres!$A$1:$I$89,5,0)</f>
        <v>440.1043920000007</v>
      </c>
      <c r="AK125" s="13">
        <f t="shared" si="89"/>
        <v>99.861453660492415</v>
      </c>
      <c r="AL125" s="20">
        <f t="shared" si="58"/>
        <v>940.44051452535894</v>
      </c>
      <c r="AM125" s="59">
        <f t="shared" si="59"/>
        <v>1233.7738478586923</v>
      </c>
      <c r="AN125" s="59">
        <f ca="1">AVERAGE(OFFSET($AM$3,0,0,'Données projet'!$E$10+1,1))-AVERAGE(OFFSET($H$3,0,0,'Données projet'!$E$10+1,1))</f>
        <v>644.15138437063933</v>
      </c>
      <c r="AO125" s="59">
        <f t="shared" si="90"/>
        <v>289.3097279858207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34.874793149476609</v>
      </c>
      <c r="AV125" s="21">
        <f>EXP(-LN(2)/25)*AV124+(1-EXP(-LN(2)/25))/(LN(2)/25)*Calculateur!AQ125*Calculateur!AS125*VLOOKUP('Données projet'!$B$10,Paramètres!$A$1:$I$89,3,0)*0.475*44/12</f>
        <v>23.144800447789148</v>
      </c>
      <c r="AW125" s="21">
        <f>EXP(-LN(2)/2)*AW124+(1-EXP(-LN(2)/2))/(LN(2)/2)*AQ125*AT125*VLOOKUP('Données projet'!$B$10,Paramètres!$A$1:$I$89,3,0)*0.475*44/12</f>
        <v>0.3826536862743587</v>
      </c>
      <c r="AX125" s="21">
        <f t="shared" si="60"/>
        <v>58.402247283540113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8.9160000000000021</v>
      </c>
      <c r="BD125" s="12">
        <f>IF('Données projet'!$A$88&gt;35,BD124+BC125-BL124,IF(A125&lt;'Données projet'!$A$88,$BA$205^A125,IF(A125='Données projet'!$A$88,'Données projet'!$B$88,BD124+BC125-BL124)))</f>
        <v>434.0280000000007</v>
      </c>
      <c r="BE125" s="13">
        <f>BD125*VLOOKUP('Données projet'!$B$11,Paramètres!$A$1:$I$89,3,0)*VLOOKUP('Données projet'!$B$11,Paramètres!$A$1:$I$89,5,0)</f>
        <v>392.70853440000059</v>
      </c>
      <c r="BF125" s="13">
        <f t="shared" si="91"/>
        <v>90.296853458070288</v>
      </c>
      <c r="BG125" s="20">
        <f t="shared" si="61"/>
        <v>841.23438385280679</v>
      </c>
      <c r="BH125" s="59">
        <f t="shared" si="62"/>
        <v>1134.56771718614</v>
      </c>
      <c r="BI125" s="59">
        <f ca="1">AVERAGE(OFFSET($BH$3,0,0,'Données projet'!$E$11+1,1))-AVERAGE(OFFSET($H$3,0,0,'Données projet'!$E$11+1,1))</f>
        <v>573.17174498173017</v>
      </c>
      <c r="BJ125" s="59">
        <f t="shared" si="92"/>
        <v>260.48854096157231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31.11904619491759</v>
      </c>
      <c r="BQ125" s="21">
        <f>EXP(-LN(2)/25)*BQ124+(1-EXP(-LN(2)/25))/(LN(2)/25)*Calculateur!BL125*Calculateur!BN125*VLOOKUP('Données projet'!$B$11,Paramètres!$A$1:$I$89,3,0)*0.475*44/12</f>
        <v>20.652283476488776</v>
      </c>
      <c r="BR125" s="21">
        <f>EXP(-LN(2)/2)*BR124+(1-EXP(-LN(2)/2))/(LN(2)/2)*BL125*BO125*VLOOKUP('Données projet'!$B$11,Paramètres!$A$1:$I$89,3,0)*0.475*44/12</f>
        <v>0.34144482775250484</v>
      </c>
      <c r="BS125" s="22">
        <f t="shared" si="63"/>
        <v>52.112774499158867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8.9160000000000021</v>
      </c>
      <c r="BY125" s="12">
        <f>IF('Données projet'!$A$114&gt;35,BY124+BX125-CG124,IF(A125&lt;'Données projet'!$A$114,$BV$205^A125,IF(A125='Données projet'!$A$114,'Données projet'!$B$114,BY124+BX125-CG124)))</f>
        <v>434.0280000000007</v>
      </c>
      <c r="BZ125" s="13">
        <f>BY125*VLOOKUP('Données projet'!$B$12,Paramètres!$A$1:$I$89,3,0)*VLOOKUP('Données projet'!$B$12,Paramètres!$A$1:$I$89,5,0)</f>
        <v>413.02104480000071</v>
      </c>
      <c r="CA125" s="13">
        <f t="shared" si="93"/>
        <v>94.411540492092271</v>
      </c>
      <c r="CB125" s="20">
        <f t="shared" si="64"/>
        <v>883.77841938372865</v>
      </c>
      <c r="CC125" s="59">
        <f t="shared" si="65"/>
        <v>1177.111752717062</v>
      </c>
      <c r="CD125" s="59">
        <f ca="1">AVERAGE(OFFSET($CC$3,0,0,'Données projet'!$E$12+1,1))-AVERAGE(OFFSET($H$3,0,0,'Données projet'!$E$12+1,1))</f>
        <v>603.61135046904178</v>
      </c>
      <c r="CE125" s="59">
        <f t="shared" si="94"/>
        <v>272.84936867513068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32.728652032585742</v>
      </c>
      <c r="CL125" s="21">
        <f>EXP(-LN(2)/25)*CL124+(1-EXP(-LN(2)/25))/(LN(2)/25)*Calculateur!CG125*Calculateur!CI125*VLOOKUP('Données projet'!$B$12,Paramètres!$A$1:$I$89,3,0)*0.475*44/12</f>
        <v>21.720505035617503</v>
      </c>
      <c r="CM125" s="21">
        <f>EXP(-LN(2)/2)*CM124+(1-EXP(-LN(2)/2))/(LN(2)/2)*CG125*CJ125*VLOOKUP('Données projet'!$B$12,Paramètres!$A$1:$I$89,3,0)*0.475*44/12</f>
        <v>0.35910576711901343</v>
      </c>
      <c r="CN125" s="22">
        <f t="shared" si="66"/>
        <v>54.80826283532226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36.936900000000001</v>
      </c>
      <c r="D126" s="11">
        <f t="shared" si="86"/>
        <v>11.183046039979416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204.29871827500037</v>
      </c>
      <c r="H126" s="67">
        <f t="shared" si="56"/>
        <v>340.47557268629748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8.5265128291212022E-14</v>
      </c>
      <c r="O126" s="13">
        <f>N126*VLOOKUP('Données projet'!$B$9,Paramètres!$A$1:$I$89,3,0)*VLOOKUP('Données projet'!$B$9,Paramètres!$A$1:$I$89,5,0)</f>
        <v>8.9119112089974823E-14</v>
      </c>
      <c r="P126" s="13">
        <f t="shared" si="87"/>
        <v>1.3568952080113142E-12</v>
      </c>
      <c r="Q126" s="20">
        <f t="shared" si="107"/>
        <v>2.5184749408430782E-12</v>
      </c>
      <c r="R126" s="59">
        <f t="shared" si="55"/>
        <v>293.33333333333582</v>
      </c>
      <c r="S126" s="59">
        <f ca="1">AVERAGE(OFFSET($R$3,0,0,'Données projet'!$E$9+1,1))-AVERAGE(OFFSET($H$3,0,0,'Données projet'!$E$9+1,1))</f>
        <v>225.9892575177542</v>
      </c>
      <c r="T126" s="59">
        <f t="shared" si="88"/>
        <v>215.88467215650428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11.287109350257236</v>
      </c>
      <c r="AA126" s="21">
        <f>EXP(-LN(2)/25)*AA125+(1-EXP(-LN(2)/25))/(LN(2)/25)*Calculateur!V126*Calculateur!X126*VLOOKUP('Données projet'!$B$9,Paramètres!$A$1:$I$89,3,0)*0.475*44/12</f>
        <v>24.019007967338968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35.306117317596204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8.9160000000000021</v>
      </c>
      <c r="AI126" s="13">
        <f>IF('Données projet'!$A$62&gt;35,AI125+AH126-AQ125,IF(A126&lt;'Données projet'!$A$62,$AF$205^A126,IF(A126='Données projet'!$A$62,'Données projet'!$B$62,AI125+AH126-AQ125)))</f>
        <v>442.9440000000007</v>
      </c>
      <c r="AJ126" s="13">
        <f>AI126*VLOOKUP('Données projet'!$B$10,Paramètres!$A$1:$I$89,3,0)*VLOOKUP('Données projet'!$B$10,Paramètres!$A$1:$I$89,5,0)</f>
        <v>449.1452160000008</v>
      </c>
      <c r="AK126" s="13">
        <f t="shared" si="89"/>
        <v>101.67191932991005</v>
      </c>
      <c r="AL126" s="20">
        <f t="shared" si="58"/>
        <v>959.33984403292789</v>
      </c>
      <c r="AM126" s="59">
        <f t="shared" si="59"/>
        <v>1252.6731773662611</v>
      </c>
      <c r="AN126" s="59">
        <f ca="1">AVERAGE(OFFSET($AM$3,0,0,'Données projet'!$E$10+1,1))-AVERAGE(OFFSET($H$3,0,0,'Données projet'!$E$10+1,1))</f>
        <v>644.15138437063933</v>
      </c>
      <c r="AO126" s="59">
        <f t="shared" si="90"/>
        <v>289.3097279858207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34.190919727338809</v>
      </c>
      <c r="AV126" s="21">
        <f>EXP(-LN(2)/25)*AV125+(1-EXP(-LN(2)/25))/(LN(2)/25)*Calculateur!AQ126*Calculateur!AS126*VLOOKUP('Données projet'!$B$10,Paramètres!$A$1:$I$89,3,0)*0.475*44/12</f>
        <v>22.511904662412196</v>
      </c>
      <c r="AW126" s="21">
        <f>EXP(-LN(2)/2)*AW125+(1-EXP(-LN(2)/2))/(LN(2)/2)*AQ126*AT126*VLOOKUP('Données projet'!$B$10,Paramètres!$A$1:$I$89,3,0)*0.475*44/12</f>
        <v>0.27057701641062876</v>
      </c>
      <c r="AX126" s="21">
        <f t="shared" si="60"/>
        <v>56.973401406161628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8.9160000000000021</v>
      </c>
      <c r="BD126" s="12">
        <f>IF('Données projet'!$A$88&gt;35,BD125+BC126-BL125,IF(A126&lt;'Données projet'!$A$88,$BA$205^A126,IF(A126='Données projet'!$A$88,'Données projet'!$B$88,BD125+BC126-BL125)))</f>
        <v>442.9440000000007</v>
      </c>
      <c r="BE126" s="13">
        <f>BD126*VLOOKUP('Données projet'!$B$11,Paramètres!$A$1:$I$89,3,0)*VLOOKUP('Données projet'!$B$11,Paramètres!$A$1:$I$89,5,0)</f>
        <v>400.77573120000062</v>
      </c>
      <c r="BF126" s="13">
        <f t="shared" si="91"/>
        <v>91.933915079444887</v>
      </c>
      <c r="BG126" s="20">
        <f t="shared" si="61"/>
        <v>858.13596727003414</v>
      </c>
      <c r="BH126" s="59">
        <f t="shared" si="62"/>
        <v>1151.4693006033674</v>
      </c>
      <c r="BI126" s="59">
        <f ca="1">AVERAGE(OFFSET($BH$3,0,0,'Données projet'!$E$11+1,1))-AVERAGE(OFFSET($H$3,0,0,'Données projet'!$E$11+1,1))</f>
        <v>573.17174498173017</v>
      </c>
      <c r="BJ126" s="59">
        <f t="shared" si="92"/>
        <v>260.48854096157231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30.508820679779241</v>
      </c>
      <c r="BQ126" s="21">
        <f>EXP(-LN(2)/25)*BQ125+(1-EXP(-LN(2)/25))/(LN(2)/25)*Calculateur!BL126*Calculateur!BN126*VLOOKUP('Données projet'!$B$11,Paramètres!$A$1:$I$89,3,0)*0.475*44/12</f>
        <v>20.087545698767805</v>
      </c>
      <c r="BR126" s="21">
        <f>EXP(-LN(2)/2)*BR125+(1-EXP(-LN(2)/2))/(LN(2)/2)*BL126*BO126*VLOOKUP('Données projet'!$B$11,Paramètres!$A$1:$I$89,3,0)*0.475*44/12</f>
        <v>0.24143795310486887</v>
      </c>
      <c r="BS126" s="22">
        <f t="shared" si="63"/>
        <v>50.837804331651917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8.9160000000000021</v>
      </c>
      <c r="BY126" s="12">
        <f>IF('Données projet'!$A$114&gt;35,BY125+BX126-CG125,IF(A126&lt;'Données projet'!$A$114,$BV$205^A126,IF(A126='Données projet'!$A$114,'Données projet'!$B$114,BY125+BX126-CG125)))</f>
        <v>442.9440000000007</v>
      </c>
      <c r="BZ126" s="13">
        <f>BY126*VLOOKUP('Données projet'!$B$12,Paramètres!$A$1:$I$89,3,0)*VLOOKUP('Données projet'!$B$12,Paramètres!$A$1:$I$89,5,0)</f>
        <v>421.50551040000067</v>
      </c>
      <c r="CA126" s="13">
        <f t="shared" si="93"/>
        <v>96.123200462904308</v>
      </c>
      <c r="CB126" s="20">
        <f t="shared" si="64"/>
        <v>901.53667141955941</v>
      </c>
      <c r="CC126" s="59">
        <f t="shared" si="65"/>
        <v>1194.8700047528928</v>
      </c>
      <c r="CD126" s="59">
        <f ca="1">AVERAGE(OFFSET($CC$3,0,0,'Données projet'!$E$12+1,1))-AVERAGE(OFFSET($H$3,0,0,'Données projet'!$E$12+1,1))</f>
        <v>603.61135046904178</v>
      </c>
      <c r="CE126" s="59">
        <f t="shared" si="94"/>
        <v>272.84936867513068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32.086863128733341</v>
      </c>
      <c r="CL126" s="21">
        <f>EXP(-LN(2)/25)*CL125+(1-EXP(-LN(2)/25))/(LN(2)/25)*Calculateur!CG126*Calculateur!CI126*VLOOKUP('Données projet'!$B$12,Paramètres!$A$1:$I$89,3,0)*0.475*44/12</f>
        <v>21.126556683186827</v>
      </c>
      <c r="CM126" s="21">
        <f>EXP(-LN(2)/2)*CM125+(1-EXP(-LN(2)/2))/(LN(2)/2)*CG126*CJ126*VLOOKUP('Données projet'!$B$12,Paramètres!$A$1:$I$89,3,0)*0.475*44/12</f>
        <v>0.25392612309305151</v>
      </c>
      <c r="CN126" s="22">
        <f t="shared" si="66"/>
        <v>53.467345935013221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37.237200000000001</v>
      </c>
      <c r="D127" s="11">
        <f t="shared" si="86"/>
        <v>11.263344235146393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205.91459131413032</v>
      </c>
      <c r="H127" s="67">
        <f t="shared" si="56"/>
        <v>341.13844787621332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8.5265128291212022E-14</v>
      </c>
      <c r="O127" s="13">
        <f>N127*VLOOKUP('Données projet'!$B$9,Paramètres!$A$1:$I$89,3,0)*VLOOKUP('Données projet'!$B$9,Paramètres!$A$1:$I$89,5,0)</f>
        <v>8.9119112089974823E-14</v>
      </c>
      <c r="P127" s="13">
        <f t="shared" si="87"/>
        <v>1.3568952080113142E-12</v>
      </c>
      <c r="Q127" s="20">
        <f t="shared" si="107"/>
        <v>2.5184749408430782E-12</v>
      </c>
      <c r="R127" s="59">
        <f t="shared" si="55"/>
        <v>293.33333333333582</v>
      </c>
      <c r="S127" s="59">
        <f ca="1">AVERAGE(OFFSET($R$3,0,0,'Données projet'!$E$9+1,1))-AVERAGE(OFFSET($H$3,0,0,'Données projet'!$E$9+1,1))</f>
        <v>225.9892575177542</v>
      </c>
      <c r="T127" s="59">
        <f t="shared" si="88"/>
        <v>215.88467215650428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11.065776020355612</v>
      </c>
      <c r="AA127" s="21">
        <f>EXP(-LN(2)/25)*AA126+(1-EXP(-LN(2)/25))/(LN(2)/25)*Calculateur!V127*Calculateur!X127*VLOOKUP('Données projet'!$B$9,Paramètres!$A$1:$I$89,3,0)*0.475*44/12</f>
        <v>23.36220693136735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34.42798295172296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8.9160000000000021</v>
      </c>
      <c r="AH127" s="12">
        <f t="array" ref="AH127">INDEX(AG:AG,MIN(IF(ISNUMBER(AG127:AG323),ROW(AG127:AG323),"")))</f>
        <v>8.9160000000000021</v>
      </c>
      <c r="AI127" s="13">
        <f>IF('Données projet'!$A$62&gt;35,AI126+AH127-AQ126,IF(A127&lt;'Données projet'!$A$62,$AF$205^A127,IF(A127='Données projet'!$A$62,'Données projet'!$B$62,AI126+AH127-AQ126)))</f>
        <v>451.8600000000007</v>
      </c>
      <c r="AJ127" s="13">
        <f>AI127*VLOOKUP('Données projet'!$B$10,Paramètres!$A$1:$I$89,3,0)*VLOOKUP('Données projet'!$B$10,Paramètres!$A$1:$I$89,5,0)</f>
        <v>458.18604000000073</v>
      </c>
      <c r="AK127" s="13">
        <f t="shared" si="89"/>
        <v>103.47814772253736</v>
      </c>
      <c r="AL127" s="20">
        <f t="shared" si="58"/>
        <v>978.23179361675386</v>
      </c>
      <c r="AM127" s="59">
        <f t="shared" si="59"/>
        <v>1271.5651269500872</v>
      </c>
      <c r="AN127" s="59">
        <f ca="1">AVERAGE(OFFSET($AM$3,0,0,'Données projet'!$E$10+1,1))-AVERAGE(OFFSET($H$3,0,0,'Données projet'!$E$10+1,1))</f>
        <v>644.15138437063933</v>
      </c>
      <c r="AO127" s="59">
        <f t="shared" si="90"/>
        <v>289.3097279858207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57.81</v>
      </c>
      <c r="AR127" s="16">
        <f>IF(ISNA(VLOOKUP(A127,'Données projet'!$A$61:$I$81,5,0)),0%,VLOOKUP(A127,'Données projet'!$A$61:$I$81,5,0)*VLOOKUP('Données projet'!$B$10,Paramètres!$A$1:$I$89,7,0))</f>
        <v>0.15049999999999999</v>
      </c>
      <c r="AS127" s="16">
        <f>IF(ISNA(VLOOKUP(A127,'Données projet'!$A$61:$I$81,6,0)),0%,VLOOKUP(A127,'Données projet'!$A$61:$I$81,6,0)*VLOOKUP('Données projet'!$B$10,Paramètres!$A$1:$I$89,7,0))</f>
        <v>8.6000000000000007E-2</v>
      </c>
      <c r="AT127" s="16">
        <f>IF(ISNA(VLOOKUP(A127,'Données projet'!$A$61:$I$81,7,0)),0%,VLOOKUP(A127,'Données projet'!$A$61:$I$81,7,0))</f>
        <v>0.1</v>
      </c>
      <c r="AU127" s="21">
        <f>EXP(-LN(2)/35)*AU126+(1-EXP(-LN(2)/35))/(LN(2)/35)*AQ127*AR127*VLOOKUP('Données projet'!$B$10,Paramètres!$A$1:$I$89,3,0)*0.475*44/12</f>
        <v>43.273149223572069</v>
      </c>
      <c r="AV127" s="21">
        <f>EXP(-LN(2)/25)*AV126+(1-EXP(-LN(2)/25))/(LN(2)/25)*Calculateur!AQ127*Calculateur!AS127*VLOOKUP('Données projet'!$B$10,Paramètres!$A$1:$I$89,3,0)*0.475*44/12</f>
        <v>27.447339737534058</v>
      </c>
      <c r="AW127" s="21">
        <f>EXP(-LN(2)/2)*AW126+(1-EXP(-LN(2)/2))/(LN(2)/2)*AQ127*AT127*VLOOKUP('Données projet'!$B$10,Paramètres!$A$1:$I$89,3,0)*0.475*44/12</f>
        <v>5.7222193437776019</v>
      </c>
      <c r="AX127" s="21">
        <f t="shared" si="60"/>
        <v>76.442708304883723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451.86</v>
      </c>
      <c r="BB127" s="12">
        <f>VLOOKUP(A127,'Données projet'!$A$87:$I$107,9,0)</f>
        <v>8.9160000000000021</v>
      </c>
      <c r="BC127" s="12">
        <f t="array" ref="BC127">INDEX(BB:BB,MIN(IF(ISNUMBER(BB127:BB323),ROW(BB127:BB323),"")))</f>
        <v>8.9160000000000021</v>
      </c>
      <c r="BD127" s="12">
        <f>IF('Données projet'!$A$88&gt;35,BD126+BC127-BL126,IF(A127&lt;'Données projet'!$A$88,$BA$205^A127,IF(A127='Données projet'!$A$88,'Données projet'!$B$88,BD126+BC127-BL126)))</f>
        <v>451.8600000000007</v>
      </c>
      <c r="BE127" s="13">
        <f>BD127*VLOOKUP('Données projet'!$B$11,Paramètres!$A$1:$I$89,3,0)*VLOOKUP('Données projet'!$B$11,Paramètres!$A$1:$I$89,5,0)</f>
        <v>408.84292800000065</v>
      </c>
      <c r="BF127" s="13">
        <f t="shared" si="91"/>
        <v>93.567145264891295</v>
      </c>
      <c r="BG127" s="20">
        <f t="shared" si="61"/>
        <v>875.03087760302014</v>
      </c>
      <c r="BH127" s="59">
        <f t="shared" si="62"/>
        <v>1168.3642109363534</v>
      </c>
      <c r="BI127" s="59">
        <f ca="1">AVERAGE(OFFSET($BH$3,0,0,'Données projet'!$E$11+1,1))-AVERAGE(OFFSET($H$3,0,0,'Données projet'!$E$11+1,1))</f>
        <v>573.17174498173017</v>
      </c>
      <c r="BJ127" s="59">
        <f t="shared" si="92"/>
        <v>260.48854096157231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57.81</v>
      </c>
      <c r="BM127" s="16">
        <f>IF(ISNA(VLOOKUP(A127,'Données projet'!$A$87:$I$107,5,0)),0%,VLOOKUP(A127,'Données projet'!$A$87:$I$107,5,0)*VLOOKUP('Données projet'!$B$11,Paramètres!$A$1:$I$89,7,0))</f>
        <v>0.15049999999999999</v>
      </c>
      <c r="BN127" s="16">
        <f>IF(ISNA(VLOOKUP(A127,'Données projet'!$A$87:$I$107,6,0)),0%,VLOOKUP(A127,'Données projet'!$A$87:$I$107,6,0)*VLOOKUP('Données projet'!$B$11,Paramètres!$A$1:$I$89,7,0))</f>
        <v>8.6000000000000007E-2</v>
      </c>
      <c r="BO127" s="16">
        <f>IF(ISNA(VLOOKUP(A127,'Données projet'!$A$87:$I$107,7,0)),0%,VLOOKUP(A127,'Données projet'!$A$87:$I$107,7,0))</f>
        <v>0.1</v>
      </c>
      <c r="BP127" s="21">
        <f>EXP(-LN(2)/35)*BP126+(1-EXP(-LN(2)/35))/(LN(2)/35)*BL127*BM127*VLOOKUP('Données projet'!$B$11,Paramètres!$A$1:$I$89,3,0)*0.475*44/12</f>
        <v>38.612963922572</v>
      </c>
      <c r="BQ127" s="21">
        <f>EXP(-LN(2)/25)*BQ126+(1-EXP(-LN(2)/25))/(LN(2)/25)*Calculateur!BL127*Calculateur!BN127*VLOOKUP('Données projet'!$B$11,Paramètres!$A$1:$I$89,3,0)*0.475*44/12</f>
        <v>24.491472381184234</v>
      </c>
      <c r="BR127" s="21">
        <f>EXP(-LN(2)/2)*BR126+(1-EXP(-LN(2)/2))/(LN(2)/2)*BL127*BO127*VLOOKUP('Données projet'!$B$11,Paramètres!$A$1:$I$89,3,0)*0.475*44/12</f>
        <v>5.1059803375246293</v>
      </c>
      <c r="BS127" s="22">
        <f t="shared" si="63"/>
        <v>68.210416641280858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451.86</v>
      </c>
      <c r="BW127" s="12">
        <f>VLOOKUP(A127,'Données projet'!$A$113:$I$133,9,0)</f>
        <v>8.9160000000000021</v>
      </c>
      <c r="BX127" s="12">
        <f t="array" ref="BX127">INDEX(BW:BW,MIN(IF(ISNUMBER(BW127:BW323),ROW(BW127:BW323),"")))</f>
        <v>8.9160000000000021</v>
      </c>
      <c r="BY127" s="12">
        <f>IF('Données projet'!$A$114&gt;35,BY126+BX127-CG126,IF(A127&lt;'Données projet'!$A$114,$BV$205^A127,IF(A127='Données projet'!$A$114,'Données projet'!$B$114,BY126+BX127-CG126)))</f>
        <v>451.8600000000007</v>
      </c>
      <c r="BZ127" s="13">
        <f>BY127*VLOOKUP('Données projet'!$B$12,Paramètres!$A$1:$I$89,3,0)*VLOOKUP('Données projet'!$B$12,Paramètres!$A$1:$I$89,5,0)</f>
        <v>429.98997600000069</v>
      </c>
      <c r="CA127" s="13">
        <f t="shared" si="93"/>
        <v>97.830854405217835</v>
      </c>
      <c r="CB127" s="20">
        <f t="shared" si="64"/>
        <v>919.28794628908884</v>
      </c>
      <c r="CC127" s="59">
        <f t="shared" si="65"/>
        <v>1212.6212796224222</v>
      </c>
      <c r="CD127" s="59">
        <f ca="1">AVERAGE(OFFSET($CC$3,0,0,'Données projet'!$E$12+1,1))-AVERAGE(OFFSET($H$3,0,0,'Données projet'!$E$12+1,1))</f>
        <v>603.61135046904178</v>
      </c>
      <c r="CE127" s="59">
        <f t="shared" si="94"/>
        <v>272.84936867513068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57.81</v>
      </c>
      <c r="CH127" s="16">
        <f>IF(ISNA(VLOOKUP(A127,'Données projet'!$A$113:$I$133,5,0)),0%,VLOOKUP(A127,'Données projet'!$A$113:$I$133,5,0)*VLOOKUP('Données projet'!$B$12,Paramètres!$A$1:$I$89,7,0))</f>
        <v>0.15049999999999999</v>
      </c>
      <c r="CI127" s="16">
        <f>IF(ISNA(VLOOKUP(A127,'Données projet'!$A$113:$I$133,6,0)),0%,VLOOKUP(A127,'Données projet'!$A$113:$I$133,6,0)*VLOOKUP('Données projet'!$B$12,Paramètres!$A$1:$I$89,7,0))</f>
        <v>8.6000000000000007E-2</v>
      </c>
      <c r="CJ127" s="16">
        <f>IF(ISNA(VLOOKUP(A127,'Données projet'!$A$113:$I$133,7,0)),0%,VLOOKUP(A127,'Données projet'!$A$113:$I$133,7,0))</f>
        <v>0.1</v>
      </c>
      <c r="CK127" s="21">
        <f>EXP(-LN(2)/35)*CK126+(1-EXP(-LN(2)/35))/(LN(2)/35)*CG127*CH127*VLOOKUP('Données projet'!$B$12,Paramètres!$A$1:$I$89,3,0)*0.475*44/12</f>
        <v>40.610186194429176</v>
      </c>
      <c r="CL127" s="21">
        <f>EXP(-LN(2)/25)*CL126+(1-EXP(-LN(2)/25))/(LN(2)/25)*Calculateur!CG127*Calculateur!CI127*VLOOKUP('Données projet'!$B$12,Paramètres!$A$1:$I$89,3,0)*0.475*44/12</f>
        <v>25.758272676762729</v>
      </c>
      <c r="CM127" s="21">
        <f>EXP(-LN(2)/2)*CM126+(1-EXP(-LN(2)/2))/(LN(2)/2)*CG127*CJ127*VLOOKUP('Données projet'!$B$12,Paramètres!$A$1:$I$89,3,0)*0.475*44/12</f>
        <v>5.3700827687759034</v>
      </c>
      <c r="CN127" s="22">
        <f t="shared" si="66"/>
        <v>71.738541639967806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37.537500000000001</v>
      </c>
      <c r="D128" s="11">
        <f t="shared" si="86"/>
        <v>11.343567088124036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207.53014447940384</v>
      </c>
      <c r="H128" s="67">
        <f t="shared" si="56"/>
        <v>341.80119184514939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8.5265128291212022E-14</v>
      </c>
      <c r="O128" s="13">
        <f>N128*VLOOKUP('Données projet'!$B$9,Paramètres!$A$1:$I$89,3,0)*VLOOKUP('Données projet'!$B$9,Paramètres!$A$1:$I$89,5,0)</f>
        <v>8.9119112089974823E-14</v>
      </c>
      <c r="P128" s="13">
        <f t="shared" si="87"/>
        <v>1.3568952080113142E-12</v>
      </c>
      <c r="Q128" s="20">
        <f t="shared" si="107"/>
        <v>2.5184749408430782E-12</v>
      </c>
      <c r="R128" s="59">
        <f t="shared" si="55"/>
        <v>293.33333333333582</v>
      </c>
      <c r="S128" s="59">
        <f ca="1">AVERAGE(OFFSET($R$3,0,0,'Données projet'!$E$9+1,1))-AVERAGE(OFFSET($H$3,0,0,'Données projet'!$E$9+1,1))</f>
        <v>225.9892575177542</v>
      </c>
      <c r="T128" s="59">
        <f t="shared" si="88"/>
        <v>215.88467215650428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10.848782902053358</v>
      </c>
      <c r="AA128" s="21">
        <f>EXP(-LN(2)/25)*AA127+(1-EXP(-LN(2)/25))/(LN(2)/25)*Calculateur!V128*Calculateur!X128*VLOOKUP('Données projet'!$B$9,Paramètres!$A$1:$I$89,3,0)*0.475*44/12</f>
        <v>22.723366154264042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33.5721490563174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9.0229999999999961</v>
      </c>
      <c r="AI128" s="13">
        <f>IF('Données projet'!$A$62&gt;35,AI127+AH128-AQ127,IF(A128&lt;'Données projet'!$A$62,$AF$205^A128,IF(A128='Données projet'!$A$62,'Données projet'!$B$62,AI127+AH128-AQ127)))</f>
        <v>403.07300000000072</v>
      </c>
      <c r="AJ128" s="13">
        <f>AI128*VLOOKUP('Données projet'!$B$10,Paramètres!$A$1:$I$89,3,0)*VLOOKUP('Données projet'!$B$10,Paramètres!$A$1:$I$89,5,0)</f>
        <v>408.71602200000075</v>
      </c>
      <c r="AK128" s="13">
        <f t="shared" si="89"/>
        <v>93.541481959099485</v>
      </c>
      <c r="AL128" s="20">
        <f t="shared" si="58"/>
        <v>874.76515272876622</v>
      </c>
      <c r="AM128" s="59">
        <f t="shared" si="59"/>
        <v>1168.0984860620995</v>
      </c>
      <c r="AN128" s="59">
        <f ca="1">AVERAGE(OFFSET($AM$3,0,0,'Données projet'!$E$10+1,1))-AVERAGE(OFFSET($H$3,0,0,'Données projet'!$E$10+1,1))</f>
        <v>644.15138437063933</v>
      </c>
      <c r="AO128" s="59">
        <f t="shared" si="90"/>
        <v>289.3097279858207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42.424589161312653</v>
      </c>
      <c r="AV128" s="21">
        <f>EXP(-LN(2)/25)*AV127+(1-EXP(-LN(2)/25))/(LN(2)/25)*Calculateur!AQ128*Calculateur!AS128*VLOOKUP('Données projet'!$B$10,Paramètres!$A$1:$I$89,3,0)*0.475*44/12</f>
        <v>26.696790789018323</v>
      </c>
      <c r="AW128" s="21">
        <f>EXP(-LN(2)/2)*AW127+(1-EXP(-LN(2)/2))/(LN(2)/2)*AQ128*AT128*VLOOKUP('Données projet'!$B$10,Paramètres!$A$1:$I$89,3,0)*0.475*44/12</f>
        <v>4.0462201014219783</v>
      </c>
      <c r="AX128" s="21">
        <f t="shared" si="60"/>
        <v>73.167600051752956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9.0229999999999961</v>
      </c>
      <c r="BD128" s="12">
        <f>IF('Données projet'!$A$88&gt;35,BD127+BC128-BL127,IF(A128&lt;'Données projet'!$A$88,$BA$205^A128,IF(A128='Données projet'!$A$88,'Données projet'!$B$88,BD127+BC128-BL127)))</f>
        <v>403.07300000000072</v>
      </c>
      <c r="BE128" s="13">
        <f>BD128*VLOOKUP('Données projet'!$B$11,Paramètres!$A$1:$I$89,3,0)*VLOOKUP('Données projet'!$B$11,Paramètres!$A$1:$I$89,5,0)</f>
        <v>364.70045040000065</v>
      </c>
      <c r="BF128" s="13">
        <f t="shared" si="91"/>
        <v>84.582200429685614</v>
      </c>
      <c r="BG128" s="20">
        <f t="shared" si="61"/>
        <v>782.50061686170341</v>
      </c>
      <c r="BH128" s="59">
        <f t="shared" si="62"/>
        <v>1075.8339501950368</v>
      </c>
      <c r="BI128" s="59">
        <f ca="1">AVERAGE(OFFSET($BH$3,0,0,'Données projet'!$E$11+1,1))-AVERAGE(OFFSET($H$3,0,0,'Données projet'!$E$11+1,1))</f>
        <v>573.17174498173017</v>
      </c>
      <c r="BJ128" s="59">
        <f t="shared" si="92"/>
        <v>260.48854096157231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37.855787251632833</v>
      </c>
      <c r="BQ128" s="21">
        <f>EXP(-LN(2)/25)*BQ127+(1-EXP(-LN(2)/25))/(LN(2)/25)*Calculateur!BL128*Calculateur!BN128*VLOOKUP('Données projet'!$B$11,Paramètres!$A$1:$I$89,3,0)*0.475*44/12</f>
        <v>23.821751780970196</v>
      </c>
      <c r="BR128" s="21">
        <f>EXP(-LN(2)/2)*BR127+(1-EXP(-LN(2)/2))/(LN(2)/2)*BL128*BO128*VLOOKUP('Données projet'!$B$11,Paramètres!$A$1:$I$89,3,0)*0.475*44/12</f>
        <v>3.6104733212688425</v>
      </c>
      <c r="BS128" s="22">
        <f t="shared" si="63"/>
        <v>65.288012353871878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9.0229999999999961</v>
      </c>
      <c r="BY128" s="12">
        <f>IF('Données projet'!$A$114&gt;35,BY127+BX128-CG127,IF(A128&lt;'Données projet'!$A$114,$BV$205^A128,IF(A128='Données projet'!$A$114,'Données projet'!$B$114,BY127+BX128-CG127)))</f>
        <v>403.07300000000072</v>
      </c>
      <c r="BZ128" s="13">
        <f>BY128*VLOOKUP('Données projet'!$B$12,Paramètres!$A$1:$I$89,3,0)*VLOOKUP('Données projet'!$B$12,Paramètres!$A$1:$I$89,5,0)</f>
        <v>383.56426680000067</v>
      </c>
      <c r="CA128" s="13">
        <f t="shared" si="93"/>
        <v>88.436479622024081</v>
      </c>
      <c r="CB128" s="20">
        <f t="shared" si="64"/>
        <v>822.06796668502648</v>
      </c>
      <c r="CC128" s="59">
        <f t="shared" si="65"/>
        <v>1115.4013000183597</v>
      </c>
      <c r="CD128" s="59">
        <f ca="1">AVERAGE(OFFSET($CC$3,0,0,'Données projet'!$E$12+1,1))-AVERAGE(OFFSET($H$3,0,0,'Données projet'!$E$12+1,1))</f>
        <v>603.61135046904178</v>
      </c>
      <c r="CE128" s="59">
        <f t="shared" si="94"/>
        <v>272.84936867513068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39.813845212924186</v>
      </c>
      <c r="CL128" s="21">
        <f>EXP(-LN(2)/25)*CL127+(1-EXP(-LN(2)/25))/(LN(2)/25)*Calculateur!CG128*Calculateur!CI128*VLOOKUP('Données projet'!$B$12,Paramètres!$A$1:$I$89,3,0)*0.475*44/12</f>
        <v>25.053911355847962</v>
      </c>
      <c r="CM128" s="21">
        <f>EXP(-LN(2)/2)*CM127+(1-EXP(-LN(2)/2))/(LN(2)/2)*CG128*CJ128*VLOOKUP('Données projet'!$B$12,Paramètres!$A$1:$I$89,3,0)*0.475*44/12</f>
        <v>3.7972219413344721</v>
      </c>
      <c r="CN128" s="22">
        <f t="shared" si="66"/>
        <v>68.664978510106621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37.837800000000001</v>
      </c>
      <c r="D129" s="11">
        <f t="shared" si="86"/>
        <v>11.423715271509701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209.14538062640966</v>
      </c>
      <c r="H129" s="67">
        <f t="shared" si="56"/>
        <v>342.46380576454607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8.5265128291212022E-14</v>
      </c>
      <c r="O129" s="13">
        <f>N129*VLOOKUP('Données projet'!$B$9,Paramètres!$A$1:$I$89,3,0)*VLOOKUP('Données projet'!$B$9,Paramètres!$A$1:$I$89,5,0)</f>
        <v>8.9119112089974823E-14</v>
      </c>
      <c r="P129" s="13">
        <f t="shared" si="87"/>
        <v>1.3568952080113142E-12</v>
      </c>
      <c r="Q129" s="20">
        <f t="shared" si="107"/>
        <v>2.5184749408430782E-12</v>
      </c>
      <c r="R129" s="59">
        <f t="shared" si="55"/>
        <v>293.33333333333582</v>
      </c>
      <c r="S129" s="59">
        <f ca="1">AVERAGE(OFFSET($R$3,0,0,'Données projet'!$E$9+1,1))-AVERAGE(OFFSET($H$3,0,0,'Données projet'!$E$9+1,1))</f>
        <v>225.9892575177542</v>
      </c>
      <c r="T129" s="59">
        <f t="shared" si="88"/>
        <v>215.88467215650428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10.636044886448277</v>
      </c>
      <c r="AA129" s="21">
        <f>EXP(-LN(2)/25)*AA128+(1-EXP(-LN(2)/25))/(LN(2)/25)*Calculateur!V129*Calculateur!X129*VLOOKUP('Données projet'!$B$9,Paramètres!$A$1:$I$89,3,0)*0.475*44/12</f>
        <v>22.101994511805799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32.738039398254074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9.0229999999999961</v>
      </c>
      <c r="AI129" s="13">
        <f>IF('Données projet'!$A$62&gt;35,AI128+AH129-AQ128,IF(A129&lt;'Données projet'!$A$62,$AF$205^A129,IF(A129='Données projet'!$A$62,'Données projet'!$B$62,AI128+AH129-AQ128)))</f>
        <v>412.09600000000069</v>
      </c>
      <c r="AJ129" s="13">
        <f>AI129*VLOOKUP('Données projet'!$B$10,Paramètres!$A$1:$I$89,3,0)*VLOOKUP('Données projet'!$B$10,Paramètres!$A$1:$I$89,5,0)</f>
        <v>417.86534400000068</v>
      </c>
      <c r="AK129" s="13">
        <f t="shared" si="89"/>
        <v>95.389327572593899</v>
      </c>
      <c r="AL129" s="20">
        <f t="shared" si="58"/>
        <v>893.91855298893552</v>
      </c>
      <c r="AM129" s="59">
        <f t="shared" si="59"/>
        <v>1187.2518863222688</v>
      </c>
      <c r="AN129" s="59">
        <f ca="1">AVERAGE(OFFSET($AM$3,0,0,'Données projet'!$E$10+1,1))-AVERAGE(OFFSET($H$3,0,0,'Données projet'!$E$10+1,1))</f>
        <v>644.15138437063933</v>
      </c>
      <c r="AO129" s="59">
        <f t="shared" si="90"/>
        <v>289.3097279858207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41.592668844303617</v>
      </c>
      <c r="AV129" s="21">
        <f>EXP(-LN(2)/25)*AV128+(1-EXP(-LN(2)/25))/(LN(2)/25)*Calculateur!AQ129*Calculateur!AS129*VLOOKUP('Données projet'!$B$10,Paramètres!$A$1:$I$89,3,0)*0.475*44/12</f>
        <v>25.966765640969406</v>
      </c>
      <c r="AW129" s="21">
        <f>EXP(-LN(2)/2)*AW128+(1-EXP(-LN(2)/2))/(LN(2)/2)*AQ129*AT129*VLOOKUP('Données projet'!$B$10,Paramètres!$A$1:$I$89,3,0)*0.475*44/12</f>
        <v>2.8611096718888009</v>
      </c>
      <c r="AX129" s="21">
        <f t="shared" si="60"/>
        <v>70.420544157161814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9.0229999999999961</v>
      </c>
      <c r="BD129" s="12">
        <f>IF('Données projet'!$A$88&gt;35,BD128+BC129-BL128,IF(A129&lt;'Données projet'!$A$88,$BA$205^A129,IF(A129='Données projet'!$A$88,'Données projet'!$B$88,BD128+BC129-BL128)))</f>
        <v>412.09600000000069</v>
      </c>
      <c r="BE129" s="13">
        <f>BD129*VLOOKUP('Données projet'!$B$11,Paramètres!$A$1:$I$89,3,0)*VLOOKUP('Données projet'!$B$11,Paramètres!$A$1:$I$89,5,0)</f>
        <v>372.86446080000059</v>
      </c>
      <c r="BF129" s="13">
        <f t="shared" si="91"/>
        <v>86.253061792690659</v>
      </c>
      <c r="BG129" s="20">
        <f t="shared" si="61"/>
        <v>799.62968518227046</v>
      </c>
      <c r="BH129" s="59">
        <f t="shared" si="62"/>
        <v>1092.9630185156038</v>
      </c>
      <c r="BI129" s="59">
        <f ca="1">AVERAGE(OFFSET($BH$3,0,0,'Données projet'!$E$11+1,1))-AVERAGE(OFFSET($H$3,0,0,'Données projet'!$E$11+1,1))</f>
        <v>573.17174498173017</v>
      </c>
      <c r="BJ129" s="59">
        <f t="shared" si="92"/>
        <v>260.48854096157231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37.113458353378611</v>
      </c>
      <c r="BQ129" s="21">
        <f>EXP(-LN(2)/25)*BQ128+(1-EXP(-LN(2)/25))/(LN(2)/25)*Calculateur!BL129*Calculateur!BN129*VLOOKUP('Données projet'!$B$11,Paramètres!$A$1:$I$89,3,0)*0.475*44/12</f>
        <v>23.170344725788084</v>
      </c>
      <c r="BR129" s="21">
        <f>EXP(-LN(2)/2)*BR128+(1-EXP(-LN(2)/2))/(LN(2)/2)*BL129*BO129*VLOOKUP('Données projet'!$B$11,Paramètres!$A$1:$I$89,3,0)*0.475*44/12</f>
        <v>2.5529901687623151</v>
      </c>
      <c r="BS129" s="22">
        <f t="shared" si="63"/>
        <v>62.836793247929009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9.0229999999999961</v>
      </c>
      <c r="BY129" s="12">
        <f>IF('Données projet'!$A$114&gt;35,BY128+BX129-CG128,IF(A129&lt;'Données projet'!$A$114,$BV$205^A129,IF(A129='Données projet'!$A$114,'Données projet'!$B$114,BY128+BX129-CG128)))</f>
        <v>412.09600000000069</v>
      </c>
      <c r="BZ129" s="13">
        <f>BY129*VLOOKUP('Données projet'!$B$12,Paramètres!$A$1:$I$89,3,0)*VLOOKUP('Données projet'!$B$12,Paramètres!$A$1:$I$89,5,0)</f>
        <v>392.15055360000065</v>
      </c>
      <c r="CA129" s="13">
        <f t="shared" si="93"/>
        <v>90.183479536071829</v>
      </c>
      <c r="CB129" s="20">
        <f t="shared" si="64"/>
        <v>840.06510771199294</v>
      </c>
      <c r="CC129" s="59">
        <f t="shared" si="65"/>
        <v>1133.3984410453263</v>
      </c>
      <c r="CD129" s="59">
        <f ca="1">AVERAGE(OFFSET($CC$3,0,0,'Données projet'!$E$12+1,1))-AVERAGE(OFFSET($H$3,0,0,'Données projet'!$E$12+1,1))</f>
        <v>603.61135046904178</v>
      </c>
      <c r="CE129" s="59">
        <f t="shared" si="94"/>
        <v>272.84936867513068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39.033119992346471</v>
      </c>
      <c r="CL129" s="21">
        <f>EXP(-LN(2)/25)*CL128+(1-EXP(-LN(2)/25))/(LN(2)/25)*Calculateur!CG129*Calculateur!CI129*VLOOKUP('Données projet'!$B$12,Paramètres!$A$1:$I$89,3,0)*0.475*44/12</f>
        <v>24.368810832294361</v>
      </c>
      <c r="CM129" s="21">
        <f>EXP(-LN(2)/2)*CM128+(1-EXP(-LN(2)/2))/(LN(2)/2)*CG129*CJ129*VLOOKUP('Données projet'!$B$12,Paramètres!$A$1:$I$89,3,0)*0.475*44/12</f>
        <v>2.6850413843879521</v>
      </c>
      <c r="CN129" s="22">
        <f t="shared" si="66"/>
        <v>66.086972209028787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38.138100000000001</v>
      </c>
      <c r="D130" s="11">
        <f t="shared" si="86"/>
        <v>11.503789446608112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210.76030256279236</v>
      </c>
      <c r="H130" s="67">
        <f t="shared" si="56"/>
        <v>343.12629078617579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8.5265128291212022E-14</v>
      </c>
      <c r="O130" s="13">
        <f>N130*VLOOKUP('Données projet'!$B$9,Paramètres!$A$1:$I$89,3,0)*VLOOKUP('Données projet'!$B$9,Paramètres!$A$1:$I$89,5,0)</f>
        <v>8.9119112089974823E-14</v>
      </c>
      <c r="P130" s="13">
        <f t="shared" si="87"/>
        <v>1.3568952080113142E-12</v>
      </c>
      <c r="Q130" s="20">
        <f t="shared" si="107"/>
        <v>2.5184749408430782E-12</v>
      </c>
      <c r="R130" s="59">
        <f t="shared" si="55"/>
        <v>293.33333333333582</v>
      </c>
      <c r="S130" s="59">
        <f ca="1">AVERAGE(OFFSET($R$3,0,0,'Données projet'!$E$9+1,1))-AVERAGE(OFFSET($H$3,0,0,'Données projet'!$E$9+1,1))</f>
        <v>225.9892575177542</v>
      </c>
      <c r="T130" s="59">
        <f t="shared" si="88"/>
        <v>215.88467215650428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10.427478533571835</v>
      </c>
      <c r="AA130" s="21">
        <f>EXP(-LN(2)/25)*AA129+(1-EXP(-LN(2)/25))/(LN(2)/25)*Calculateur!V130*Calculateur!X130*VLOOKUP('Données projet'!$B$9,Paramètres!$A$1:$I$89,3,0)*0.475*44/12</f>
        <v>21.497614309587092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31.925092843158929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9.0229999999999961</v>
      </c>
      <c r="AI130" s="13">
        <f>IF('Données projet'!$A$62&gt;35,AI129+AH130-AQ129,IF(A130&lt;'Données projet'!$A$62,$AF$205^A130,IF(A130='Données projet'!$A$62,'Données projet'!$B$62,AI129+AH130-AQ129)))</f>
        <v>421.11900000000071</v>
      </c>
      <c r="AJ130" s="13">
        <f>AI130*VLOOKUP('Données projet'!$B$10,Paramètres!$A$1:$I$89,3,0)*VLOOKUP('Données projet'!$B$10,Paramètres!$A$1:$I$89,5,0)</f>
        <v>427.01466600000072</v>
      </c>
      <c r="AK130" s="13">
        <f t="shared" si="89"/>
        <v>97.232469323868258</v>
      </c>
      <c r="AL130" s="20">
        <f t="shared" si="58"/>
        <v>913.06376068907173</v>
      </c>
      <c r="AM130" s="59">
        <f t="shared" si="59"/>
        <v>1206.3970940224051</v>
      </c>
      <c r="AN130" s="59">
        <f ca="1">AVERAGE(OFFSET($AM$3,0,0,'Données projet'!$E$10+1,1))-AVERAGE(OFFSET($H$3,0,0,'Données projet'!$E$10+1,1))</f>
        <v>644.15138437063933</v>
      </c>
      <c r="AO130" s="59">
        <f t="shared" si="90"/>
        <v>289.3097279858207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40.777061977289833</v>
      </c>
      <c r="AV130" s="21">
        <f>EXP(-LN(2)/25)*AV129+(1-EXP(-LN(2)/25))/(LN(2)/25)*Calculateur!AQ130*Calculateur!AS130*VLOOKUP('Données projet'!$B$10,Paramètres!$A$1:$I$89,3,0)*0.475*44/12</f>
        <v>25.25670306898424</v>
      </c>
      <c r="AW130" s="21">
        <f>EXP(-LN(2)/2)*AW129+(1-EXP(-LN(2)/2))/(LN(2)/2)*AQ130*AT130*VLOOKUP('Données projet'!$B$10,Paramètres!$A$1:$I$89,3,0)*0.475*44/12</f>
        <v>2.0231100507109891</v>
      </c>
      <c r="AX130" s="21">
        <f t="shared" si="60"/>
        <v>68.056875096985053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9.0229999999999961</v>
      </c>
      <c r="BD130" s="12">
        <f>IF('Données projet'!$A$88&gt;35,BD129+BC130-BL129,IF(A130&lt;'Données projet'!$A$88,$BA$205^A130,IF(A130='Données projet'!$A$88,'Données projet'!$B$88,BD129+BC130-BL129)))</f>
        <v>421.11900000000071</v>
      </c>
      <c r="BE130" s="13">
        <f>BD130*VLOOKUP('Données projet'!$B$11,Paramètres!$A$1:$I$89,3,0)*VLOOKUP('Données projet'!$B$11,Paramètres!$A$1:$I$89,5,0)</f>
        <v>381.02847120000064</v>
      </c>
      <c r="BF130" s="13">
        <f t="shared" si="91"/>
        <v>87.919669823283783</v>
      </c>
      <c r="BG130" s="20">
        <f t="shared" si="61"/>
        <v>816.75134561555353</v>
      </c>
      <c r="BH130" s="59">
        <f t="shared" si="62"/>
        <v>1110.0846789488869</v>
      </c>
      <c r="BI130" s="59">
        <f ca="1">AVERAGE(OFFSET($BH$3,0,0,'Données projet'!$E$11+1,1))-AVERAGE(OFFSET($H$3,0,0,'Données projet'!$E$11+1,1))</f>
        <v>573.17174498173017</v>
      </c>
      <c r="BJ130" s="59">
        <f t="shared" si="92"/>
        <v>260.48854096157231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36.385686072043235</v>
      </c>
      <c r="BQ130" s="21">
        <f>EXP(-LN(2)/25)*BQ129+(1-EXP(-LN(2)/25))/(LN(2)/25)*Calculateur!BL130*Calculateur!BN130*VLOOKUP('Données projet'!$B$11,Paramètres!$A$1:$I$89,3,0)*0.475*44/12</f>
        <v>22.536750430785936</v>
      </c>
      <c r="BR130" s="21">
        <f>EXP(-LN(2)/2)*BR129+(1-EXP(-LN(2)/2))/(LN(2)/2)*BL130*BO130*VLOOKUP('Données projet'!$B$11,Paramètres!$A$1:$I$89,3,0)*0.475*44/12</f>
        <v>1.8052366606344215</v>
      </c>
      <c r="BS130" s="22">
        <f t="shared" si="63"/>
        <v>60.727673163463592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9.0229999999999961</v>
      </c>
      <c r="BY130" s="12">
        <f>IF('Données projet'!$A$114&gt;35,BY129+BX130-CG129,IF(A130&lt;'Données projet'!$A$114,$BV$205^A130,IF(A130='Données projet'!$A$114,'Données projet'!$B$114,BY129+BX130-CG129)))</f>
        <v>421.11900000000071</v>
      </c>
      <c r="BZ130" s="13">
        <f>BY130*VLOOKUP('Données projet'!$B$12,Paramètres!$A$1:$I$89,3,0)*VLOOKUP('Données projet'!$B$12,Paramètres!$A$1:$I$89,5,0)</f>
        <v>400.73684040000069</v>
      </c>
      <c r="CA130" s="13">
        <f t="shared" si="93"/>
        <v>91.92603229997124</v>
      </c>
      <c r="CB130" s="20">
        <f t="shared" si="64"/>
        <v>858.05450328578445</v>
      </c>
      <c r="CC130" s="59">
        <f t="shared" si="65"/>
        <v>1151.3878366191177</v>
      </c>
      <c r="CD130" s="59">
        <f ca="1">AVERAGE(OFFSET($CC$3,0,0,'Données projet'!$E$12+1,1))-AVERAGE(OFFSET($H$3,0,0,'Données projet'!$E$12+1,1))</f>
        <v>603.61135046904178</v>
      </c>
      <c r="CE130" s="59">
        <f t="shared" si="94"/>
        <v>272.84936867513068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38.267704317148919</v>
      </c>
      <c r="CL130" s="21">
        <f>EXP(-LN(2)/25)*CL129+(1-EXP(-LN(2)/25))/(LN(2)/25)*Calculateur!CG130*Calculateur!CI130*VLOOKUP('Données projet'!$B$12,Paramètres!$A$1:$I$89,3,0)*0.475*44/12</f>
        <v>23.702444418585205</v>
      </c>
      <c r="CM130" s="21">
        <f>EXP(-LN(2)/2)*CM129+(1-EXP(-LN(2)/2))/(LN(2)/2)*CG130*CJ130*VLOOKUP('Données projet'!$B$12,Paramètres!$A$1:$I$89,3,0)*0.475*44/12</f>
        <v>1.8986109706672365</v>
      </c>
      <c r="CN130" s="22">
        <f t="shared" si="66"/>
        <v>63.868759706401363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38.438400000000001</v>
      </c>
      <c r="D131" s="11">
        <f t="shared" si="86"/>
        <v>11.583790263708339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212.37491304942841</v>
      </c>
      <c r="H131" s="67">
        <f t="shared" si="56"/>
        <v>343.78864804262537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8.5265128291212022E-14</v>
      </c>
      <c r="O131" s="13">
        <f>N131*VLOOKUP('Données projet'!$B$9,Paramètres!$A$1:$I$89,3,0)*VLOOKUP('Données projet'!$B$9,Paramètres!$A$1:$I$89,5,0)</f>
        <v>8.9119112089974823E-14</v>
      </c>
      <c r="P131" s="13">
        <f t="shared" si="87"/>
        <v>1.3568952080113142E-12</v>
      </c>
      <c r="Q131" s="20">
        <f t="shared" ref="Q131:Q153" si="108">(O131+P131)*0.475*44/12</f>
        <v>2.5184749408430782E-12</v>
      </c>
      <c r="R131" s="59">
        <f t="shared" ref="R131:R194" si="109">Q131+(I131+J131)*44/12</f>
        <v>293.33333333333582</v>
      </c>
      <c r="S131" s="59">
        <f ca="1">AVERAGE(OFFSET($R$3,0,0,'Données projet'!$E$9+1,1))-AVERAGE(OFFSET($H$3,0,0,'Données projet'!$E$9+1,1))</f>
        <v>225.9892575177542</v>
      </c>
      <c r="T131" s="59">
        <f t="shared" si="88"/>
        <v>215.88467215650428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10.223002039662385</v>
      </c>
      <c r="AA131" s="21">
        <f>EXP(-LN(2)/25)*AA130+(1-EXP(-LN(2)/25))/(LN(2)/25)*Calculateur!V131*Calculateur!X131*VLOOKUP('Données projet'!$B$9,Paramètres!$A$1:$I$89,3,0)*0.475*44/12</f>
        <v>20.909760915781032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31.132762955443418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9.0229999999999961</v>
      </c>
      <c r="AI131" s="13">
        <f>IF('Données projet'!$A$62&gt;35,AI130+AH131-AQ130,IF(A131&lt;'Données projet'!$A$62,$AF$205^A131,IF(A131='Données projet'!$A$62,'Données projet'!$B$62,AI130+AH131-AQ130)))</f>
        <v>430.14200000000073</v>
      </c>
      <c r="AJ131" s="13">
        <f>AI131*VLOOKUP('Données projet'!$B$10,Paramètres!$A$1:$I$89,3,0)*VLOOKUP('Données projet'!$B$10,Paramètres!$A$1:$I$89,5,0)</f>
        <v>436.16398800000076</v>
      </c>
      <c r="AK131" s="13">
        <f t="shared" si="89"/>
        <v>99.071019607718114</v>
      </c>
      <c r="AL131" s="20">
        <f t="shared" si="58"/>
        <v>932.20097158344367</v>
      </c>
      <c r="AM131" s="59">
        <f t="shared" si="59"/>
        <v>1225.534304916777</v>
      </c>
      <c r="AN131" s="59">
        <f ca="1">AVERAGE(OFFSET($AM$3,0,0,'Données projet'!$E$10+1,1))-AVERAGE(OFFSET($H$3,0,0,'Données projet'!$E$10+1,1))</f>
        <v>644.15138437063933</v>
      </c>
      <c r="AO131" s="59">
        <f t="shared" si="90"/>
        <v>289.3097279858207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39.977448663467122</v>
      </c>
      <c r="AV131" s="21">
        <f>EXP(-LN(2)/25)*AV130+(1-EXP(-LN(2)/25))/(LN(2)/25)*Calculateur!AQ131*Calculateur!AS131*VLOOKUP('Données projet'!$B$10,Paramètres!$A$1:$I$89,3,0)*0.475*44/12</f>
        <v>24.566057195370576</v>
      </c>
      <c r="AW131" s="21">
        <f>EXP(-LN(2)/2)*AW130+(1-EXP(-LN(2)/2))/(LN(2)/2)*AQ131*AT131*VLOOKUP('Données projet'!$B$10,Paramètres!$A$1:$I$89,3,0)*0.475*44/12</f>
        <v>1.4305548359444005</v>
      </c>
      <c r="AX131" s="21">
        <f t="shared" si="60"/>
        <v>65.974060694782111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9.0229999999999961</v>
      </c>
      <c r="BD131" s="12">
        <f>IF('Données projet'!$A$88&gt;35,BD130+BC131-BL130,IF(A131&lt;'Données projet'!$A$88,$BA$205^A131,IF(A131='Données projet'!$A$88,'Données projet'!$B$88,BD130+BC131-BL130)))</f>
        <v>430.14200000000073</v>
      </c>
      <c r="BE131" s="13">
        <f>BD131*VLOOKUP('Données projet'!$B$11,Paramètres!$A$1:$I$89,3,0)*VLOOKUP('Données projet'!$B$11,Paramètres!$A$1:$I$89,5,0)</f>
        <v>389.19248160000063</v>
      </c>
      <c r="BF131" s="13">
        <f t="shared" si="91"/>
        <v>89.582126151232899</v>
      </c>
      <c r="BG131" s="20">
        <f t="shared" si="61"/>
        <v>833.86577516673162</v>
      </c>
      <c r="BH131" s="59">
        <f t="shared" si="62"/>
        <v>1127.199108500065</v>
      </c>
      <c r="BI131" s="59">
        <f ca="1">AVERAGE(OFFSET($BH$3,0,0,'Données projet'!$E$11+1,1))-AVERAGE(OFFSET($H$3,0,0,'Données projet'!$E$11+1,1))</f>
        <v>573.17174498173017</v>
      </c>
      <c r="BJ131" s="59">
        <f t="shared" si="92"/>
        <v>260.48854096157231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35.672184961247588</v>
      </c>
      <c r="BQ131" s="21">
        <f>EXP(-LN(2)/25)*BQ130+(1-EXP(-LN(2)/25))/(LN(2)/25)*Calculateur!BL131*Calculateur!BN131*VLOOKUP('Données projet'!$B$11,Paramètres!$A$1:$I$89,3,0)*0.475*44/12</f>
        <v>21.920481805099897</v>
      </c>
      <c r="BR131" s="21">
        <f>EXP(-LN(2)/2)*BR130+(1-EXP(-LN(2)/2))/(LN(2)/2)*BL131*BO131*VLOOKUP('Données projet'!$B$11,Paramètres!$A$1:$I$89,3,0)*0.475*44/12</f>
        <v>1.2764950843811578</v>
      </c>
      <c r="BS131" s="22">
        <f t="shared" si="63"/>
        <v>58.869161850728645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9.0229999999999961</v>
      </c>
      <c r="BY131" s="12">
        <f>IF('Données projet'!$A$114&gt;35,BY130+BX131-CG130,IF(A131&lt;'Données projet'!$A$114,$BV$205^A131,IF(A131='Données projet'!$A$114,'Données projet'!$B$114,BY130+BX131-CG130)))</f>
        <v>430.14200000000073</v>
      </c>
      <c r="BZ131" s="13">
        <f>BY131*VLOOKUP('Données projet'!$B$12,Paramètres!$A$1:$I$89,3,0)*VLOOKUP('Données projet'!$B$12,Paramètres!$A$1:$I$89,5,0)</f>
        <v>409.32312720000073</v>
      </c>
      <c r="CA131" s="13">
        <f t="shared" si="93"/>
        <v>93.66424417460081</v>
      </c>
      <c r="CB131" s="20">
        <f t="shared" si="64"/>
        <v>876.03633847743095</v>
      </c>
      <c r="CC131" s="59">
        <f t="shared" si="65"/>
        <v>1169.3696718107642</v>
      </c>
      <c r="CD131" s="59">
        <f ca="1">AVERAGE(OFFSET($CC$3,0,0,'Données projet'!$E$12+1,1))-AVERAGE(OFFSET($H$3,0,0,'Données projet'!$E$12+1,1))</f>
        <v>603.61135046904178</v>
      </c>
      <c r="CE131" s="59">
        <f t="shared" si="94"/>
        <v>272.84936867513068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37.517297976484528</v>
      </c>
      <c r="CL131" s="21">
        <f>EXP(-LN(2)/25)*CL130+(1-EXP(-LN(2)/25))/(LN(2)/25)*Calculateur!CG131*Calculateur!CI131*VLOOKUP('Données projet'!$B$12,Paramètres!$A$1:$I$89,3,0)*0.475*44/12</f>
        <v>23.054299829501613</v>
      </c>
      <c r="CM131" s="21">
        <f>EXP(-LN(2)/2)*CM130+(1-EXP(-LN(2)/2))/(LN(2)/2)*CG131*CJ131*VLOOKUP('Données projet'!$B$12,Paramètres!$A$1:$I$89,3,0)*0.475*44/12</f>
        <v>1.3425206921939763</v>
      </c>
      <c r="CN131" s="22">
        <f t="shared" si="66"/>
        <v>61.914118498180123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38.738700000000001</v>
      </c>
      <c r="D132" s="11">
        <f t="shared" si="86"/>
        <v>11.663718362351911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213.98921480156426</v>
      </c>
      <c r="H132" s="67">
        <f t="shared" ref="H132:H195" si="110">(B132+E132+F132)*44/12+(C132+D132)*0.475*44/12</f>
        <v>344.45087864776292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8.5265128291212022E-14</v>
      </c>
      <c r="O132" s="13">
        <f>N132*VLOOKUP('Données projet'!$B$9,Paramètres!$A$1:$I$89,3,0)*VLOOKUP('Données projet'!$B$9,Paramètres!$A$1:$I$89,5,0)</f>
        <v>8.9119112089974823E-14</v>
      </c>
      <c r="P132" s="13">
        <f t="shared" si="87"/>
        <v>1.3568952080113142E-12</v>
      </c>
      <c r="Q132" s="20">
        <f t="shared" si="108"/>
        <v>2.5184749408430782E-12</v>
      </c>
      <c r="R132" s="59">
        <f t="shared" si="109"/>
        <v>293.33333333333582</v>
      </c>
      <c r="S132" s="59">
        <f ca="1">AVERAGE(OFFSET($R$3,0,0,'Données projet'!$E$9+1,1))-AVERAGE(OFFSET($H$3,0,0,'Données projet'!$E$9+1,1))</f>
        <v>225.9892575177542</v>
      </c>
      <c r="T132" s="59">
        <f t="shared" si="88"/>
        <v>215.88467215650428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10.022535205080153</v>
      </c>
      <c r="AA132" s="21">
        <f>EXP(-LN(2)/25)*AA131+(1-EXP(-LN(2)/25))/(LN(2)/25)*Calculateur!V132*Calculateur!X132*VLOOKUP('Données projet'!$B$9,Paramètres!$A$1:$I$89,3,0)*0.475*44/12</f>
        <v>20.337982403942462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30.360517609022615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9.0229999999999961</v>
      </c>
      <c r="AI132" s="13">
        <f>IF('Données projet'!$A$62&gt;35,AI131+AH132-AQ131,IF(A132&lt;'Données projet'!$A$62,$AF$205^A132,IF(A132='Données projet'!$A$62,'Données projet'!$B$62,AI131+AH132-AQ131)))</f>
        <v>439.16500000000076</v>
      </c>
      <c r="AJ132" s="13">
        <f>AI132*VLOOKUP('Données projet'!$B$10,Paramètres!$A$1:$I$89,3,0)*VLOOKUP('Données projet'!$B$10,Paramètres!$A$1:$I$89,5,0)</f>
        <v>445.3133100000008</v>
      </c>
      <c r="AK132" s="13">
        <f t="shared" si="89"/>
        <v>100.90508583412877</v>
      </c>
      <c r="AL132" s="20">
        <f t="shared" ref="AL132:AL153" si="112">(AJ132+AK132)*0.475*44/12</f>
        <v>951.33037274444223</v>
      </c>
      <c r="AM132" s="59">
        <f t="shared" ref="AM132:AM195" si="113">AL132+(AD132+AE132)*44/12</f>
        <v>1244.6637060777755</v>
      </c>
      <c r="AN132" s="59">
        <f ca="1">AVERAGE(OFFSET($AM$3,0,0,'Données projet'!$E$10+1,1))-AVERAGE(OFFSET($H$3,0,0,'Données projet'!$E$10+1,1))</f>
        <v>644.15138437063933</v>
      </c>
      <c r="AO132" s="59">
        <f t="shared" si="90"/>
        <v>289.3097279858207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39.193515279012516</v>
      </c>
      <c r="AV132" s="21">
        <f>EXP(-LN(2)/25)*AV131+(1-EXP(-LN(2)/25))/(LN(2)/25)*Calculateur!AQ132*Calculateur!AS132*VLOOKUP('Données projet'!$B$10,Paramètres!$A$1:$I$89,3,0)*0.475*44/12</f>
        <v>23.894297069490367</v>
      </c>
      <c r="AW132" s="21">
        <f>EXP(-LN(2)/2)*AW131+(1-EXP(-LN(2)/2))/(LN(2)/2)*AQ132*AT132*VLOOKUP('Données projet'!$B$10,Paramètres!$A$1:$I$89,3,0)*0.475*44/12</f>
        <v>1.0115550253554946</v>
      </c>
      <c r="AX132" s="21">
        <f t="shared" ref="AX132:AX153" si="114">SUM(AU132:AW132)</f>
        <v>64.099367373858371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9.0229999999999961</v>
      </c>
      <c r="BD132" s="12">
        <f>IF('Données projet'!$A$88&gt;35,BD131+BC132-BL131,IF(A132&lt;'Données projet'!$A$88,$BA$205^A132,IF(A132='Données projet'!$A$88,'Données projet'!$B$88,BD131+BC132-BL131)))</f>
        <v>439.16500000000076</v>
      </c>
      <c r="BE132" s="13">
        <f>BD132*VLOOKUP('Données projet'!$B$11,Paramètres!$A$1:$I$89,3,0)*VLOOKUP('Données projet'!$B$11,Paramètres!$A$1:$I$89,5,0)</f>
        <v>397.35649200000069</v>
      </c>
      <c r="BF132" s="13">
        <f t="shared" si="91"/>
        <v>91.240527898934658</v>
      </c>
      <c r="BG132" s="20">
        <f t="shared" ref="BG132:BG153" si="115">(BE132+BF132)*0.475*44/12</f>
        <v>850.97314299064567</v>
      </c>
      <c r="BH132" s="59">
        <f t="shared" ref="BH132:BH195" si="116">BG132+(AY132+AZ132)*44/12</f>
        <v>1144.306476323979</v>
      </c>
      <c r="BI132" s="59">
        <f ca="1">AVERAGE(OFFSET($BH$3,0,0,'Données projet'!$E$11+1,1))-AVERAGE(OFFSET($H$3,0,0,'Données projet'!$E$11+1,1))</f>
        <v>573.17174498173017</v>
      </c>
      <c r="BJ132" s="59">
        <f t="shared" si="92"/>
        <v>260.48854096157231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34.972675172041939</v>
      </c>
      <c r="BQ132" s="21">
        <f>EXP(-LN(2)/25)*BQ131+(1-EXP(-LN(2)/25))/(LN(2)/25)*Calculateur!BL132*Calculateur!BN132*VLOOKUP('Données projet'!$B$11,Paramètres!$A$1:$I$89,3,0)*0.475*44/12</f>
        <v>21.321065077391403</v>
      </c>
      <c r="BR132" s="21">
        <f>EXP(-LN(2)/2)*BR131+(1-EXP(-LN(2)/2))/(LN(2)/2)*BL132*BO132*VLOOKUP('Données projet'!$B$11,Paramètres!$A$1:$I$89,3,0)*0.475*44/12</f>
        <v>0.90261833031721095</v>
      </c>
      <c r="BS132" s="22">
        <f t="shared" ref="BS132:BS153" si="117">SUM(BP132:BR132)</f>
        <v>57.196358579750552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9.0229999999999961</v>
      </c>
      <c r="BY132" s="12">
        <f>IF('Données projet'!$A$114&gt;35,BY131+BX132-CG131,IF(A132&lt;'Données projet'!$A$114,$BV$205^A132,IF(A132='Données projet'!$A$114,'Données projet'!$B$114,BY131+BX132-CG131)))</f>
        <v>439.16500000000076</v>
      </c>
      <c r="BZ132" s="13">
        <f>BY132*VLOOKUP('Données projet'!$B$12,Paramètres!$A$1:$I$89,3,0)*VLOOKUP('Données projet'!$B$12,Paramètres!$A$1:$I$89,5,0)</f>
        <v>417.90941400000071</v>
      </c>
      <c r="CA132" s="13">
        <f t="shared" si="93"/>
        <v>95.398216708073406</v>
      </c>
      <c r="CB132" s="20">
        <f t="shared" ref="CB132:CB153" si="118">(BZ132+CA132)*0.475*44/12</f>
        <v>894.0107901498958</v>
      </c>
      <c r="CC132" s="59">
        <f t="shared" ref="CC132:CC195" si="119">CB132+(BT132+BU132)*44/12</f>
        <v>1187.3441234832292</v>
      </c>
      <c r="CD132" s="59">
        <f ca="1">AVERAGE(OFFSET($CC$3,0,0,'Données projet'!$E$12+1,1))-AVERAGE(OFFSET($H$3,0,0,'Données projet'!$E$12+1,1))</f>
        <v>603.61135046904178</v>
      </c>
      <c r="CE132" s="59">
        <f t="shared" si="94"/>
        <v>272.84936867513068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36.781606646457895</v>
      </c>
      <c r="CL132" s="21">
        <f>EXP(-LN(2)/25)*CL131+(1-EXP(-LN(2)/25))/(LN(2)/25)*Calculateur!CG132*Calculateur!CI132*VLOOKUP('Données projet'!$B$12,Paramètres!$A$1:$I$89,3,0)*0.475*44/12</f>
        <v>22.423878788290953</v>
      </c>
      <c r="CM132" s="21">
        <f>EXP(-LN(2)/2)*CM131+(1-EXP(-LN(2)/2))/(LN(2)/2)*CG132*CJ132*VLOOKUP('Données projet'!$B$12,Paramètres!$A$1:$I$89,3,0)*0.475*44/12</f>
        <v>0.94930548533361836</v>
      </c>
      <c r="CN132" s="22">
        <f t="shared" ref="CN132:CN153" si="120">SUM(CK132:CM132)</f>
        <v>60.154790920082469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39.039000000000001</v>
      </c>
      <c r="D133" s="11">
        <f t="shared" ref="D133:D196" si="140">IFERROR(EXP(-1.0587+0.8836*LN(C133)+0.284),0)</f>
        <v>11.74357437159231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215.60321048991827</v>
      </c>
      <c r="H133" s="67">
        <f t="shared" si="110"/>
        <v>345.11298369718997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8.5265128291212022E-14</v>
      </c>
      <c r="O133" s="13">
        <f>N133*VLOOKUP('Données projet'!$B$9,Paramètres!$A$1:$I$89,3,0)*VLOOKUP('Données projet'!$B$9,Paramètres!$A$1:$I$89,5,0)</f>
        <v>8.9119112089974823E-14</v>
      </c>
      <c r="P133" s="13">
        <f t="shared" ref="P133:P196" si="141">EXP(-1.0587+0.8836*LN(O133)+0.284)</f>
        <v>1.3568952080113142E-12</v>
      </c>
      <c r="Q133" s="20">
        <f t="shared" si="108"/>
        <v>2.5184749408430782E-12</v>
      </c>
      <c r="R133" s="59">
        <f t="shared" si="109"/>
        <v>293.33333333333582</v>
      </c>
      <c r="S133" s="59">
        <f ca="1">AVERAGE(OFFSET($R$3,0,0,'Données projet'!$E$9+1,1))-AVERAGE(OFFSET($H$3,0,0,'Données projet'!$E$9+1,1))</f>
        <v>225.9892575177542</v>
      </c>
      <c r="T133" s="59">
        <f t="shared" ref="T133:T196" si="142">$T$3</f>
        <v>215.88467215650428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9.8259994028513837</v>
      </c>
      <c r="AA133" s="21">
        <f>EXP(-LN(2)/25)*AA132+(1-EXP(-LN(2)/25))/(LN(2)/25)*Calculateur!V133*Calculateur!X133*VLOOKUP('Données projet'!$B$9,Paramètres!$A$1:$I$89,3,0)*0.475*44/12</f>
        <v>19.781839205578645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29.607838608430029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9.0229999999999961</v>
      </c>
      <c r="AI133" s="13">
        <f>IF('Données projet'!$A$62&gt;35,AI132+AH133-AQ132,IF(A133&lt;'Données projet'!$A$62,$AF$205^A133,IF(A133='Données projet'!$A$62,'Données projet'!$B$62,AI132+AH133-AQ132)))</f>
        <v>448.18800000000078</v>
      </c>
      <c r="AJ133" s="13">
        <f>AI133*VLOOKUP('Données projet'!$B$10,Paramètres!$A$1:$I$89,3,0)*VLOOKUP('Données projet'!$B$10,Paramètres!$A$1:$I$89,5,0)</f>
        <v>454.46263200000084</v>
      </c>
      <c r="AK133" s="13">
        <f t="shared" ref="AK133:AK153" si="143">EXP(-1.0587+0.8836*LN(AJ133)+0.284)</f>
        <v>102.73477074715666</v>
      </c>
      <c r="AL133" s="20">
        <f t="shared" si="112"/>
        <v>970.45214311796599</v>
      </c>
      <c r="AM133" s="59">
        <f t="shared" si="113"/>
        <v>1263.7854764512992</v>
      </c>
      <c r="AN133" s="59">
        <f ca="1">AVERAGE(OFFSET($AM$3,0,0,'Données projet'!$E$10+1,1))-AVERAGE(OFFSET($H$3,0,0,'Données projet'!$E$10+1,1))</f>
        <v>644.15138437063933</v>
      </c>
      <c r="AO133" s="59">
        <f t="shared" ref="AO133:AO196" si="144">$AO$3</f>
        <v>289.3097279858207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38.424954350074913</v>
      </c>
      <c r="AV133" s="21">
        <f>EXP(-LN(2)/25)*AV132+(1-EXP(-LN(2)/25))/(LN(2)/25)*Calculateur!AQ133*Calculateur!AS133*VLOOKUP('Données projet'!$B$10,Paramètres!$A$1:$I$89,3,0)*0.475*44/12</f>
        <v>23.240906259578683</v>
      </c>
      <c r="AW133" s="21">
        <f>EXP(-LN(2)/2)*AW132+(1-EXP(-LN(2)/2))/(LN(2)/2)*AQ133*AT133*VLOOKUP('Données projet'!$B$10,Paramètres!$A$1:$I$89,3,0)*0.475*44/12</f>
        <v>0.71527741797220024</v>
      </c>
      <c r="AX133" s="21">
        <f t="shared" si="114"/>
        <v>62.381138027625795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9.0229999999999961</v>
      </c>
      <c r="BD133" s="12">
        <f>IF('Données projet'!$A$88&gt;35,BD132+BC133-BL132,IF(A133&lt;'Données projet'!$A$88,$BA$205^A133,IF(A133='Données projet'!$A$88,'Données projet'!$B$88,BD132+BC133-BL132)))</f>
        <v>448.18800000000078</v>
      </c>
      <c r="BE133" s="13">
        <f>BD133*VLOOKUP('Données projet'!$B$11,Paramètres!$A$1:$I$89,3,0)*VLOOKUP('Données projet'!$B$11,Paramètres!$A$1:$I$89,5,0)</f>
        <v>405.52050240000068</v>
      </c>
      <c r="BF133" s="13">
        <f t="shared" ref="BF133:BF153" si="145">EXP(-1.0587+0.8836*LN(BE133)+0.284)</f>
        <v>92.894967969753338</v>
      </c>
      <c r="BG133" s="20">
        <f t="shared" si="115"/>
        <v>868.07361089398819</v>
      </c>
      <c r="BH133" s="59">
        <f t="shared" si="116"/>
        <v>1161.4069442273214</v>
      </c>
      <c r="BI133" s="59">
        <f ca="1">AVERAGE(OFFSET($BH$3,0,0,'Données projet'!$E$11+1,1))-AVERAGE(OFFSET($H$3,0,0,'Données projet'!$E$11+1,1))</f>
        <v>573.17174498173017</v>
      </c>
      <c r="BJ133" s="59">
        <f t="shared" ref="BJ133:BJ196" si="146">$BJ$3</f>
        <v>260.48854096157231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34.286882343143766</v>
      </c>
      <c r="BQ133" s="21">
        <f>EXP(-LN(2)/25)*BQ132+(1-EXP(-LN(2)/25))/(LN(2)/25)*Calculateur!BL133*Calculateur!BN133*VLOOKUP('Données projet'!$B$11,Paramètres!$A$1:$I$89,3,0)*0.475*44/12</f>
        <v>20.738039431624053</v>
      </c>
      <c r="BR133" s="21">
        <f>EXP(-LN(2)/2)*BR132+(1-EXP(-LN(2)/2))/(LN(2)/2)*BL133*BO133*VLOOKUP('Données projet'!$B$11,Paramètres!$A$1:$I$89,3,0)*0.475*44/12</f>
        <v>0.638247542190579</v>
      </c>
      <c r="BS133" s="22">
        <f t="shared" si="117"/>
        <v>55.663169316958395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9.0229999999999961</v>
      </c>
      <c r="BY133" s="12">
        <f>IF('Données projet'!$A$114&gt;35,BY132+BX133-CG132,IF(A133&lt;'Données projet'!$A$114,$BV$205^A133,IF(A133='Données projet'!$A$114,'Données projet'!$B$114,BY132+BX133-CG132)))</f>
        <v>448.18800000000078</v>
      </c>
      <c r="BZ133" s="13">
        <f>BY133*VLOOKUP('Données projet'!$B$12,Paramètres!$A$1:$I$89,3,0)*VLOOKUP('Données projet'!$B$12,Paramètres!$A$1:$I$89,5,0)</f>
        <v>426.49570080000069</v>
      </c>
      <c r="CA133" s="13">
        <f t="shared" ref="CA133:CA153" si="147">EXP(-1.0587+0.8836*LN(BZ133)+0.284)</f>
        <v>97.128047037215154</v>
      </c>
      <c r="CB133" s="20">
        <f t="shared" si="118"/>
        <v>911.97802748315098</v>
      </c>
      <c r="CC133" s="59">
        <f t="shared" si="119"/>
        <v>1205.3113608164842</v>
      </c>
      <c r="CD133" s="59">
        <f ca="1">AVERAGE(OFFSET($CC$3,0,0,'Données projet'!$E$12+1,1))-AVERAGE(OFFSET($H$3,0,0,'Données projet'!$E$12+1,1))</f>
        <v>603.61135046904178</v>
      </c>
      <c r="CE133" s="59">
        <f t="shared" ref="CE133:CE196" si="148">$CE$3</f>
        <v>272.84936867513068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36.060341774685682</v>
      </c>
      <c r="CL133" s="21">
        <f>EXP(-LN(2)/25)*CL132+(1-EXP(-LN(2)/25))/(LN(2)/25)*Calculateur!CG133*Calculateur!CI133*VLOOKUP('Données projet'!$B$12,Paramètres!$A$1:$I$89,3,0)*0.475*44/12</f>
        <v>21.810696643604601</v>
      </c>
      <c r="CM133" s="21">
        <f>EXP(-LN(2)/2)*CM132+(1-EXP(-LN(2)/2))/(LN(2)/2)*CG133*CJ133*VLOOKUP('Données projet'!$B$12,Paramètres!$A$1:$I$89,3,0)*0.475*44/12</f>
        <v>0.67126034609698826</v>
      </c>
      <c r="CN133" s="22">
        <f t="shared" si="120"/>
        <v>58.542298764387269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39.339300000000001</v>
      </c>
      <c r="D134" s="11">
        <f t="shared" si="140"/>
        <v>11.823358910246332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217.21690274174762</v>
      </c>
      <c r="H134" s="67">
        <f t="shared" si="110"/>
        <v>345.77496426867907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8.5265128291212022E-14</v>
      </c>
      <c r="O134" s="13">
        <f>N134*VLOOKUP('Données projet'!$B$9,Paramètres!$A$1:$I$89,3,0)*VLOOKUP('Données projet'!$B$9,Paramètres!$A$1:$I$89,5,0)</f>
        <v>8.9119112089974823E-14</v>
      </c>
      <c r="P134" s="13">
        <f t="shared" si="141"/>
        <v>1.3568952080113142E-12</v>
      </c>
      <c r="Q134" s="20">
        <f t="shared" si="108"/>
        <v>2.5184749408430782E-12</v>
      </c>
      <c r="R134" s="59">
        <f t="shared" si="109"/>
        <v>293.33333333333582</v>
      </c>
      <c r="S134" s="59">
        <f ca="1">AVERAGE(OFFSET($R$3,0,0,'Données projet'!$E$9+1,1))-AVERAGE(OFFSET($H$3,0,0,'Données projet'!$E$9+1,1))</f>
        <v>225.9892575177542</v>
      </c>
      <c r="T134" s="59">
        <f t="shared" si="142"/>
        <v>215.88467215650428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9.6333175478293178</v>
      </c>
      <c r="AA134" s="21">
        <f>EXP(-LN(2)/25)*AA133+(1-EXP(-LN(2)/25))/(LN(2)/25)*Calculateur!V134*Calculateur!X134*VLOOKUP('Données projet'!$B$9,Paramètres!$A$1:$I$89,3,0)*0.475*44/12</f>
        <v>19.240903772220385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28.874221320049703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9.0229999999999961</v>
      </c>
      <c r="AI134" s="13">
        <f>IF('Données projet'!$A$62&gt;35,AI133+AH134-AQ133,IF(A134&lt;'Données projet'!$A$62,$AF$205^A134,IF(A134='Données projet'!$A$62,'Données projet'!$B$62,AI133+AH134-AQ133)))</f>
        <v>457.21100000000081</v>
      </c>
      <c r="AJ134" s="13">
        <f>AI134*VLOOKUP('Données projet'!$B$10,Paramètres!$A$1:$I$89,3,0)*VLOOKUP('Données projet'!$B$10,Paramètres!$A$1:$I$89,5,0)</f>
        <v>463.61195400000088</v>
      </c>
      <c r="AK134" s="13">
        <f t="shared" si="143"/>
        <v>104.56017271740512</v>
      </c>
      <c r="AL134" s="20">
        <f t="shared" si="112"/>
        <v>989.56645403281527</v>
      </c>
      <c r="AM134" s="59">
        <f t="shared" si="113"/>
        <v>1282.8997873661485</v>
      </c>
      <c r="AN134" s="59">
        <f ca="1">AVERAGE(OFFSET($AM$3,0,0,'Données projet'!$E$10+1,1))-AVERAGE(OFFSET($H$3,0,0,'Données projet'!$E$10+1,1))</f>
        <v>644.15138437063933</v>
      </c>
      <c r="AO134" s="59">
        <f t="shared" si="144"/>
        <v>289.3097279858207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37.671464432177892</v>
      </c>
      <c r="AV134" s="21">
        <f>EXP(-LN(2)/25)*AV133+(1-EXP(-LN(2)/25))/(LN(2)/25)*Calculateur!AQ134*Calculateur!AS134*VLOOKUP('Données projet'!$B$10,Paramètres!$A$1:$I$89,3,0)*0.475*44/12</f>
        <v>22.60538245572436</v>
      </c>
      <c r="AW134" s="21">
        <f>EXP(-LN(2)/2)*AW133+(1-EXP(-LN(2)/2))/(LN(2)/2)*AQ134*AT134*VLOOKUP('Données projet'!$B$10,Paramètres!$A$1:$I$89,3,0)*0.475*44/12</f>
        <v>0.50577751267774729</v>
      </c>
      <c r="AX134" s="21">
        <f t="shared" si="114"/>
        <v>60.782624400579998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9.0229999999999961</v>
      </c>
      <c r="BD134" s="12">
        <f>IF('Données projet'!$A$88&gt;35,BD133+BC134-BL133,IF(A134&lt;'Données projet'!$A$88,$BA$205^A134,IF(A134='Données projet'!$A$88,'Données projet'!$B$88,BD133+BC134-BL133)))</f>
        <v>457.21100000000081</v>
      </c>
      <c r="BE134" s="13">
        <f>BD134*VLOOKUP('Données projet'!$B$11,Paramètres!$A$1:$I$89,3,0)*VLOOKUP('Données projet'!$B$11,Paramètres!$A$1:$I$89,5,0)</f>
        <v>413.68451280000073</v>
      </c>
      <c r="BF134" s="13">
        <f t="shared" si="145"/>
        <v>94.545535312483779</v>
      </c>
      <c r="BG134" s="20">
        <f t="shared" si="115"/>
        <v>885.16733379591051</v>
      </c>
      <c r="BH134" s="59">
        <f t="shared" si="116"/>
        <v>1178.5006671292438</v>
      </c>
      <c r="BI134" s="59">
        <f ca="1">AVERAGE(OFFSET($BH$3,0,0,'Données projet'!$E$11+1,1))-AVERAGE(OFFSET($H$3,0,0,'Données projet'!$E$11+1,1))</f>
        <v>573.17174498173017</v>
      </c>
      <c r="BJ134" s="59">
        <f t="shared" si="146"/>
        <v>260.48854096157231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33.614537493327965</v>
      </c>
      <c r="BQ134" s="21">
        <f>EXP(-LN(2)/25)*BQ133+(1-EXP(-LN(2)/25))/(LN(2)/25)*Calculateur!BL134*Calculateur!BN134*VLOOKUP('Données projet'!$B$11,Paramètres!$A$1:$I$89,3,0)*0.475*44/12</f>
        <v>20.170956652800196</v>
      </c>
      <c r="BR134" s="21">
        <f>EXP(-LN(2)/2)*BR133+(1-EXP(-LN(2)/2))/(LN(2)/2)*BL134*BO134*VLOOKUP('Données projet'!$B$11,Paramètres!$A$1:$I$89,3,0)*0.475*44/12</f>
        <v>0.45130916515860553</v>
      </c>
      <c r="BS134" s="22">
        <f t="shared" si="117"/>
        <v>54.236803311286764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9.0229999999999961</v>
      </c>
      <c r="BY134" s="12">
        <f>IF('Données projet'!$A$114&gt;35,BY133+BX134-CG133,IF(A134&lt;'Données projet'!$A$114,$BV$205^A134,IF(A134='Données projet'!$A$114,'Données projet'!$B$114,BY133+BX134-CG133)))</f>
        <v>457.21100000000081</v>
      </c>
      <c r="BZ134" s="13">
        <f>BY134*VLOOKUP('Données projet'!$B$12,Paramètres!$A$1:$I$89,3,0)*VLOOKUP('Données projet'!$B$12,Paramètres!$A$1:$I$89,5,0)</f>
        <v>435.08198760000079</v>
      </c>
      <c r="CA134" s="13">
        <f t="shared" si="147"/>
        <v>98.853828164079005</v>
      </c>
      <c r="CB134" s="20">
        <f t="shared" si="118"/>
        <v>929.93821245577226</v>
      </c>
      <c r="CC134" s="59">
        <f t="shared" si="119"/>
        <v>1223.2715457891056</v>
      </c>
      <c r="CD134" s="59">
        <f ca="1">AVERAGE(OFFSET($CC$3,0,0,'Données projet'!$E$12+1,1))-AVERAGE(OFFSET($H$3,0,0,'Données projet'!$E$12+1,1))</f>
        <v>603.61135046904178</v>
      </c>
      <c r="CE134" s="59">
        <f t="shared" si="148"/>
        <v>272.84936867513068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35.353220467120785</v>
      </c>
      <c r="CL134" s="21">
        <f>EXP(-LN(2)/25)*CL133+(1-EXP(-LN(2)/25))/(LN(2)/25)*Calculateur!CG134*Calculateur!CI134*VLOOKUP('Données projet'!$B$12,Paramètres!$A$1:$I$89,3,0)*0.475*44/12</f>
        <v>21.214281996910547</v>
      </c>
      <c r="CM134" s="21">
        <f>EXP(-LN(2)/2)*CM133+(1-EXP(-LN(2)/2))/(LN(2)/2)*CG134*CJ134*VLOOKUP('Données projet'!$B$12,Paramètres!$A$1:$I$89,3,0)*0.475*44/12</f>
        <v>0.47465274266680929</v>
      </c>
      <c r="CN134" s="22">
        <f t="shared" si="120"/>
        <v>57.042155206698148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39.639600000000002</v>
      </c>
      <c r="D135" s="11">
        <f t="shared" si="140"/>
        <v>11.903072587137467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218.83029414188192</v>
      </c>
      <c r="H135" s="67">
        <f t="shared" si="110"/>
        <v>346.4368214225978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8.5265128291212022E-14</v>
      </c>
      <c r="O135" s="13">
        <f>N135*VLOOKUP('Données projet'!$B$9,Paramètres!$A$1:$I$89,3,0)*VLOOKUP('Données projet'!$B$9,Paramètres!$A$1:$I$89,5,0)</f>
        <v>8.9119112089974823E-14</v>
      </c>
      <c r="P135" s="13">
        <f t="shared" si="141"/>
        <v>1.3568952080113142E-12</v>
      </c>
      <c r="Q135" s="20">
        <f t="shared" si="108"/>
        <v>2.5184749408430782E-12</v>
      </c>
      <c r="R135" s="59">
        <f t="shared" si="109"/>
        <v>293.33333333333582</v>
      </c>
      <c r="S135" s="59">
        <f ca="1">AVERAGE(OFFSET($R$3,0,0,'Données projet'!$E$9+1,1))-AVERAGE(OFFSET($H$3,0,0,'Données projet'!$E$9+1,1))</f>
        <v>225.9892575177542</v>
      </c>
      <c r="T135" s="59">
        <f t="shared" si="142"/>
        <v>215.88467215650428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9.4444140664599079</v>
      </c>
      <c r="AA135" s="21">
        <f>EXP(-LN(2)/25)*AA134+(1-EXP(-LN(2)/25))/(LN(2)/25)*Calculateur!V135*Calculateur!X135*VLOOKUP('Données projet'!$B$9,Paramètres!$A$1:$I$89,3,0)*0.475*44/12</f>
        <v>18.714760246733864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28.159174313193773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9.0229999999999961</v>
      </c>
      <c r="AI135" s="13">
        <f>IF('Données projet'!$A$62&gt;35,AI134+AH135-AQ134,IF(A135&lt;'Données projet'!$A$62,$AF$205^A135,IF(A135='Données projet'!$A$62,'Données projet'!$B$62,AI134+AH135-AQ134)))</f>
        <v>466.23400000000083</v>
      </c>
      <c r="AJ135" s="13">
        <f>AI135*VLOOKUP('Données projet'!$B$10,Paramètres!$A$1:$I$89,3,0)*VLOOKUP('Données projet'!$B$10,Paramètres!$A$1:$I$89,5,0)</f>
        <v>472.76127600000092</v>
      </c>
      <c r="AK135" s="13">
        <f t="shared" si="143"/>
        <v>106.38138601076099</v>
      </c>
      <c r="AL135" s="20">
        <f t="shared" si="112"/>
        <v>1008.6734696687436</v>
      </c>
      <c r="AM135" s="59">
        <f t="shared" si="113"/>
        <v>1302.0068030020768</v>
      </c>
      <c r="AN135" s="59">
        <f ca="1">AVERAGE(OFFSET($AM$3,0,0,'Données projet'!$E$10+1,1))-AVERAGE(OFFSET($H$3,0,0,'Données projet'!$E$10+1,1))</f>
        <v>644.15138437063933</v>
      </c>
      <c r="AO135" s="59">
        <f t="shared" si="144"/>
        <v>289.3097279858207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36.932749991987365</v>
      </c>
      <c r="AV135" s="21">
        <f>EXP(-LN(2)/25)*AV134+(1-EXP(-LN(2)/25))/(LN(2)/25)*Calculateur!AQ135*Calculateur!AS135*VLOOKUP('Données projet'!$B$10,Paramètres!$A$1:$I$89,3,0)*0.475*44/12</f>
        <v>21.987237083707178</v>
      </c>
      <c r="AW135" s="21">
        <f>EXP(-LN(2)/2)*AW134+(1-EXP(-LN(2)/2))/(LN(2)/2)*AQ135*AT135*VLOOKUP('Données projet'!$B$10,Paramètres!$A$1:$I$89,3,0)*0.475*44/12</f>
        <v>0.35763870898610012</v>
      </c>
      <c r="AX135" s="21">
        <f t="shared" si="114"/>
        <v>59.277625784680644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9.0229999999999961</v>
      </c>
      <c r="BD135" s="12">
        <f>IF('Données projet'!$A$88&gt;35,BD134+BC135-BL134,IF(A135&lt;'Données projet'!$A$88,$BA$205^A135,IF(A135='Données projet'!$A$88,'Données projet'!$B$88,BD134+BC135-BL134)))</f>
        <v>466.23400000000083</v>
      </c>
      <c r="BE135" s="13">
        <f>BD135*VLOOKUP('Données projet'!$B$11,Paramètres!$A$1:$I$89,3,0)*VLOOKUP('Données projet'!$B$11,Paramètres!$A$1:$I$89,5,0)</f>
        <v>421.84852320000078</v>
      </c>
      <c r="BF135" s="13">
        <f t="shared" si="145"/>
        <v>96.192315164348642</v>
      </c>
      <c r="BG135" s="20">
        <f t="shared" si="115"/>
        <v>902.2544601512418</v>
      </c>
      <c r="BH135" s="59">
        <f t="shared" si="116"/>
        <v>1195.5877934845751</v>
      </c>
      <c r="BI135" s="59">
        <f ca="1">AVERAGE(OFFSET($BH$3,0,0,'Données projet'!$E$11+1,1))-AVERAGE(OFFSET($H$3,0,0,'Données projet'!$E$11+1,1))</f>
        <v>573.17174498173017</v>
      </c>
      <c r="BJ135" s="59">
        <f t="shared" si="146"/>
        <v>260.48854096157231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32.955376915927189</v>
      </c>
      <c r="BQ135" s="21">
        <f>EXP(-LN(2)/25)*BQ134+(1-EXP(-LN(2)/25))/(LN(2)/25)*Calculateur!BL135*Calculateur!BN135*VLOOKUP('Données projet'!$B$11,Paramètres!$A$1:$I$89,3,0)*0.475*44/12</f>
        <v>19.619380782384866</v>
      </c>
      <c r="BR135" s="21">
        <f>EXP(-LN(2)/2)*BR134+(1-EXP(-LN(2)/2))/(LN(2)/2)*BL135*BO135*VLOOKUP('Données projet'!$B$11,Paramètres!$A$1:$I$89,3,0)*0.475*44/12</f>
        <v>0.31912377109528955</v>
      </c>
      <c r="BS135" s="22">
        <f t="shared" si="117"/>
        <v>52.893881469407347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9.0229999999999961</v>
      </c>
      <c r="BY135" s="12">
        <f>IF('Données projet'!$A$114&gt;35,BY134+BX135-CG134,IF(A135&lt;'Données projet'!$A$114,$BV$205^A135,IF(A135='Données projet'!$A$114,'Données projet'!$B$114,BY134+BX135-CG134)))</f>
        <v>466.23400000000083</v>
      </c>
      <c r="BZ135" s="13">
        <f>BY135*VLOOKUP('Données projet'!$B$12,Paramètres!$A$1:$I$89,3,0)*VLOOKUP('Données projet'!$B$12,Paramètres!$A$1:$I$89,5,0)</f>
        <v>443.66827440000083</v>
      </c>
      <c r="CA135" s="13">
        <f t="shared" si="147"/>
        <v>100.57564921001506</v>
      </c>
      <c r="CB135" s="20">
        <f t="shared" si="118"/>
        <v>947.89150028744427</v>
      </c>
      <c r="CC135" s="59">
        <f t="shared" si="119"/>
        <v>1241.2248336207776</v>
      </c>
      <c r="CD135" s="59">
        <f ca="1">AVERAGE(OFFSET($CC$3,0,0,'Données projet'!$E$12+1,1))-AVERAGE(OFFSET($H$3,0,0,'Données projet'!$E$12+1,1))</f>
        <v>603.61135046904178</v>
      </c>
      <c r="CE135" s="59">
        <f t="shared" si="148"/>
        <v>272.84936867513068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34.65996537709583</v>
      </c>
      <c r="CL135" s="21">
        <f>EXP(-LN(2)/25)*CL134+(1-EXP(-LN(2)/25))/(LN(2)/25)*Calculateur!CG135*Calculateur!CI135*VLOOKUP('Données projet'!$B$12,Paramètres!$A$1:$I$89,3,0)*0.475*44/12</f>
        <v>20.634176340094424</v>
      </c>
      <c r="CM135" s="21">
        <f>EXP(-LN(2)/2)*CM134+(1-EXP(-LN(2)/2))/(LN(2)/2)*CG135*CJ135*VLOOKUP('Données projet'!$B$12,Paramètres!$A$1:$I$89,3,0)*0.475*44/12</f>
        <v>0.33563017304849418</v>
      </c>
      <c r="CN135" s="22">
        <f t="shared" si="120"/>
        <v>55.62977189023875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39.939900000000002</v>
      </c>
      <c r="D136" s="11">
        <f t="shared" si="140"/>
        <v>11.982716001331788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220.44338723372448</v>
      </c>
      <c r="H136" s="67">
        <f t="shared" si="110"/>
        <v>347.09855620231957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8.5265128291212022E-14</v>
      </c>
      <c r="O136" s="13">
        <f>N136*VLOOKUP('Données projet'!$B$9,Paramètres!$A$1:$I$89,3,0)*VLOOKUP('Données projet'!$B$9,Paramètres!$A$1:$I$89,5,0)</f>
        <v>8.9119112089974823E-14</v>
      </c>
      <c r="P136" s="13">
        <f t="shared" si="141"/>
        <v>1.3568952080113142E-12</v>
      </c>
      <c r="Q136" s="20">
        <f t="shared" si="108"/>
        <v>2.5184749408430782E-12</v>
      </c>
      <c r="R136" s="59">
        <f t="shared" si="109"/>
        <v>293.33333333333582</v>
      </c>
      <c r="S136" s="59">
        <f ca="1">AVERAGE(OFFSET($R$3,0,0,'Données projet'!$E$9+1,1))-AVERAGE(OFFSET($H$3,0,0,'Données projet'!$E$9+1,1))</f>
        <v>225.9892575177542</v>
      </c>
      <c r="T136" s="59">
        <f t="shared" si="142"/>
        <v>215.88467215650428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9.2592148671404058</v>
      </c>
      <c r="AA136" s="21">
        <f>EXP(-LN(2)/25)*AA135+(1-EXP(-LN(2)/25))/(LN(2)/25)*Calculateur!V136*Calculateur!X136*VLOOKUP('Données projet'!$B$9,Paramètres!$A$1:$I$89,3,0)*0.475*44/12</f>
        <v>18.203004143620458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27.462219010760862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9.0229999999999961</v>
      </c>
      <c r="AI136" s="13">
        <f>IF('Données projet'!$A$62&gt;35,AI135+AH136-AQ135,IF(A136&lt;'Données projet'!$A$62,$AF$205^A136,IF(A136='Données projet'!$A$62,'Données projet'!$B$62,AI135+AH136-AQ135)))</f>
        <v>475.25700000000086</v>
      </c>
      <c r="AJ136" s="13">
        <f>AI136*VLOOKUP('Données projet'!$B$10,Paramètres!$A$1:$I$89,3,0)*VLOOKUP('Données projet'!$B$10,Paramètres!$A$1:$I$89,5,0)</f>
        <v>481.9105980000009</v>
      </c>
      <c r="AK136" s="13">
        <f t="shared" si="143"/>
        <v>108.19850103573877</v>
      </c>
      <c r="AL136" s="20">
        <f t="shared" si="112"/>
        <v>1027.7733474872464</v>
      </c>
      <c r="AM136" s="59">
        <f t="shared" si="113"/>
        <v>1321.1066808205796</v>
      </c>
      <c r="AN136" s="59">
        <f ca="1">AVERAGE(OFFSET($AM$3,0,0,'Données projet'!$E$10+1,1))-AVERAGE(OFFSET($H$3,0,0,'Données projet'!$E$10+1,1))</f>
        <v>644.15138437063933</v>
      </c>
      <c r="AO136" s="59">
        <f t="shared" si="144"/>
        <v>289.3097279858207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36.208521291397652</v>
      </c>
      <c r="AV136" s="21">
        <f>EXP(-LN(2)/25)*AV135+(1-EXP(-LN(2)/25))/(LN(2)/25)*Calculateur!AQ136*Calculateur!AS136*VLOOKUP('Données projet'!$B$10,Paramètres!$A$1:$I$89,3,0)*0.475*44/12</f>
        <v>21.385994929394659</v>
      </c>
      <c r="AW136" s="21">
        <f>EXP(-LN(2)/2)*AW135+(1-EXP(-LN(2)/2))/(LN(2)/2)*AQ136*AT136*VLOOKUP('Données projet'!$B$10,Paramètres!$A$1:$I$89,3,0)*0.475*44/12</f>
        <v>0.25288875633887364</v>
      </c>
      <c r="AX136" s="21">
        <f t="shared" si="114"/>
        <v>57.847404977131191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9.0229999999999961</v>
      </c>
      <c r="BD136" s="12">
        <f>IF('Données projet'!$A$88&gt;35,BD135+BC136-BL135,IF(A136&lt;'Données projet'!$A$88,$BA$205^A136,IF(A136='Données projet'!$A$88,'Données projet'!$B$88,BD135+BC136-BL135)))</f>
        <v>475.25700000000086</v>
      </c>
      <c r="BE136" s="13">
        <f>BD136*VLOOKUP('Données projet'!$B$11,Paramètres!$A$1:$I$89,3,0)*VLOOKUP('Données projet'!$B$11,Paramètres!$A$1:$I$89,5,0)</f>
        <v>430.01253360000078</v>
      </c>
      <c r="BF136" s="13">
        <f t="shared" si="145"/>
        <v>97.835389274652726</v>
      </c>
      <c r="BG136" s="20">
        <f t="shared" si="115"/>
        <v>919.33513234002146</v>
      </c>
      <c r="BH136" s="59">
        <f t="shared" si="116"/>
        <v>1212.6684656733548</v>
      </c>
      <c r="BI136" s="59">
        <f ca="1">AVERAGE(OFFSET($BH$3,0,0,'Données projet'!$E$11+1,1))-AVERAGE(OFFSET($H$3,0,0,'Données projet'!$E$11+1,1))</f>
        <v>573.17174498173017</v>
      </c>
      <c r="BJ136" s="59">
        <f t="shared" si="146"/>
        <v>260.48854096157231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32.309142075400985</v>
      </c>
      <c r="BQ136" s="21">
        <f>EXP(-LN(2)/25)*BQ135+(1-EXP(-LN(2)/25))/(LN(2)/25)*Calculateur!BL136*Calculateur!BN136*VLOOKUP('Données projet'!$B$11,Paramètres!$A$1:$I$89,3,0)*0.475*44/12</f>
        <v>19.082887783152156</v>
      </c>
      <c r="BR136" s="21">
        <f>EXP(-LN(2)/2)*BR135+(1-EXP(-LN(2)/2))/(LN(2)/2)*BL136*BO136*VLOOKUP('Données projet'!$B$11,Paramètres!$A$1:$I$89,3,0)*0.475*44/12</f>
        <v>0.22565458257930279</v>
      </c>
      <c r="BS136" s="22">
        <f t="shared" si="117"/>
        <v>51.617684441132447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9.0229999999999961</v>
      </c>
      <c r="BY136" s="12">
        <f>IF('Données projet'!$A$114&gt;35,BY135+BX136-CG135,IF(A136&lt;'Données projet'!$A$114,$BV$205^A136,IF(A136='Données projet'!$A$114,'Données projet'!$B$114,BY135+BX136-CG135)))</f>
        <v>475.25700000000086</v>
      </c>
      <c r="BZ136" s="13">
        <f>BY136*VLOOKUP('Données projet'!$B$12,Paramètres!$A$1:$I$89,3,0)*VLOOKUP('Données projet'!$B$12,Paramètres!$A$1:$I$89,5,0)</f>
        <v>452.25456120000081</v>
      </c>
      <c r="CA136" s="13">
        <f t="shared" si="147"/>
        <v>102.29359564951639</v>
      </c>
      <c r="CB136" s="20">
        <f t="shared" si="118"/>
        <v>965.83803984624228</v>
      </c>
      <c r="CC136" s="59">
        <f t="shared" si="119"/>
        <v>1259.1713731795755</v>
      </c>
      <c r="CD136" s="59">
        <f ca="1">AVERAGE(OFFSET($CC$3,0,0,'Données projet'!$E$12+1,1))-AVERAGE(OFFSET($H$3,0,0,'Données projet'!$E$12+1,1))</f>
        <v>603.61135046904178</v>
      </c>
      <c r="CE136" s="59">
        <f t="shared" si="148"/>
        <v>272.84936867513068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33.98030459654241</v>
      </c>
      <c r="CL136" s="21">
        <f>EXP(-LN(2)/25)*CL135+(1-EXP(-LN(2)/25))/(LN(2)/25)*Calculateur!CG136*Calculateur!CI136*VLOOKUP('Données projet'!$B$12,Paramètres!$A$1:$I$89,3,0)*0.475*44/12</f>
        <v>20.069933702970367</v>
      </c>
      <c r="CM136" s="21">
        <f>EXP(-LN(2)/2)*CM135+(1-EXP(-LN(2)/2))/(LN(2)/2)*CG136*CJ136*VLOOKUP('Données projet'!$B$12,Paramètres!$A$1:$I$89,3,0)*0.475*44/12</f>
        <v>0.23732637133340467</v>
      </c>
      <c r="CN136" s="22">
        <f t="shared" si="120"/>
        <v>54.28756467084618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40.240200000000002</v>
      </c>
      <c r="D137" s="11">
        <f t="shared" si="140"/>
        <v>12.062289742366444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222.0561845202225</v>
      </c>
      <c r="H137" s="67">
        <f t="shared" si="110"/>
        <v>347.7601696346216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8.5265128291212022E-14</v>
      </c>
      <c r="O137" s="13">
        <f>N137*VLOOKUP('Données projet'!$B$9,Paramètres!$A$1:$I$89,3,0)*VLOOKUP('Données projet'!$B$9,Paramètres!$A$1:$I$89,5,0)</f>
        <v>8.9119112089974823E-14</v>
      </c>
      <c r="P137" s="13">
        <f t="shared" si="141"/>
        <v>1.3568952080113142E-12</v>
      </c>
      <c r="Q137" s="20">
        <f t="shared" si="108"/>
        <v>2.5184749408430782E-12</v>
      </c>
      <c r="R137" s="59">
        <f t="shared" si="109"/>
        <v>293.33333333333582</v>
      </c>
      <c r="S137" s="59">
        <f ca="1">AVERAGE(OFFSET($R$3,0,0,'Données projet'!$E$9+1,1))-AVERAGE(OFFSET($H$3,0,0,'Données projet'!$E$9+1,1))</f>
        <v>225.9892575177542</v>
      </c>
      <c r="T137" s="59">
        <f t="shared" si="142"/>
        <v>215.88467215650428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9.0776473111592004</v>
      </c>
      <c r="AA137" s="21">
        <f>EXP(-LN(2)/25)*AA136+(1-EXP(-LN(2)/25))/(LN(2)/25)*Calculateur!V137*Calculateur!X137*VLOOKUP('Données projet'!$B$9,Paramètres!$A$1:$I$89,3,0)*0.475*44/12</f>
        <v>17.705242038058771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26.782889349217971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9.0229999999999961</v>
      </c>
      <c r="AH137" s="12">
        <f t="array" ref="AH137">INDEX(AG:AG,MIN(IF(ISNUMBER(AG137:AG333),ROW(AG137:AG333),"")))</f>
        <v>9.0229999999999961</v>
      </c>
      <c r="AI137" s="13">
        <f>IF('Données projet'!$A$62&gt;35,AI136+AH137-AQ136,IF(A137&lt;'Données projet'!$A$62,$AF$205^A137,IF(A137='Données projet'!$A$62,'Données projet'!$B$62,AI136+AH137-AQ136)))</f>
        <v>484.28000000000088</v>
      </c>
      <c r="AJ137" s="13">
        <f>AI137*VLOOKUP('Données projet'!$B$10,Paramètres!$A$1:$I$89,3,0)*VLOOKUP('Données projet'!$B$10,Paramètres!$A$1:$I$89,5,0)</f>
        <v>491.05992000000094</v>
      </c>
      <c r="AK137" s="13">
        <f t="shared" si="143"/>
        <v>110.01160457151111</v>
      </c>
      <c r="AL137" s="20">
        <f t="shared" si="112"/>
        <v>1046.8662386287169</v>
      </c>
      <c r="AM137" s="59">
        <f t="shared" si="113"/>
        <v>1340.1995719620502</v>
      </c>
      <c r="AN137" s="59">
        <f ca="1">AVERAGE(OFFSET($AM$3,0,0,'Données projet'!$E$10+1,1))-AVERAGE(OFFSET($H$3,0,0,'Données projet'!$E$10+1,1))</f>
        <v>644.15138437063933</v>
      </c>
      <c r="AO137" s="59">
        <f t="shared" si="144"/>
        <v>289.3097279858207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60.779999999999973</v>
      </c>
      <c r="AR137" s="16">
        <f>IF(ISNA(VLOOKUP(A137,'Données projet'!$A$61:$I$81,5,0)),0%,VLOOKUP(A137,'Données projet'!$A$61:$I$81,5,0)*VLOOKUP('Données projet'!$B$10,Paramètres!$A$1:$I$89,7,0))</f>
        <v>0.215</v>
      </c>
      <c r="AS137" s="16">
        <f>IF(ISNA(VLOOKUP(A137,'Données projet'!$A$61:$I$81,6,0)),0%,VLOOKUP(A137,'Données projet'!$A$61:$I$81,6,0)*VLOOKUP('Données projet'!$B$10,Paramètres!$A$1:$I$89,7,0))</f>
        <v>8.6000000000000007E-2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50.146692926414062</v>
      </c>
      <c r="AV137" s="21">
        <f>EXP(-LN(2)/25)*AV136+(1-EXP(-LN(2)/25))/(LN(2)/25)*Calculateur!AQ137*Calculateur!AS137*VLOOKUP('Données projet'!$B$10,Paramètres!$A$1:$I$89,3,0)*0.475*44/12</f>
        <v>26.637403018620649</v>
      </c>
      <c r="AW137" s="21">
        <f>EXP(-LN(2)/2)*AW136+(1-EXP(-LN(2)/2))/(LN(2)/2)*AQ137*AT137*VLOOKUP('Données projet'!$B$10,Paramètres!$A$1:$I$89,3,0)*0.475*44/12</f>
        <v>0.17881935449305006</v>
      </c>
      <c r="AX137" s="21">
        <f t="shared" si="114"/>
        <v>76.962915299527751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484.28</v>
      </c>
      <c r="BB137" s="12">
        <f>VLOOKUP(A137,'Données projet'!$A$87:$I$107,9,0)</f>
        <v>9.0229999999999961</v>
      </c>
      <c r="BC137" s="12">
        <f t="array" ref="BC137">INDEX(BB:BB,MIN(IF(ISNUMBER(BB137:BB333),ROW(BB137:BB333),"")))</f>
        <v>9.0229999999999961</v>
      </c>
      <c r="BD137" s="12">
        <f>IF('Données projet'!$A$88&gt;35,BD136+BC137-BL136,IF(A137&lt;'Données projet'!$A$88,$BA$205^A137,IF(A137='Données projet'!$A$88,'Données projet'!$B$88,BD136+BC137-BL136)))</f>
        <v>484.28000000000088</v>
      </c>
      <c r="BE137" s="13">
        <f>BD137*VLOOKUP('Données projet'!$B$11,Paramètres!$A$1:$I$89,3,0)*VLOOKUP('Données projet'!$B$11,Paramètres!$A$1:$I$89,5,0)</f>
        <v>438.17654400000077</v>
      </c>
      <c r="BF137" s="13">
        <f t="shared" si="145"/>
        <v>99.474836110972063</v>
      </c>
      <c r="BG137" s="20">
        <f t="shared" si="115"/>
        <v>936.40948702661092</v>
      </c>
      <c r="BH137" s="59">
        <f t="shared" si="116"/>
        <v>1229.7428203599443</v>
      </c>
      <c r="BI137" s="59">
        <f ca="1">AVERAGE(OFFSET($BH$3,0,0,'Données projet'!$E$11+1,1))-AVERAGE(OFFSET($H$3,0,0,'Données projet'!$E$11+1,1))</f>
        <v>573.17174498173017</v>
      </c>
      <c r="BJ137" s="59">
        <f t="shared" si="146"/>
        <v>260.48854096157231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60.779999999999973</v>
      </c>
      <c r="BM137" s="16">
        <f>IF(ISNA(VLOOKUP(A137,'Données projet'!$A$87:$I$107,5,0)),0%,VLOOKUP(A137,'Données projet'!$A$87:$I$107,5,0)*VLOOKUP('Données projet'!$B$11,Paramètres!$A$1:$I$89,7,0))</f>
        <v>0.215</v>
      </c>
      <c r="BN137" s="16">
        <f>IF(ISNA(VLOOKUP(A137,'Données projet'!$A$87:$I$107,6,0)),0%,VLOOKUP(A137,'Données projet'!$A$87:$I$107,6,0)*VLOOKUP('Données projet'!$B$11,Paramètres!$A$1:$I$89,7,0))</f>
        <v>8.6000000000000007E-2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44.746279842031008</v>
      </c>
      <c r="BQ137" s="21">
        <f>EXP(-LN(2)/25)*BQ136+(1-EXP(-LN(2)/25))/(LN(2)/25)*Calculateur!BL137*Calculateur!BN137*VLOOKUP('Données projet'!$B$11,Paramètres!$A$1:$I$89,3,0)*0.475*44/12</f>
        <v>23.768759616615345</v>
      </c>
      <c r="BR137" s="21">
        <f>EXP(-LN(2)/2)*BR136+(1-EXP(-LN(2)/2))/(LN(2)/2)*BL137*BO137*VLOOKUP('Données projet'!$B$11,Paramètres!$A$1:$I$89,3,0)*0.475*44/12</f>
        <v>0.15956188554764478</v>
      </c>
      <c r="BS137" s="22">
        <f t="shared" si="117"/>
        <v>68.674601344194002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484.28</v>
      </c>
      <c r="BW137" s="12">
        <f>VLOOKUP(A137,'Données projet'!$A$113:$I$133,9,0)</f>
        <v>9.0229999999999961</v>
      </c>
      <c r="BX137" s="12">
        <f t="array" ref="BX137">INDEX(BW:BW,MIN(IF(ISNUMBER(BW137:BW333),ROW(BW137:BW333),"")))</f>
        <v>9.0229999999999961</v>
      </c>
      <c r="BY137" s="12">
        <f>IF('Données projet'!$A$114&gt;35,BY136+BX137-CG136,IF(A137&lt;'Données projet'!$A$114,$BV$205^A137,IF(A137='Données projet'!$A$114,'Données projet'!$B$114,BY136+BX137-CG136)))</f>
        <v>484.28000000000088</v>
      </c>
      <c r="BZ137" s="13">
        <f>BY137*VLOOKUP('Données projet'!$B$12,Paramètres!$A$1:$I$89,3,0)*VLOOKUP('Données projet'!$B$12,Paramètres!$A$1:$I$89,5,0)</f>
        <v>460.84084800000079</v>
      </c>
      <c r="CA137" s="13">
        <f t="shared" si="147"/>
        <v>104.00774952580478</v>
      </c>
      <c r="CB137" s="20">
        <f t="shared" si="118"/>
        <v>983.77797402411124</v>
      </c>
      <c r="CC137" s="59">
        <f t="shared" si="119"/>
        <v>1277.1113073574445</v>
      </c>
      <c r="CD137" s="59">
        <f ca="1">AVERAGE(OFFSET($CC$3,0,0,'Données projet'!$E$12+1,1))-AVERAGE(OFFSET($H$3,0,0,'Données projet'!$E$12+1,1))</f>
        <v>603.61135046904178</v>
      </c>
      <c r="CE137" s="59">
        <f t="shared" si="148"/>
        <v>272.84936867513068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60.779999999999973</v>
      </c>
      <c r="CH137" s="16">
        <f>IF(ISNA(VLOOKUP(A137,'Données projet'!$A$113:$I$133,5,0)),0%,VLOOKUP(A137,'Données projet'!$A$113:$I$133,5,0)*VLOOKUP('Données projet'!$B$12,Paramètres!$A$1:$I$89,7,0))</f>
        <v>0.215</v>
      </c>
      <c r="CI137" s="16">
        <f>IF(ISNA(VLOOKUP(A137,'Données projet'!$A$113:$I$133,6,0)),0%,VLOOKUP(A137,'Données projet'!$A$113:$I$133,6,0)*VLOOKUP('Données projet'!$B$12,Paramètres!$A$1:$I$89,7,0))</f>
        <v>8.6000000000000007E-2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47.060742592480885</v>
      </c>
      <c r="CL137" s="21">
        <f>EXP(-LN(2)/25)*CL136+(1-EXP(-LN(2)/25))/(LN(2)/25)*Calculateur!CG137*Calculateur!CI137*VLOOKUP('Données projet'!$B$12,Paramètres!$A$1:$I$89,3,0)*0.475*44/12</f>
        <v>24.998178217474756</v>
      </c>
      <c r="CM137" s="21">
        <f>EXP(-LN(2)/2)*CM136+(1-EXP(-LN(2)/2))/(LN(2)/2)*CG137*CJ137*VLOOKUP('Données projet'!$B$12,Paramètres!$A$1:$I$89,3,0)*0.475*44/12</f>
        <v>0.16781508652424712</v>
      </c>
      <c r="CN137" s="22">
        <f t="shared" si="120"/>
        <v>72.22673589647988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40.540500000000002</v>
      </c>
      <c r="D138" s="11">
        <f t="shared" si="140"/>
        <v>12.14179439047121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223.66868846480762</v>
      </c>
      <c r="H138" s="67">
        <f t="shared" si="110"/>
        <v>348.42166273007069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8.5265128291212022E-14</v>
      </c>
      <c r="O138" s="13">
        <f>N138*VLOOKUP('Données projet'!$B$9,Paramètres!$A$1:$I$89,3,0)*VLOOKUP('Données projet'!$B$9,Paramètres!$A$1:$I$89,5,0)</f>
        <v>8.9119112089974823E-14</v>
      </c>
      <c r="P138" s="13">
        <f t="shared" si="141"/>
        <v>1.3568952080113142E-12</v>
      </c>
      <c r="Q138" s="20">
        <f t="shared" si="108"/>
        <v>2.5184749408430782E-12</v>
      </c>
      <c r="R138" s="59">
        <f t="shared" si="109"/>
        <v>293.33333333333582</v>
      </c>
      <c r="S138" s="59">
        <f ca="1">AVERAGE(OFFSET($R$3,0,0,'Données projet'!$E$9+1,1))-AVERAGE(OFFSET($H$3,0,0,'Données projet'!$E$9+1,1))</f>
        <v>225.9892575177542</v>
      </c>
      <c r="T138" s="59">
        <f t="shared" si="142"/>
        <v>215.88467215650428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8.8996401842055128</v>
      </c>
      <c r="AA138" s="21">
        <f>EXP(-LN(2)/25)*AA137+(1-EXP(-LN(2)/25))/(LN(2)/25)*Calculateur!V138*Calculateur!X138*VLOOKUP('Données projet'!$B$9,Paramètres!$A$1:$I$89,3,0)*0.475*44/12</f>
        <v>17.221091263449839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26.120731447655352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9.1440000000000055</v>
      </c>
      <c r="AI138" s="13">
        <f>IF('Données projet'!$A$62&gt;35,AI137+AH138-AQ137,IF(A138&lt;'Données projet'!$A$62,$AF$205^A138,IF(A138='Données projet'!$A$62,'Données projet'!$B$62,AI137+AH138-AQ137)))</f>
        <v>432.64400000000091</v>
      </c>
      <c r="AJ138" s="13">
        <f>AI138*VLOOKUP('Données projet'!$B$10,Paramètres!$A$1:$I$89,3,0)*VLOOKUP('Données projet'!$B$10,Paramètres!$A$1:$I$89,5,0)</f>
        <v>438.70101600000095</v>
      </c>
      <c r="AK138" s="13">
        <f t="shared" si="143"/>
        <v>99.580035175975198</v>
      </c>
      <c r="AL138" s="20">
        <f t="shared" si="112"/>
        <v>937.50616413149157</v>
      </c>
      <c r="AM138" s="59">
        <f t="shared" si="113"/>
        <v>1230.8394974648249</v>
      </c>
      <c r="AN138" s="59">
        <f ca="1">AVERAGE(OFFSET($AM$3,0,0,'Données projet'!$E$10+1,1))-AVERAGE(OFFSET($H$3,0,0,'Données projet'!$E$10+1,1))</f>
        <v>644.15138437063933</v>
      </c>
      <c r="AO138" s="59">
        <f t="shared" si="144"/>
        <v>289.3097279858207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49.163346864589606</v>
      </c>
      <c r="AV138" s="21">
        <f>EXP(-LN(2)/25)*AV137+(1-EXP(-LN(2)/25))/(LN(2)/25)*Calculateur!AQ138*Calculateur!AS138*VLOOKUP('Données projet'!$B$10,Paramètres!$A$1:$I$89,3,0)*0.475*44/12</f>
        <v>25.909001832276324</v>
      </c>
      <c r="AW138" s="21">
        <f>EXP(-LN(2)/2)*AW137+(1-EXP(-LN(2)/2))/(LN(2)/2)*AQ138*AT138*VLOOKUP('Données projet'!$B$10,Paramètres!$A$1:$I$89,3,0)*0.475*44/12</f>
        <v>0.12644437816943682</v>
      </c>
      <c r="AX138" s="21">
        <f t="shared" si="114"/>
        <v>75.198793075035368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9.1440000000000055</v>
      </c>
      <c r="BD138" s="12">
        <f>IF('Données projet'!$A$88&gt;35,BD137+BC138-BL137,IF(A138&lt;'Données projet'!$A$88,$BA$205^A138,IF(A138='Données projet'!$A$88,'Données projet'!$B$88,BD137+BC138-BL137)))</f>
        <v>432.64400000000091</v>
      </c>
      <c r="BE138" s="13">
        <f>BD138*VLOOKUP('Données projet'!$B$11,Paramètres!$A$1:$I$89,3,0)*VLOOKUP('Données projet'!$B$11,Paramètres!$A$1:$I$89,5,0)</f>
        <v>391.45629120000086</v>
      </c>
      <c r="BF138" s="13">
        <f t="shared" si="145"/>
        <v>90.042388870129827</v>
      </c>
      <c r="BG138" s="20">
        <f t="shared" si="115"/>
        <v>838.6102011221443</v>
      </c>
      <c r="BH138" s="59">
        <f t="shared" si="116"/>
        <v>1131.9435344554777</v>
      </c>
      <c r="BI138" s="59">
        <f ca="1">AVERAGE(OFFSET($BH$3,0,0,'Données projet'!$E$11+1,1))-AVERAGE(OFFSET($H$3,0,0,'Données projet'!$E$11+1,1))</f>
        <v>573.17174498173017</v>
      </c>
      <c r="BJ138" s="59">
        <f t="shared" si="146"/>
        <v>260.48854096157231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43.868832586864571</v>
      </c>
      <c r="BQ138" s="21">
        <f>EXP(-LN(2)/25)*BQ137+(1-EXP(-LN(2)/25))/(LN(2)/25)*Calculateur!BL138*Calculateur!BN138*VLOOKUP('Données projet'!$B$11,Paramètres!$A$1:$I$89,3,0)*0.475*44/12</f>
        <v>23.118801634954256</v>
      </c>
      <c r="BR138" s="21">
        <f>EXP(-LN(2)/2)*BR137+(1-EXP(-LN(2)/2))/(LN(2)/2)*BL138*BO138*VLOOKUP('Données projet'!$B$11,Paramètres!$A$1:$I$89,3,0)*0.475*44/12</f>
        <v>0.1128272912896514</v>
      </c>
      <c r="BS138" s="22">
        <f t="shared" si="117"/>
        <v>67.100461513108471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9.1440000000000055</v>
      </c>
      <c r="BY138" s="12">
        <f>IF('Données projet'!$A$114&gt;35,BY137+BX138-CG137,IF(A138&lt;'Données projet'!$A$114,$BV$205^A138,IF(A138='Données projet'!$A$114,'Données projet'!$B$114,BY137+BX138-CG137)))</f>
        <v>432.64400000000091</v>
      </c>
      <c r="BZ138" s="13">
        <f>BY138*VLOOKUP('Données projet'!$B$12,Paramètres!$A$1:$I$89,3,0)*VLOOKUP('Données projet'!$B$12,Paramètres!$A$1:$I$89,5,0)</f>
        <v>411.70403040000082</v>
      </c>
      <c r="CA138" s="13">
        <f t="shared" si="147"/>
        <v>94.145480349040895</v>
      </c>
      <c r="CB138" s="20">
        <f t="shared" si="118"/>
        <v>881.0212312212476</v>
      </c>
      <c r="CC138" s="59">
        <f t="shared" si="119"/>
        <v>1174.354564554581</v>
      </c>
      <c r="CD138" s="59">
        <f ca="1">AVERAGE(OFFSET($CC$3,0,0,'Données projet'!$E$12+1,1))-AVERAGE(OFFSET($H$3,0,0,'Données projet'!$E$12+1,1))</f>
        <v>603.61135046904178</v>
      </c>
      <c r="CE138" s="59">
        <f t="shared" si="148"/>
        <v>272.84936867513068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46.137910134461009</v>
      </c>
      <c r="CL138" s="21">
        <f>EXP(-LN(2)/25)*CL137+(1-EXP(-LN(2)/25))/(LN(2)/25)*Calculateur!CG138*Calculateur!CI138*VLOOKUP('Données projet'!$B$12,Paramètres!$A$1:$I$89,3,0)*0.475*44/12</f>
        <v>24.314601719520851</v>
      </c>
      <c r="CM138" s="21">
        <f>EXP(-LN(2)/2)*CM137+(1-EXP(-LN(2)/2))/(LN(2)/2)*CG138*CJ138*VLOOKUP('Données projet'!$B$12,Paramètres!$A$1:$I$89,3,0)*0.475*44/12</f>
        <v>0.11866318566670235</v>
      </c>
      <c r="CN138" s="22">
        <f t="shared" si="120"/>
        <v>70.571175039648566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40.840800000000002</v>
      </c>
      <c r="D139" s="11">
        <f t="shared" si="140"/>
        <v>12.221230516783256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225.28090149230789</v>
      </c>
      <c r="H139" s="67">
        <f t="shared" si="110"/>
        <v>349.08303648339751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8.5265128291212022E-14</v>
      </c>
      <c r="O139" s="13">
        <f>N139*VLOOKUP('Données projet'!$B$9,Paramètres!$A$1:$I$89,3,0)*VLOOKUP('Données projet'!$B$9,Paramètres!$A$1:$I$89,5,0)</f>
        <v>8.9119112089974823E-14</v>
      </c>
      <c r="P139" s="13">
        <f t="shared" si="141"/>
        <v>1.3568952080113142E-12</v>
      </c>
      <c r="Q139" s="20">
        <f t="shared" si="108"/>
        <v>2.5184749408430782E-12</v>
      </c>
      <c r="R139" s="59">
        <f t="shared" si="109"/>
        <v>293.33333333333582</v>
      </c>
      <c r="S139" s="59">
        <f ca="1">AVERAGE(OFFSET($R$3,0,0,'Données projet'!$E$9+1,1))-AVERAGE(OFFSET($H$3,0,0,'Données projet'!$E$9+1,1))</f>
        <v>225.9892575177542</v>
      </c>
      <c r="T139" s="59">
        <f t="shared" si="142"/>
        <v>215.88467215650428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8.7251236684377602</v>
      </c>
      <c r="AA139" s="21">
        <f>EXP(-LN(2)/25)*AA138+(1-EXP(-LN(2)/25))/(LN(2)/25)*Calculateur!V139*Calculateur!X139*VLOOKUP('Données projet'!$B$9,Paramètres!$A$1:$I$89,3,0)*0.475*44/12</f>
        <v>16.750179617232973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25.475303285670734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9.1440000000000055</v>
      </c>
      <c r="AI139" s="13">
        <f>IF('Données projet'!$A$62&gt;35,AI138+AH139-AQ138,IF(A139&lt;'Données projet'!$A$62,$AF$205^A139,IF(A139='Données projet'!$A$62,'Données projet'!$B$62,AI138+AH139-AQ138)))</f>
        <v>441.78800000000092</v>
      </c>
      <c r="AJ139" s="13">
        <f>AI139*VLOOKUP('Données projet'!$B$10,Paramètres!$A$1:$I$89,3,0)*VLOOKUP('Données projet'!$B$10,Paramètres!$A$1:$I$89,5,0)</f>
        <v>447.97303200000096</v>
      </c>
      <c r="AK139" s="13">
        <f t="shared" si="143"/>
        <v>101.43742531380877</v>
      </c>
      <c r="AL139" s="20">
        <f t="shared" si="112"/>
        <v>956.88987982155186</v>
      </c>
      <c r="AM139" s="59">
        <f t="shared" si="113"/>
        <v>1250.2232131548851</v>
      </c>
      <c r="AN139" s="59">
        <f ca="1">AVERAGE(OFFSET($AM$3,0,0,'Données projet'!$E$10+1,1))-AVERAGE(OFFSET($H$3,0,0,'Données projet'!$E$10+1,1))</f>
        <v>644.15138437063933</v>
      </c>
      <c r="AO139" s="59">
        <f t="shared" si="144"/>
        <v>289.3097279858207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48.199283619255652</v>
      </c>
      <c r="AV139" s="21">
        <f>EXP(-LN(2)/25)*AV138+(1-EXP(-LN(2)/25))/(LN(2)/25)*Calculateur!AQ139*Calculateur!AS139*VLOOKUP('Données projet'!$B$10,Paramètres!$A$1:$I$89,3,0)*0.475*44/12</f>
        <v>25.200518814677537</v>
      </c>
      <c r="AW139" s="21">
        <f>EXP(-LN(2)/2)*AW138+(1-EXP(-LN(2)/2))/(LN(2)/2)*AQ139*AT139*VLOOKUP('Données projet'!$B$10,Paramètres!$A$1:$I$89,3,0)*0.475*44/12</f>
        <v>8.9409677246525029E-2</v>
      </c>
      <c r="AX139" s="21">
        <f t="shared" si="114"/>
        <v>73.489212111179711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9.1440000000000055</v>
      </c>
      <c r="BD139" s="12">
        <f>IF('Données projet'!$A$88&gt;35,BD138+BC139-BL138,IF(A139&lt;'Données projet'!$A$88,$BA$205^A139,IF(A139='Données projet'!$A$88,'Données projet'!$B$88,BD138+BC139-BL138)))</f>
        <v>441.78800000000092</v>
      </c>
      <c r="BE139" s="13">
        <f>BD139*VLOOKUP('Données projet'!$B$11,Paramètres!$A$1:$I$89,3,0)*VLOOKUP('Données projet'!$B$11,Paramètres!$A$1:$I$89,5,0)</f>
        <v>399.72978240000077</v>
      </c>
      <c r="BF139" s="13">
        <f t="shared" si="145"/>
        <v>91.721880595341759</v>
      </c>
      <c r="BG139" s="20">
        <f t="shared" si="115"/>
        <v>855.94497971688827</v>
      </c>
      <c r="BH139" s="59">
        <f t="shared" si="116"/>
        <v>1149.2783130502216</v>
      </c>
      <c r="BI139" s="59">
        <f ca="1">AVERAGE(OFFSET($BH$3,0,0,'Données projet'!$E$11+1,1))-AVERAGE(OFFSET($H$3,0,0,'Données projet'!$E$11+1,1))</f>
        <v>573.17174498173017</v>
      </c>
      <c r="BJ139" s="59">
        <f t="shared" si="146"/>
        <v>260.48854096157231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43.008591537181964</v>
      </c>
      <c r="BQ139" s="21">
        <f>EXP(-LN(2)/25)*BQ138+(1-EXP(-LN(2)/25))/(LN(2)/25)*Calculateur!BL139*Calculateur!BN139*VLOOKUP('Données projet'!$B$11,Paramètres!$A$1:$I$89,3,0)*0.475*44/12</f>
        <v>22.486616788481491</v>
      </c>
      <c r="BR139" s="21">
        <f>EXP(-LN(2)/2)*BR138+(1-EXP(-LN(2)/2))/(LN(2)/2)*BL139*BO139*VLOOKUP('Données projet'!$B$11,Paramètres!$A$1:$I$89,3,0)*0.475*44/12</f>
        <v>7.9780942773822389E-2</v>
      </c>
      <c r="BS139" s="22">
        <f t="shared" si="117"/>
        <v>65.574989268437278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9.1440000000000055</v>
      </c>
      <c r="BY139" s="12">
        <f>IF('Données projet'!$A$114&gt;35,BY138+BX139-CG138,IF(A139&lt;'Données projet'!$A$114,$BV$205^A139,IF(A139='Données projet'!$A$114,'Données projet'!$B$114,BY138+BX139-CG138)))</f>
        <v>441.78800000000092</v>
      </c>
      <c r="BZ139" s="13">
        <f>BY139*VLOOKUP('Données projet'!$B$12,Paramètres!$A$1:$I$89,3,0)*VLOOKUP('Données projet'!$B$12,Paramètres!$A$1:$I$89,5,0)</f>
        <v>420.40546080000092</v>
      </c>
      <c r="CA139" s="13">
        <f t="shared" si="147"/>
        <v>95.901503897465091</v>
      </c>
      <c r="CB139" s="20">
        <f t="shared" si="118"/>
        <v>899.2346301814199</v>
      </c>
      <c r="CC139" s="59">
        <f t="shared" si="119"/>
        <v>1192.5679635147533</v>
      </c>
      <c r="CD139" s="59">
        <f ca="1">AVERAGE(OFFSET($CC$3,0,0,'Données projet'!$E$12+1,1))-AVERAGE(OFFSET($H$3,0,0,'Données projet'!$E$12+1,1))</f>
        <v>603.61135046904178</v>
      </c>
      <c r="CE139" s="59">
        <f t="shared" si="148"/>
        <v>272.84936867513068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45.233173858070685</v>
      </c>
      <c r="CL139" s="21">
        <f>EXP(-LN(2)/25)*CL138+(1-EXP(-LN(2)/25))/(LN(2)/25)*Calculateur!CG139*Calculateur!CI139*VLOOKUP('Données projet'!$B$12,Paramètres!$A$1:$I$89,3,0)*0.475*44/12</f>
        <v>23.64971765685122</v>
      </c>
      <c r="CM139" s="21">
        <f>EXP(-LN(2)/2)*CM138+(1-EXP(-LN(2)/2))/(LN(2)/2)*CG139*CJ139*VLOOKUP('Données projet'!$B$12,Paramètres!$A$1:$I$89,3,0)*0.475*44/12</f>
        <v>8.3907543262123574E-2</v>
      </c>
      <c r="CN139" s="22">
        <f t="shared" si="120"/>
        <v>68.966799058184037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41.141100000000002</v>
      </c>
      <c r="D140" s="11">
        <f t="shared" si="140"/>
        <v>12.300598683555409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226.89282598983175</v>
      </c>
      <c r="H140" s="67">
        <f t="shared" si="110"/>
        <v>349.74429187385903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8.5265128291212022E-14</v>
      </c>
      <c r="O140" s="13">
        <f>N140*VLOOKUP('Données projet'!$B$9,Paramètres!$A$1:$I$89,3,0)*VLOOKUP('Données projet'!$B$9,Paramètres!$A$1:$I$89,5,0)</f>
        <v>8.9119112089974823E-14</v>
      </c>
      <c r="P140" s="13">
        <f t="shared" si="141"/>
        <v>1.3568952080113142E-12</v>
      </c>
      <c r="Q140" s="20">
        <f t="shared" si="108"/>
        <v>2.5184749408430782E-12</v>
      </c>
      <c r="R140" s="59">
        <f t="shared" si="109"/>
        <v>293.33333333333582</v>
      </c>
      <c r="S140" s="59">
        <f ca="1">AVERAGE(OFFSET($R$3,0,0,'Données projet'!$E$9+1,1))-AVERAGE(OFFSET($H$3,0,0,'Données projet'!$E$9+1,1))</f>
        <v>225.9892575177542</v>
      </c>
      <c r="T140" s="59">
        <f t="shared" si="142"/>
        <v>215.88467215650428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8.5540293150996494</v>
      </c>
      <c r="AA140" s="21">
        <f>EXP(-LN(2)/25)*AA139+(1-EXP(-LN(2)/25))/(LN(2)/25)*Calculateur!V140*Calculateur!X140*VLOOKUP('Données projet'!$B$9,Paramètres!$A$1:$I$89,3,0)*0.475*44/12</f>
        <v>16.292145074746074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24.846174389845721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9.1440000000000055</v>
      </c>
      <c r="AI140" s="13">
        <f>IF('Données projet'!$A$62&gt;35,AI139+AH140-AQ139,IF(A140&lt;'Données projet'!$A$62,$AF$205^A140,IF(A140='Données projet'!$A$62,'Données projet'!$B$62,AI139+AH140-AQ139)))</f>
        <v>450.93200000000093</v>
      </c>
      <c r="AJ140" s="13">
        <f>AI140*VLOOKUP('Données projet'!$B$10,Paramètres!$A$1:$I$89,3,0)*VLOOKUP('Données projet'!$B$10,Paramètres!$A$1:$I$89,5,0)</f>
        <v>457.24504800000096</v>
      </c>
      <c r="AK140" s="13">
        <f t="shared" si="143"/>
        <v>103.29034565107023</v>
      </c>
      <c r="AL140" s="20">
        <f t="shared" si="112"/>
        <v>976.26581060894898</v>
      </c>
      <c r="AM140" s="59">
        <f t="shared" si="113"/>
        <v>1269.5991439422824</v>
      </c>
      <c r="AN140" s="59">
        <f ca="1">AVERAGE(OFFSET($AM$3,0,0,'Données projet'!$E$10+1,1))-AVERAGE(OFFSET($H$3,0,0,'Données projet'!$E$10+1,1))</f>
        <v>644.15138437063933</v>
      </c>
      <c r="AO140" s="59">
        <f t="shared" si="144"/>
        <v>289.3097279858207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47.25412506614218</v>
      </c>
      <c r="AV140" s="21">
        <f>EXP(-LN(2)/25)*AV139+(1-EXP(-LN(2)/25))/(LN(2)/25)*Calculateur!AQ140*Calculateur!AS140*VLOOKUP('Données projet'!$B$10,Paramètres!$A$1:$I$89,3,0)*0.475*44/12</f>
        <v>24.511409302452492</v>
      </c>
      <c r="AW140" s="21">
        <f>EXP(-LN(2)/2)*AW139+(1-EXP(-LN(2)/2))/(LN(2)/2)*AQ140*AT140*VLOOKUP('Données projet'!$B$10,Paramètres!$A$1:$I$89,3,0)*0.475*44/12</f>
        <v>6.3222189084718411E-2</v>
      </c>
      <c r="AX140" s="21">
        <f t="shared" si="114"/>
        <v>71.828756557679384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9.1440000000000055</v>
      </c>
      <c r="BD140" s="12">
        <f>IF('Données projet'!$A$88&gt;35,BD139+BC140-BL139,IF(A140&lt;'Données projet'!$A$88,$BA$205^A140,IF(A140='Données projet'!$A$88,'Données projet'!$B$88,BD139+BC140-BL139)))</f>
        <v>450.93200000000093</v>
      </c>
      <c r="BE140" s="13">
        <f>BD140*VLOOKUP('Données projet'!$B$11,Paramètres!$A$1:$I$89,3,0)*VLOOKUP('Données projet'!$B$11,Paramètres!$A$1:$I$89,5,0)</f>
        <v>408.00327360000085</v>
      </c>
      <c r="BF140" s="13">
        <f t="shared" si="145"/>
        <v>93.397330631669121</v>
      </c>
      <c r="BG140" s="20">
        <f t="shared" si="115"/>
        <v>873.27271903682515</v>
      </c>
      <c r="BH140" s="59">
        <f t="shared" si="116"/>
        <v>1166.6060523701585</v>
      </c>
      <c r="BI140" s="59">
        <f ca="1">AVERAGE(OFFSET($BH$3,0,0,'Données projet'!$E$11+1,1))-AVERAGE(OFFSET($H$3,0,0,'Données projet'!$E$11+1,1))</f>
        <v>573.17174498173017</v>
      </c>
      <c r="BJ140" s="59">
        <f t="shared" si="146"/>
        <v>260.48854096157231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42.165219289788404</v>
      </c>
      <c r="BQ140" s="21">
        <f>EXP(-LN(2)/25)*BQ139+(1-EXP(-LN(2)/25))/(LN(2)/25)*Calculateur!BL140*Calculateur!BN140*VLOOKUP('Données projet'!$B$11,Paramètres!$A$1:$I$89,3,0)*0.475*44/12</f>
        <v>21.871719069880683</v>
      </c>
      <c r="BR140" s="21">
        <f>EXP(-LN(2)/2)*BR139+(1-EXP(-LN(2)/2))/(LN(2)/2)*BL140*BO140*VLOOKUP('Données projet'!$B$11,Paramètres!$A$1:$I$89,3,0)*0.475*44/12</f>
        <v>5.6413645644825698E-2</v>
      </c>
      <c r="BS140" s="22">
        <f t="shared" si="117"/>
        <v>64.093352005313903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9.1440000000000055</v>
      </c>
      <c r="BY140" s="12">
        <f>IF('Données projet'!$A$114&gt;35,BY139+BX140-CG139,IF(A140&lt;'Données projet'!$A$114,$BV$205^A140,IF(A140='Données projet'!$A$114,'Données projet'!$B$114,BY139+BX140-CG139)))</f>
        <v>450.93200000000093</v>
      </c>
      <c r="BZ140" s="13">
        <f>BY140*VLOOKUP('Données projet'!$B$12,Paramètres!$A$1:$I$89,3,0)*VLOOKUP('Données projet'!$B$12,Paramètres!$A$1:$I$89,5,0)</f>
        <v>429.10689120000086</v>
      </c>
      <c r="CA140" s="13">
        <f t="shared" si="147"/>
        <v>97.653301583534528</v>
      </c>
      <c r="CB140" s="20">
        <f t="shared" si="118"/>
        <v>917.44066909799074</v>
      </c>
      <c r="CC140" s="59">
        <f t="shared" si="119"/>
        <v>1210.7740024313241</v>
      </c>
      <c r="CD140" s="59">
        <f ca="1">AVERAGE(OFFSET($CC$3,0,0,'Données projet'!$E$12+1,1))-AVERAGE(OFFSET($H$3,0,0,'Données projet'!$E$12+1,1))</f>
        <v>603.61135046904178</v>
      </c>
      <c r="CE140" s="59">
        <f t="shared" si="148"/>
        <v>272.84936867513068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44.346178908225738</v>
      </c>
      <c r="CL140" s="21">
        <f>EXP(-LN(2)/25)*CL139+(1-EXP(-LN(2)/25))/(LN(2)/25)*Calculateur!CG140*Calculateur!CI140*VLOOKUP('Données projet'!$B$12,Paramètres!$A$1:$I$89,3,0)*0.475*44/12</f>
        <v>23.003014883840024</v>
      </c>
      <c r="CM140" s="21">
        <f>EXP(-LN(2)/2)*CM139+(1-EXP(-LN(2)/2))/(LN(2)/2)*CG140*CJ140*VLOOKUP('Données projet'!$B$12,Paramètres!$A$1:$I$89,3,0)*0.475*44/12</f>
        <v>5.9331592833351189E-2</v>
      </c>
      <c r="CN140" s="22">
        <f t="shared" si="120"/>
        <v>67.408525384899107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41.441400000000002</v>
      </c>
      <c r="D141" s="11">
        <f t="shared" si="140"/>
        <v>12.379899444358182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228.50446430762599</v>
      </c>
      <c r="H141" s="67">
        <f t="shared" si="110"/>
        <v>350.40542986559052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8.5265128291212022E-14</v>
      </c>
      <c r="O141" s="13">
        <f>N141*VLOOKUP('Données projet'!$B$9,Paramètres!$A$1:$I$89,3,0)*VLOOKUP('Données projet'!$B$9,Paramètres!$A$1:$I$89,5,0)</f>
        <v>8.9119112089974823E-14</v>
      </c>
      <c r="P141" s="13">
        <f t="shared" si="141"/>
        <v>1.3568952080113142E-12</v>
      </c>
      <c r="Q141" s="20">
        <f t="shared" si="108"/>
        <v>2.5184749408430782E-12</v>
      </c>
      <c r="R141" s="59">
        <f t="shared" si="109"/>
        <v>293.33333333333582</v>
      </c>
      <c r="S141" s="59">
        <f ca="1">AVERAGE(OFFSET($R$3,0,0,'Données projet'!$E$9+1,1))-AVERAGE(OFFSET($H$3,0,0,'Données projet'!$E$9+1,1))</f>
        <v>225.9892575177542</v>
      </c>
      <c r="T141" s="59">
        <f t="shared" si="142"/>
        <v>215.88467215650428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8.3862900176732484</v>
      </c>
      <c r="AA141" s="21">
        <f>EXP(-LN(2)/25)*AA140+(1-EXP(-LN(2)/25))/(LN(2)/25)*Calculateur!V141*Calculateur!X141*VLOOKUP('Données projet'!$B$9,Paramètres!$A$1:$I$89,3,0)*0.475*44/12</f>
        <v>15.846635510910469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24.232925528583717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9.1440000000000055</v>
      </c>
      <c r="AI141" s="13">
        <f>IF('Données projet'!$A$62&gt;35,AI140+AH141-AQ140,IF(A141&lt;'Données projet'!$A$62,$AF$205^A141,IF(A141='Données projet'!$A$62,'Données projet'!$B$62,AI140+AH141-AQ140)))</f>
        <v>460.07600000000093</v>
      </c>
      <c r="AJ141" s="13">
        <f>AI141*VLOOKUP('Données projet'!$B$10,Paramètres!$A$1:$I$89,3,0)*VLOOKUP('Données projet'!$B$10,Paramètres!$A$1:$I$89,5,0)</f>
        <v>466.51706400000097</v>
      </c>
      <c r="AK141" s="13">
        <f t="shared" si="143"/>
        <v>105.13889727137632</v>
      </c>
      <c r="AL141" s="20">
        <f t="shared" si="112"/>
        <v>995.63413254764862</v>
      </c>
      <c r="AM141" s="59">
        <f t="shared" si="113"/>
        <v>1288.967465880982</v>
      </c>
      <c r="AN141" s="59">
        <f ca="1">AVERAGE(OFFSET($AM$3,0,0,'Données projet'!$E$10+1,1))-AVERAGE(OFFSET($H$3,0,0,'Données projet'!$E$10+1,1))</f>
        <v>644.15138437063933</v>
      </c>
      <c r="AO141" s="59">
        <f t="shared" si="144"/>
        <v>289.3097279858207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46.32750049576547</v>
      </c>
      <c r="AV141" s="21">
        <f>EXP(-LN(2)/25)*AV140+(1-EXP(-LN(2)/25))/(LN(2)/25)*Calculateur!AQ141*Calculateur!AS141*VLOOKUP('Données projet'!$B$10,Paramètres!$A$1:$I$89,3,0)*0.475*44/12</f>
        <v>23.841143526077936</v>
      </c>
      <c r="AW141" s="21">
        <f>EXP(-LN(2)/2)*AW140+(1-EXP(-LN(2)/2))/(LN(2)/2)*AQ141*AT141*VLOOKUP('Données projet'!$B$10,Paramètres!$A$1:$I$89,3,0)*0.475*44/12</f>
        <v>4.4704838623262515E-2</v>
      </c>
      <c r="AX141" s="21">
        <f t="shared" si="114"/>
        <v>70.213348860466667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9.1440000000000055</v>
      </c>
      <c r="BD141" s="12">
        <f>IF('Données projet'!$A$88&gt;35,BD140+BC141-BL140,IF(A141&lt;'Données projet'!$A$88,$BA$205^A141,IF(A141='Données projet'!$A$88,'Données projet'!$B$88,BD140+BC141-BL140)))</f>
        <v>460.07600000000093</v>
      </c>
      <c r="BE141" s="13">
        <f>BD141*VLOOKUP('Données projet'!$B$11,Paramètres!$A$1:$I$89,3,0)*VLOOKUP('Données projet'!$B$11,Paramètres!$A$1:$I$89,5,0)</f>
        <v>416.27676480000082</v>
      </c>
      <c r="BF141" s="13">
        <f t="shared" si="145"/>
        <v>95.068830381071379</v>
      </c>
      <c r="BG141" s="20">
        <f t="shared" si="115"/>
        <v>890.5935782737007</v>
      </c>
      <c r="BH141" s="59">
        <f t="shared" si="116"/>
        <v>1183.9269116070341</v>
      </c>
      <c r="BI141" s="59">
        <f ca="1">AVERAGE(OFFSET($BH$3,0,0,'Données projet'!$E$11+1,1))-AVERAGE(OFFSET($H$3,0,0,'Données projet'!$E$11+1,1))</f>
        <v>573.17174498173017</v>
      </c>
      <c r="BJ141" s="59">
        <f t="shared" si="146"/>
        <v>260.48854096157231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41.338385057759957</v>
      </c>
      <c r="BQ141" s="21">
        <f>EXP(-LN(2)/25)*BQ140+(1-EXP(-LN(2)/25))/(LN(2)/25)*Calculateur!BL141*Calculateur!BN141*VLOOKUP('Données projet'!$B$11,Paramètres!$A$1:$I$89,3,0)*0.475*44/12</f>
        <v>21.273635761731079</v>
      </c>
      <c r="BR141" s="21">
        <f>EXP(-LN(2)/2)*BR140+(1-EXP(-LN(2)/2))/(LN(2)/2)*BL141*BO141*VLOOKUP('Données projet'!$B$11,Paramètres!$A$1:$I$89,3,0)*0.475*44/12</f>
        <v>3.9890471386911194E-2</v>
      </c>
      <c r="BS141" s="22">
        <f t="shared" si="117"/>
        <v>62.651911290877948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9.1440000000000055</v>
      </c>
      <c r="BY141" s="12">
        <f>IF('Données projet'!$A$114&gt;35,BY140+BX141-CG140,IF(A141&lt;'Données projet'!$A$114,$BV$205^A141,IF(A141='Données projet'!$A$114,'Données projet'!$B$114,BY140+BX141-CG140)))</f>
        <v>460.07600000000093</v>
      </c>
      <c r="BZ141" s="13">
        <f>BY141*VLOOKUP('Données projet'!$B$12,Paramètres!$A$1:$I$89,3,0)*VLOOKUP('Données projet'!$B$12,Paramètres!$A$1:$I$89,5,0)</f>
        <v>437.80832160000091</v>
      </c>
      <c r="CA141" s="13">
        <f t="shared" si="147"/>
        <v>99.400968974253743</v>
      </c>
      <c r="CB141" s="20">
        <f t="shared" si="118"/>
        <v>935.63951441682673</v>
      </c>
      <c r="CC141" s="59">
        <f t="shared" si="119"/>
        <v>1228.9728477501601</v>
      </c>
      <c r="CD141" s="59">
        <f ca="1">AVERAGE(OFFSET($CC$3,0,0,'Données projet'!$E$12+1,1))-AVERAGE(OFFSET($H$3,0,0,'Données projet'!$E$12+1,1))</f>
        <v>603.61135046904178</v>
      </c>
      <c r="CE141" s="59">
        <f t="shared" si="148"/>
        <v>272.84936867513068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43.476577388333752</v>
      </c>
      <c r="CL141" s="21">
        <f>EXP(-LN(2)/25)*CL140+(1-EXP(-LN(2)/25))/(LN(2)/25)*Calculateur!CG141*Calculateur!CI141*VLOOKUP('Données projet'!$B$12,Paramètres!$A$1:$I$89,3,0)*0.475*44/12</f>
        <v>22.373996232165439</v>
      </c>
      <c r="CM141" s="21">
        <f>EXP(-LN(2)/2)*CM140+(1-EXP(-LN(2)/2))/(LN(2)/2)*CG141*CJ141*VLOOKUP('Données projet'!$B$12,Paramètres!$A$1:$I$89,3,0)*0.475*44/12</f>
        <v>4.1953771631061794E-2</v>
      </c>
      <c r="CN141" s="22">
        <f t="shared" si="120"/>
        <v>65.892527392130248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41.741700000000002</v>
      </c>
      <c r="D142" s="11">
        <f t="shared" si="140"/>
        <v>12.459133344275752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230.1158187599076</v>
      </c>
      <c r="H142" s="67">
        <f t="shared" si="110"/>
        <v>351.06645140794694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8.5265128291212022E-14</v>
      </c>
      <c r="O142" s="13">
        <f>N142*VLOOKUP('Données projet'!$B$9,Paramètres!$A$1:$I$89,3,0)*VLOOKUP('Données projet'!$B$9,Paramètres!$A$1:$I$89,5,0)</f>
        <v>8.9119112089974823E-14</v>
      </c>
      <c r="P142" s="13">
        <f t="shared" si="141"/>
        <v>1.3568952080113142E-12</v>
      </c>
      <c r="Q142" s="20">
        <f t="shared" si="108"/>
        <v>2.5184749408430782E-12</v>
      </c>
      <c r="R142" s="59">
        <f t="shared" si="109"/>
        <v>293.33333333333582</v>
      </c>
      <c r="S142" s="59">
        <f ca="1">AVERAGE(OFFSET($R$3,0,0,'Données projet'!$E$9+1,1))-AVERAGE(OFFSET($H$3,0,0,'Données projet'!$E$9+1,1))</f>
        <v>225.9892575177542</v>
      </c>
      <c r="T142" s="59">
        <f t="shared" si="142"/>
        <v>215.88467215650428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8.2218399855585087</v>
      </c>
      <c r="AA142" s="21">
        <f>EXP(-LN(2)/25)*AA141+(1-EXP(-LN(2)/25))/(LN(2)/25)*Calculateur!V142*Calculateur!X142*VLOOKUP('Données projet'!$B$9,Paramètres!$A$1:$I$89,3,0)*0.475*44/12</f>
        <v>15.413308429526278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23.635148415084785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9.1440000000000055</v>
      </c>
      <c r="AI142" s="13">
        <f>IF('Données projet'!$A$62&gt;35,AI141+AH142-AQ141,IF(A142&lt;'Données projet'!$A$62,$AF$205^A142,IF(A142='Données projet'!$A$62,'Données projet'!$B$62,AI141+AH142-AQ141)))</f>
        <v>469.22000000000094</v>
      </c>
      <c r="AJ142" s="13">
        <f>AI142*VLOOKUP('Données projet'!$B$10,Paramètres!$A$1:$I$89,3,0)*VLOOKUP('Données projet'!$B$10,Paramètres!$A$1:$I$89,5,0)</f>
        <v>475.78908000000098</v>
      </c>
      <c r="AK142" s="13">
        <f t="shared" si="143"/>
        <v>106.98317701049932</v>
      </c>
      <c r="AL142" s="20">
        <f t="shared" si="112"/>
        <v>1014.9950142932879</v>
      </c>
      <c r="AM142" s="59">
        <f t="shared" si="113"/>
        <v>1308.3283476266213</v>
      </c>
      <c r="AN142" s="59">
        <f ca="1">AVERAGE(OFFSET($AM$3,0,0,'Données projet'!$E$10+1,1))-AVERAGE(OFFSET($H$3,0,0,'Données projet'!$E$10+1,1))</f>
        <v>644.15138437063933</v>
      </c>
      <c r="AO142" s="59">
        <f t="shared" si="144"/>
        <v>289.3097279858207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45.419046468028668</v>
      </c>
      <c r="AV142" s="21">
        <f>EXP(-LN(2)/25)*AV141+(1-EXP(-LN(2)/25))/(LN(2)/25)*Calculateur!AQ142*Calculateur!AS142*VLOOKUP('Données projet'!$B$10,Paramètres!$A$1:$I$89,3,0)*0.475*44/12</f>
        <v>23.189206202606087</v>
      </c>
      <c r="AW142" s="21">
        <f>EXP(-LN(2)/2)*AW141+(1-EXP(-LN(2)/2))/(LN(2)/2)*AQ142*AT142*VLOOKUP('Données projet'!$B$10,Paramètres!$A$1:$I$89,3,0)*0.475*44/12</f>
        <v>3.1611094542359205E-2</v>
      </c>
      <c r="AX142" s="21">
        <f t="shared" si="114"/>
        <v>68.639863765177111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9.1440000000000055</v>
      </c>
      <c r="BD142" s="12">
        <f>IF('Données projet'!$A$88&gt;35,BD141+BC142-BL141,IF(A142&lt;'Données projet'!$A$88,$BA$205^A142,IF(A142='Données projet'!$A$88,'Données projet'!$B$88,BD141+BC142-BL141)))</f>
        <v>469.22000000000094</v>
      </c>
      <c r="BE142" s="13">
        <f>BD142*VLOOKUP('Données projet'!$B$11,Paramètres!$A$1:$I$89,3,0)*VLOOKUP('Données projet'!$B$11,Paramètres!$A$1:$I$89,5,0)</f>
        <v>424.55025600000084</v>
      </c>
      <c r="BF142" s="13">
        <f t="shared" si="145"/>
        <v>96.736467404516418</v>
      </c>
      <c r="BG142" s="20">
        <f t="shared" si="115"/>
        <v>907.90770992953412</v>
      </c>
      <c r="BH142" s="59">
        <f t="shared" si="116"/>
        <v>1201.2410432628674</v>
      </c>
      <c r="BI142" s="59">
        <f ca="1">AVERAGE(OFFSET($BH$3,0,0,'Données projet'!$E$11+1,1))-AVERAGE(OFFSET($H$3,0,0,'Données projet'!$E$11+1,1))</f>
        <v>573.17174498173017</v>
      </c>
      <c r="BJ142" s="59">
        <f t="shared" si="146"/>
        <v>260.48854096157231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40.527764540702499</v>
      </c>
      <c r="BQ142" s="21">
        <f>EXP(-LN(2)/25)*BQ141+(1-EXP(-LN(2)/25))/(LN(2)/25)*Calculateur!BL142*Calculateur!BN142*VLOOKUP('Données projet'!$B$11,Paramètres!$A$1:$I$89,3,0)*0.475*44/12</f>
        <v>20.691907073094658</v>
      </c>
      <c r="BR142" s="21">
        <f>EXP(-LN(2)/2)*BR141+(1-EXP(-LN(2)/2))/(LN(2)/2)*BL142*BO142*VLOOKUP('Données projet'!$B$11,Paramètres!$A$1:$I$89,3,0)*0.475*44/12</f>
        <v>2.8206822822412849E-2</v>
      </c>
      <c r="BS142" s="22">
        <f t="shared" si="117"/>
        <v>61.247878436619573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9.1440000000000055</v>
      </c>
      <c r="BY142" s="12">
        <f>IF('Données projet'!$A$114&gt;35,BY141+BX142-CG141,IF(A142&lt;'Données projet'!$A$114,$BV$205^A142,IF(A142='Données projet'!$A$114,'Données projet'!$B$114,BY141+BX142-CG141)))</f>
        <v>469.22000000000094</v>
      </c>
      <c r="BZ142" s="13">
        <f>BY142*VLOOKUP('Données projet'!$B$12,Paramètres!$A$1:$I$89,3,0)*VLOOKUP('Données projet'!$B$12,Paramètres!$A$1:$I$89,5,0)</f>
        <v>446.5097520000009</v>
      </c>
      <c r="CA142" s="13">
        <f t="shared" si="147"/>
        <v>101.14459762060724</v>
      </c>
      <c r="CB142" s="20">
        <f t="shared" si="118"/>
        <v>953.8313255892258</v>
      </c>
      <c r="CC142" s="59">
        <f t="shared" si="119"/>
        <v>1247.1646589225591</v>
      </c>
      <c r="CD142" s="59">
        <f ca="1">AVERAGE(OFFSET($CC$3,0,0,'Données projet'!$E$12+1,1))-AVERAGE(OFFSET($H$3,0,0,'Données projet'!$E$12+1,1))</f>
        <v>603.61135046904178</v>
      </c>
      <c r="CE142" s="59">
        <f t="shared" si="148"/>
        <v>272.84936867513068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42.624028223842288</v>
      </c>
      <c r="CL142" s="21">
        <f>EXP(-LN(2)/25)*CL141+(1-EXP(-LN(2)/25))/(LN(2)/25)*Calculateur!CG142*Calculateur!CI142*VLOOKUP('Données projet'!$B$12,Paramètres!$A$1:$I$89,3,0)*0.475*44/12</f>
        <v>21.762178128599551</v>
      </c>
      <c r="CM142" s="21">
        <f>EXP(-LN(2)/2)*CM141+(1-EXP(-LN(2)/2))/(LN(2)/2)*CG142*CJ142*VLOOKUP('Données projet'!$B$12,Paramètres!$A$1:$I$89,3,0)*0.475*44/12</f>
        <v>2.9665796416675598E-2</v>
      </c>
      <c r="CN142" s="22">
        <f t="shared" si="120"/>
        <v>64.415872148858512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42.042000000000002</v>
      </c>
      <c r="D143" s="11">
        <f t="shared" si="140"/>
        <v>12.538300920096177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231.72689162567153</v>
      </c>
      <c r="H143" s="67">
        <f t="shared" si="110"/>
        <v>351.72735743583416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8.5265128291212022E-14</v>
      </c>
      <c r="O143" s="13">
        <f>N143*VLOOKUP('Données projet'!$B$9,Paramètres!$A$1:$I$89,3,0)*VLOOKUP('Données projet'!$B$9,Paramètres!$A$1:$I$89,5,0)</f>
        <v>8.9119112089974823E-14</v>
      </c>
      <c r="P143" s="13">
        <f t="shared" si="141"/>
        <v>1.3568952080113142E-12</v>
      </c>
      <c r="Q143" s="20">
        <f t="shared" si="108"/>
        <v>2.5184749408430782E-12</v>
      </c>
      <c r="R143" s="59">
        <f t="shared" si="109"/>
        <v>293.33333333333582</v>
      </c>
      <c r="S143" s="59">
        <f ca="1">AVERAGE(OFFSET($R$3,0,0,'Données projet'!$E$9+1,1))-AVERAGE(OFFSET($H$3,0,0,'Données projet'!$E$9+1,1))</f>
        <v>225.9892575177542</v>
      </c>
      <c r="T143" s="59">
        <f t="shared" si="142"/>
        <v>215.88467215650428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8.0606147182689245</v>
      </c>
      <c r="AA143" s="21">
        <f>EXP(-LN(2)/25)*AA142+(1-EXP(-LN(2)/25))/(LN(2)/25)*Calculateur!V143*Calculateur!X143*VLOOKUP('Données projet'!$B$9,Paramètres!$A$1:$I$89,3,0)*0.475*44/12</f>
        <v>14.991830699970219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23.052445418239145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9.1440000000000055</v>
      </c>
      <c r="AI143" s="13">
        <f>IF('Données projet'!$A$62&gt;35,AI142+AH143-AQ142,IF(A143&lt;'Données projet'!$A$62,$AF$205^A143,IF(A143='Données projet'!$A$62,'Données projet'!$B$62,AI142+AH143-AQ142)))</f>
        <v>478.36400000000094</v>
      </c>
      <c r="AJ143" s="13">
        <f>AI143*VLOOKUP('Données projet'!$B$10,Paramètres!$A$1:$I$89,3,0)*VLOOKUP('Données projet'!$B$10,Paramètres!$A$1:$I$89,5,0)</f>
        <v>485.06109600000099</v>
      </c>
      <c r="AK143" s="13">
        <f t="shared" si="143"/>
        <v>108.82327771411607</v>
      </c>
      <c r="AL143" s="20">
        <f t="shared" si="112"/>
        <v>1034.348617552087</v>
      </c>
      <c r="AM143" s="59">
        <f t="shared" si="113"/>
        <v>1327.6819508854203</v>
      </c>
      <c r="AN143" s="59">
        <f ca="1">AVERAGE(OFFSET($AM$3,0,0,'Données projet'!$E$10+1,1))-AVERAGE(OFFSET($H$3,0,0,'Données projet'!$E$10+1,1))</f>
        <v>644.15138437063933</v>
      </c>
      <c r="AO143" s="59">
        <f t="shared" si="144"/>
        <v>289.3097279858207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44.528406669673537</v>
      </c>
      <c r="AV143" s="21">
        <f>EXP(-LN(2)/25)*AV142+(1-EXP(-LN(2)/25))/(LN(2)/25)*Calculateur!AQ143*Calculateur!AS143*VLOOKUP('Données projet'!$B$10,Paramètres!$A$1:$I$89,3,0)*0.475*44/12</f>
        <v>22.555096139528469</v>
      </c>
      <c r="AW143" s="21">
        <f>EXP(-LN(2)/2)*AW142+(1-EXP(-LN(2)/2))/(LN(2)/2)*AQ143*AT143*VLOOKUP('Données projet'!$B$10,Paramètres!$A$1:$I$89,3,0)*0.475*44/12</f>
        <v>2.2352419311631257E-2</v>
      </c>
      <c r="AX143" s="21">
        <f t="shared" si="114"/>
        <v>67.105855228513633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9.1440000000000055</v>
      </c>
      <c r="BD143" s="12">
        <f>IF('Données projet'!$A$88&gt;35,BD142+BC143-BL142,IF(A143&lt;'Données projet'!$A$88,$BA$205^A143,IF(A143='Données projet'!$A$88,'Données projet'!$B$88,BD142+BC143-BL142)))</f>
        <v>478.36400000000094</v>
      </c>
      <c r="BE143" s="13">
        <f>BD143*VLOOKUP('Données projet'!$B$11,Paramètres!$A$1:$I$89,3,0)*VLOOKUP('Données projet'!$B$11,Paramètres!$A$1:$I$89,5,0)</f>
        <v>432.82374720000081</v>
      </c>
      <c r="BF143" s="13">
        <f t="shared" si="145"/>
        <v>98.400325655042849</v>
      </c>
      <c r="BG143" s="20">
        <f t="shared" si="115"/>
        <v>925.21526022253431</v>
      </c>
      <c r="BH143" s="59">
        <f t="shared" si="116"/>
        <v>1218.5485935558677</v>
      </c>
      <c r="BI143" s="59">
        <f ca="1">AVERAGE(OFFSET($BH$3,0,0,'Données projet'!$E$11+1,1))-AVERAGE(OFFSET($H$3,0,0,'Données projet'!$E$11+1,1))</f>
        <v>573.17174498173017</v>
      </c>
      <c r="BJ143" s="59">
        <f t="shared" si="146"/>
        <v>260.48854096157231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39.733039797554845</v>
      </c>
      <c r="BQ143" s="21">
        <f>EXP(-LN(2)/25)*BQ142+(1-EXP(-LN(2)/25))/(LN(2)/25)*Calculateur!BL143*Calculateur!BN143*VLOOKUP('Données projet'!$B$11,Paramètres!$A$1:$I$89,3,0)*0.475*44/12</f>
        <v>20.126085786040782</v>
      </c>
      <c r="BR143" s="21">
        <f>EXP(-LN(2)/2)*BR142+(1-EXP(-LN(2)/2))/(LN(2)/2)*BL143*BO143*VLOOKUP('Données projet'!$B$11,Paramètres!$A$1:$I$89,3,0)*0.475*44/12</f>
        <v>1.9945235693455597E-2</v>
      </c>
      <c r="BS143" s="22">
        <f t="shared" si="117"/>
        <v>59.879070819289083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9.1440000000000055</v>
      </c>
      <c r="BY143" s="12">
        <f>IF('Données projet'!$A$114&gt;35,BY142+BX143-CG142,IF(A143&lt;'Données projet'!$A$114,$BV$205^A143,IF(A143='Données projet'!$A$114,'Données projet'!$B$114,BY142+BX143-CG142)))</f>
        <v>478.36400000000094</v>
      </c>
      <c r="BZ143" s="13">
        <f>BY143*VLOOKUP('Données projet'!$B$12,Paramètres!$A$1:$I$89,3,0)*VLOOKUP('Données projet'!$B$12,Paramètres!$A$1:$I$89,5,0)</f>
        <v>455.21118240000089</v>
      </c>
      <c r="CA143" s="13">
        <f t="shared" si="147"/>
        <v>102.88427530124351</v>
      </c>
      <c r="CB143" s="20">
        <f t="shared" si="118"/>
        <v>972.016255496334</v>
      </c>
      <c r="CC143" s="59">
        <f t="shared" si="119"/>
        <v>1265.3495888296673</v>
      </c>
      <c r="CD143" s="59">
        <f ca="1">AVERAGE(OFFSET($CC$3,0,0,'Données projet'!$E$12+1,1))-AVERAGE(OFFSET($H$3,0,0,'Données projet'!$E$12+1,1))</f>
        <v>603.61135046904178</v>
      </c>
      <c r="CE143" s="59">
        <f t="shared" si="148"/>
        <v>272.84936867513068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41.788197028462861</v>
      </c>
      <c r="CL143" s="21">
        <f>EXP(-LN(2)/25)*CL142+(1-EXP(-LN(2)/25))/(LN(2)/25)*Calculateur!CG143*Calculateur!CI143*VLOOKUP('Données projet'!$B$12,Paramètres!$A$1:$I$89,3,0)*0.475*44/12</f>
        <v>21.167090223249787</v>
      </c>
      <c r="CM143" s="21">
        <f>EXP(-LN(2)/2)*CM142+(1-EXP(-LN(2)/2))/(LN(2)/2)*CG143*CJ143*VLOOKUP('Données projet'!$B$12,Paramètres!$A$1:$I$89,3,0)*0.475*44/12</f>
        <v>2.09768858155309E-2</v>
      </c>
      <c r="CN143" s="22">
        <f t="shared" si="120"/>
        <v>62.976264137528176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42.342300000000002</v>
      </c>
      <c r="D144" s="11">
        <f t="shared" si="140"/>
        <v>12.617402700495962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233.33768514947414</v>
      </c>
      <c r="H144" s="67">
        <f t="shared" si="110"/>
        <v>352.38814887003048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8.5265128291212022E-14</v>
      </c>
      <c r="O144" s="13">
        <f>N144*VLOOKUP('Données projet'!$B$9,Paramètres!$A$1:$I$89,3,0)*VLOOKUP('Données projet'!$B$9,Paramètres!$A$1:$I$89,5,0)</f>
        <v>8.9119112089974823E-14</v>
      </c>
      <c r="P144" s="13">
        <f t="shared" si="141"/>
        <v>1.3568952080113142E-12</v>
      </c>
      <c r="Q144" s="20">
        <f t="shared" si="108"/>
        <v>2.5184749408430782E-12</v>
      </c>
      <c r="R144" s="59">
        <f t="shared" si="109"/>
        <v>293.33333333333582</v>
      </c>
      <c r="S144" s="59">
        <f ca="1">AVERAGE(OFFSET($R$3,0,0,'Données projet'!$E$9+1,1))-AVERAGE(OFFSET($H$3,0,0,'Données projet'!$E$9+1,1))</f>
        <v>225.9892575177542</v>
      </c>
      <c r="T144" s="59">
        <f t="shared" si="142"/>
        <v>215.88467215650428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7.9025509801331859</v>
      </c>
      <c r="AA144" s="21">
        <f>EXP(-LN(2)/25)*AA143+(1-EXP(-LN(2)/25))/(LN(2)/25)*Calculateur!V144*Calculateur!X144*VLOOKUP('Données projet'!$B$9,Paramètres!$A$1:$I$89,3,0)*0.475*44/12</f>
        <v>14.581878301093422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22.484429281226607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9.1440000000000055</v>
      </c>
      <c r="AI144" s="13">
        <f>IF('Données projet'!$A$62&gt;35,AI143+AH144-AQ143,IF(A144&lt;'Données projet'!$A$62,$AF$205^A144,IF(A144='Données projet'!$A$62,'Données projet'!$B$62,AI143+AH144-AQ143)))</f>
        <v>487.50800000000095</v>
      </c>
      <c r="AJ144" s="13">
        <f>AI144*VLOOKUP('Données projet'!$B$10,Paramètres!$A$1:$I$89,3,0)*VLOOKUP('Données projet'!$B$10,Paramètres!$A$1:$I$89,5,0)</f>
        <v>494.33311200000099</v>
      </c>
      <c r="AK144" s="13">
        <f t="shared" si="143"/>
        <v>110.65928847529446</v>
      </c>
      <c r="AL144" s="20">
        <f t="shared" si="112"/>
        <v>1053.6950974944727</v>
      </c>
      <c r="AM144" s="59">
        <f t="shared" si="113"/>
        <v>1347.028430827806</v>
      </c>
      <c r="AN144" s="59">
        <f ca="1">AVERAGE(OFFSET($AM$3,0,0,'Données projet'!$E$10+1,1))-AVERAGE(OFFSET($H$3,0,0,'Données projet'!$E$10+1,1))</f>
        <v>644.15138437063933</v>
      </c>
      <c r="AO144" s="59">
        <f t="shared" si="144"/>
        <v>289.3097279858207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43.655231774527515</v>
      </c>
      <c r="AV144" s="21">
        <f>EXP(-LN(2)/25)*AV143+(1-EXP(-LN(2)/25))/(LN(2)/25)*Calculateur!AQ144*Calculateur!AS144*VLOOKUP('Données projet'!$B$10,Paramètres!$A$1:$I$89,3,0)*0.475*44/12</f>
        <v>21.938325849472108</v>
      </c>
      <c r="AW144" s="21">
        <f>EXP(-LN(2)/2)*AW143+(1-EXP(-LN(2)/2))/(LN(2)/2)*AQ144*AT144*VLOOKUP('Données projet'!$B$10,Paramètres!$A$1:$I$89,3,0)*0.475*44/12</f>
        <v>1.5805547271179603E-2</v>
      </c>
      <c r="AX144" s="21">
        <f t="shared" si="114"/>
        <v>65.609363171270815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9.1440000000000055</v>
      </c>
      <c r="BD144" s="12">
        <f>IF('Données projet'!$A$88&gt;35,BD143+BC144-BL143,IF(A144&lt;'Données projet'!$A$88,$BA$205^A144,IF(A144='Données projet'!$A$88,'Données projet'!$B$88,BD143+BC144-BL143)))</f>
        <v>487.50800000000095</v>
      </c>
      <c r="BE144" s="13">
        <f>BD144*VLOOKUP('Données projet'!$B$11,Paramètres!$A$1:$I$89,3,0)*VLOOKUP('Données projet'!$B$11,Paramètres!$A$1:$I$89,5,0)</f>
        <v>441.09723840000083</v>
      </c>
      <c r="BF144" s="13">
        <f t="shared" si="145"/>
        <v>100.06048569250036</v>
      </c>
      <c r="BG144" s="20">
        <f t="shared" si="115"/>
        <v>942.51636946110614</v>
      </c>
      <c r="BH144" s="59">
        <f t="shared" si="116"/>
        <v>1235.8497027944395</v>
      </c>
      <c r="BI144" s="59">
        <f ca="1">AVERAGE(OFFSET($BH$3,0,0,'Données projet'!$E$11+1,1))-AVERAGE(OFFSET($H$3,0,0,'Données projet'!$E$11+1,1))</f>
        <v>573.17174498173017</v>
      </c>
      <c r="BJ144" s="59">
        <f t="shared" si="146"/>
        <v>260.48854096157231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38.953899121886089</v>
      </c>
      <c r="BQ144" s="21">
        <f>EXP(-LN(2)/25)*BQ143+(1-EXP(-LN(2)/25))/(LN(2)/25)*Calculateur!BL144*Calculateur!BN144*VLOOKUP('Données projet'!$B$11,Paramètres!$A$1:$I$89,3,0)*0.475*44/12</f>
        <v>19.575736911836646</v>
      </c>
      <c r="BR144" s="21">
        <f>EXP(-LN(2)/2)*BR143+(1-EXP(-LN(2)/2))/(LN(2)/2)*BL144*BO144*VLOOKUP('Données projet'!$B$11,Paramètres!$A$1:$I$89,3,0)*0.475*44/12</f>
        <v>1.4103411411206425E-2</v>
      </c>
      <c r="BS144" s="22">
        <f t="shared" si="117"/>
        <v>58.543739445133944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9.1440000000000055</v>
      </c>
      <c r="BY144" s="12">
        <f>IF('Données projet'!$A$114&gt;35,BY143+BX144-CG143,IF(A144&lt;'Données projet'!$A$114,$BV$205^A144,IF(A144='Données projet'!$A$114,'Données projet'!$B$114,BY143+BX144-CG143)))</f>
        <v>487.50800000000095</v>
      </c>
      <c r="BZ144" s="13">
        <f>BY144*VLOOKUP('Données projet'!$B$12,Paramètres!$A$1:$I$89,3,0)*VLOOKUP('Données projet'!$B$12,Paramètres!$A$1:$I$89,5,0)</f>
        <v>463.91261280000094</v>
      </c>
      <c r="CA144" s="13">
        <f t="shared" si="147"/>
        <v>104.62008624699871</v>
      </c>
      <c r="CB144" s="20">
        <f t="shared" si="118"/>
        <v>990.19445084019083</v>
      </c>
      <c r="CC144" s="59">
        <f t="shared" si="119"/>
        <v>1283.5277841735242</v>
      </c>
      <c r="CD144" s="59">
        <f ca="1">AVERAGE(OFFSET($CC$3,0,0,'Données projet'!$E$12+1,1))-AVERAGE(OFFSET($H$3,0,0,'Données projet'!$E$12+1,1))</f>
        <v>603.61135046904178</v>
      </c>
      <c r="CE144" s="59">
        <f t="shared" si="148"/>
        <v>272.84936867513068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40.968755973018133</v>
      </c>
      <c r="CL144" s="21">
        <f>EXP(-LN(2)/25)*CL143+(1-EXP(-LN(2)/25))/(LN(2)/25)*Calculateur!CG144*Calculateur!CI144*VLOOKUP('Données projet'!$B$12,Paramètres!$A$1:$I$89,3,0)*0.475*44/12</f>
        <v>20.588275027966123</v>
      </c>
      <c r="CM144" s="21">
        <f>EXP(-LN(2)/2)*CM143+(1-EXP(-LN(2)/2))/(LN(2)/2)*CG144*CJ144*VLOOKUP('Données projet'!$B$12,Paramètres!$A$1:$I$89,3,0)*0.475*44/12</f>
        <v>1.4832898208337802E-2</v>
      </c>
      <c r="CN144" s="22">
        <f t="shared" si="120"/>
        <v>61.571863899192593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42.642600000000002</v>
      </c>
      <c r="D145" s="11">
        <f t="shared" si="140"/>
        <v>12.696439206219306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234.94820154219431</v>
      </c>
      <c r="H145" s="67">
        <f t="shared" si="110"/>
        <v>353.04882661749866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8.5265128291212022E-14</v>
      </c>
      <c r="O145" s="13">
        <f>N145*VLOOKUP('Données projet'!$B$9,Paramètres!$A$1:$I$89,3,0)*VLOOKUP('Données projet'!$B$9,Paramètres!$A$1:$I$89,5,0)</f>
        <v>8.9119112089974823E-14</v>
      </c>
      <c r="P145" s="13">
        <f t="shared" si="141"/>
        <v>1.3568952080113142E-12</v>
      </c>
      <c r="Q145" s="20">
        <f t="shared" si="108"/>
        <v>2.5184749408430782E-12</v>
      </c>
      <c r="R145" s="59">
        <f t="shared" si="109"/>
        <v>293.33333333333582</v>
      </c>
      <c r="S145" s="59">
        <f ca="1">AVERAGE(OFFSET($R$3,0,0,'Données projet'!$E$9+1,1))-AVERAGE(OFFSET($H$3,0,0,'Données projet'!$E$9+1,1))</f>
        <v>225.9892575177542</v>
      </c>
      <c r="T145" s="59">
        <f t="shared" si="142"/>
        <v>215.88467215650428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7.7475867754929286</v>
      </c>
      <c r="AA145" s="21">
        <f>EXP(-LN(2)/25)*AA144+(1-EXP(-LN(2)/25))/(LN(2)/25)*Calculateur!V145*Calculateur!X145*VLOOKUP('Données projet'!$B$9,Paramètres!$A$1:$I$89,3,0)*0.475*44/12</f>
        <v>14.18313607212237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21.9307228476153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9.1440000000000055</v>
      </c>
      <c r="AI145" s="13">
        <f>IF('Données projet'!$A$62&gt;35,AI144+AH145-AQ144,IF(A145&lt;'Données projet'!$A$62,$AF$205^A145,IF(A145='Données projet'!$A$62,'Données projet'!$B$62,AI144+AH145-AQ144)))</f>
        <v>496.65200000000095</v>
      </c>
      <c r="AJ145" s="13">
        <f>AI145*VLOOKUP('Données projet'!$B$10,Paramètres!$A$1:$I$89,3,0)*VLOOKUP('Données projet'!$B$10,Paramètres!$A$1:$I$89,5,0)</f>
        <v>503.605128000001</v>
      </c>
      <c r="AK145" s="13">
        <f t="shared" si="143"/>
        <v>112.49129485365643</v>
      </c>
      <c r="AL145" s="20">
        <f t="shared" si="112"/>
        <v>1073.0346031367867</v>
      </c>
      <c r="AM145" s="59">
        <f t="shared" si="113"/>
        <v>1366.36793647012</v>
      </c>
      <c r="AN145" s="59">
        <f ca="1">AVERAGE(OFFSET($AM$3,0,0,'Données projet'!$E$10+1,1))-AVERAGE(OFFSET($H$3,0,0,'Données projet'!$E$10+1,1))</f>
        <v>644.15138437063933</v>
      </c>
      <c r="AO145" s="59">
        <f t="shared" si="144"/>
        <v>289.3097279858207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42.799179306491212</v>
      </c>
      <c r="AV145" s="21">
        <f>EXP(-LN(2)/25)*AV144+(1-EXP(-LN(2)/25))/(LN(2)/25)*Calculateur!AQ145*Calculateur!AS145*VLOOKUP('Données projet'!$B$10,Paramètres!$A$1:$I$89,3,0)*0.475*44/12</f>
        <v>21.338421175431876</v>
      </c>
      <c r="AW145" s="21">
        <f>EXP(-LN(2)/2)*AW144+(1-EXP(-LN(2)/2))/(LN(2)/2)*AQ145*AT145*VLOOKUP('Données projet'!$B$10,Paramètres!$A$1:$I$89,3,0)*0.475*44/12</f>
        <v>1.1176209655815629E-2</v>
      </c>
      <c r="AX145" s="21">
        <f t="shared" si="114"/>
        <v>64.148776691578902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9.1440000000000055</v>
      </c>
      <c r="BD145" s="12">
        <f>IF('Données projet'!$A$88&gt;35,BD144+BC145-BL144,IF(A145&lt;'Données projet'!$A$88,$BA$205^A145,IF(A145='Données projet'!$A$88,'Données projet'!$B$88,BD144+BC145-BL144)))</f>
        <v>496.65200000000095</v>
      </c>
      <c r="BE145" s="13">
        <f>BD145*VLOOKUP('Données projet'!$B$11,Paramètres!$A$1:$I$89,3,0)*VLOOKUP('Données projet'!$B$11,Paramètres!$A$1:$I$89,5,0)</f>
        <v>449.37072960000086</v>
      </c>
      <c r="BF145" s="13">
        <f t="shared" si="145"/>
        <v>101.71702488172154</v>
      </c>
      <c r="BG145" s="20">
        <f t="shared" si="115"/>
        <v>959.81117238899981</v>
      </c>
      <c r="BH145" s="59">
        <f t="shared" si="116"/>
        <v>1253.1445057223332</v>
      </c>
      <c r="BI145" s="59">
        <f ca="1">AVERAGE(OFFSET($BH$3,0,0,'Données projet'!$E$11+1,1))-AVERAGE(OFFSET($H$3,0,0,'Données projet'!$E$11+1,1))</f>
        <v>573.17174498173017</v>
      </c>
      <c r="BJ145" s="59">
        <f t="shared" si="146"/>
        <v>260.48854096157231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38.19003691963831</v>
      </c>
      <c r="BQ145" s="21">
        <f>EXP(-LN(2)/25)*BQ144+(1-EXP(-LN(2)/25))/(LN(2)/25)*Calculateur!BL145*Calculateur!BN145*VLOOKUP('Données projet'!$B$11,Paramètres!$A$1:$I$89,3,0)*0.475*44/12</f>
        <v>19.040437356539211</v>
      </c>
      <c r="BR145" s="21">
        <f>EXP(-LN(2)/2)*BR144+(1-EXP(-LN(2)/2))/(LN(2)/2)*BL145*BO145*VLOOKUP('Données projet'!$B$11,Paramètres!$A$1:$I$89,3,0)*0.475*44/12</f>
        <v>9.9726178467277986E-3</v>
      </c>
      <c r="BS145" s="22">
        <f t="shared" si="117"/>
        <v>57.240446894024245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9.1440000000000055</v>
      </c>
      <c r="BY145" s="12">
        <f>IF('Données projet'!$A$114&gt;35,BY144+BX145-CG144,IF(A145&lt;'Données projet'!$A$114,$BV$205^A145,IF(A145='Données projet'!$A$114,'Données projet'!$B$114,BY144+BX145-CG144)))</f>
        <v>496.65200000000095</v>
      </c>
      <c r="BZ145" s="13">
        <f>BY145*VLOOKUP('Données projet'!$B$12,Paramètres!$A$1:$I$89,3,0)*VLOOKUP('Données projet'!$B$12,Paramètres!$A$1:$I$89,5,0)</f>
        <v>472.61404320000088</v>
      </c>
      <c r="CA145" s="13">
        <f t="shared" si="147"/>
        <v>106.35211134810046</v>
      </c>
      <c r="CB145" s="20">
        <f t="shared" si="118"/>
        <v>1008.3660525046098</v>
      </c>
      <c r="CC145" s="59">
        <f t="shared" si="119"/>
        <v>1301.6993858379431</v>
      </c>
      <c r="CD145" s="59">
        <f ca="1">AVERAGE(OFFSET($CC$3,0,0,'Données projet'!$E$12+1,1))-AVERAGE(OFFSET($H$3,0,0,'Données projet'!$E$12+1,1))</f>
        <v>603.61135046904178</v>
      </c>
      <c r="CE145" s="59">
        <f t="shared" si="148"/>
        <v>272.84936867513068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40.165383656860982</v>
      </c>
      <c r="CL145" s="21">
        <f>EXP(-LN(2)/25)*CL144+(1-EXP(-LN(2)/25))/(LN(2)/25)*Calculateur!CG145*Calculateur!CI145*VLOOKUP('Données projet'!$B$12,Paramètres!$A$1:$I$89,3,0)*0.475*44/12</f>
        <v>20.025287564636059</v>
      </c>
      <c r="CM145" s="21">
        <f>EXP(-LN(2)/2)*CM144+(1-EXP(-LN(2)/2))/(LN(2)/2)*CG145*CJ145*VLOOKUP('Données projet'!$B$12,Paramètres!$A$1:$I$89,3,0)*0.475*44/12</f>
        <v>1.0488442907765452E-2</v>
      </c>
      <c r="CN145" s="22">
        <f t="shared" si="120"/>
        <v>60.201159664404805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42.942900000000002</v>
      </c>
      <c r="D146" s="11">
        <f t="shared" si="140"/>
        <v>12.775410950252107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236.55844298177217</v>
      </c>
      <c r="H146" s="67">
        <f t="shared" si="110"/>
        <v>353.70939157168908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8.5265128291212022E-14</v>
      </c>
      <c r="O146" s="13">
        <f>N146*VLOOKUP('Données projet'!$B$9,Paramètres!$A$1:$I$89,3,0)*VLOOKUP('Données projet'!$B$9,Paramètres!$A$1:$I$89,5,0)</f>
        <v>8.9119112089974823E-14</v>
      </c>
      <c r="P146" s="13">
        <f t="shared" si="141"/>
        <v>1.3568952080113142E-12</v>
      </c>
      <c r="Q146" s="20">
        <f t="shared" si="108"/>
        <v>2.5184749408430782E-12</v>
      </c>
      <c r="R146" s="59">
        <f t="shared" si="109"/>
        <v>293.33333333333582</v>
      </c>
      <c r="S146" s="59">
        <f ca="1">AVERAGE(OFFSET($R$3,0,0,'Données projet'!$E$9+1,1))-AVERAGE(OFFSET($H$3,0,0,'Données projet'!$E$9+1,1))</f>
        <v>225.9892575177542</v>
      </c>
      <c r="T146" s="59">
        <f t="shared" si="142"/>
        <v>215.88467215650428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7.5956613243868345</v>
      </c>
      <c r="AA146" s="21">
        <f>EXP(-LN(2)/25)*AA145+(1-EXP(-LN(2)/25))/(LN(2)/25)*Calculateur!V146*Calculateur!X146*VLOOKUP('Données projet'!$B$9,Paramètres!$A$1:$I$89,3,0)*0.475*44/12</f>
        <v>13.795297470371473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21.390958794758308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9.1440000000000055</v>
      </c>
      <c r="AI146" s="13">
        <f>IF('Données projet'!$A$62&gt;35,AI145+AH146-AQ145,IF(A146&lt;'Données projet'!$A$62,$AF$205^A146,IF(A146='Données projet'!$A$62,'Données projet'!$B$62,AI145+AH146-AQ145)))</f>
        <v>505.79600000000096</v>
      </c>
      <c r="AJ146" s="13">
        <f>AI146*VLOOKUP('Données projet'!$B$10,Paramètres!$A$1:$I$89,3,0)*VLOOKUP('Données projet'!$B$10,Paramètres!$A$1:$I$89,5,0)</f>
        <v>512.87714400000095</v>
      </c>
      <c r="AK146" s="13">
        <f t="shared" si="143"/>
        <v>114.31937907794493</v>
      </c>
      <c r="AL146" s="20">
        <f t="shared" si="112"/>
        <v>1092.3672776940891</v>
      </c>
      <c r="AM146" s="59">
        <f t="shared" si="113"/>
        <v>1385.7006110274224</v>
      </c>
      <c r="AN146" s="59">
        <f ca="1">AVERAGE(OFFSET($AM$3,0,0,'Données projet'!$E$10+1,1))-AVERAGE(OFFSET($H$3,0,0,'Données projet'!$E$10+1,1))</f>
        <v>644.15138437063933</v>
      </c>
      <c r="AO146" s="59">
        <f t="shared" si="144"/>
        <v>289.3097279858207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41.959913505212647</v>
      </c>
      <c r="AV146" s="21">
        <f>EXP(-LN(2)/25)*AV145+(1-EXP(-LN(2)/25))/(LN(2)/25)*Calculateur!AQ146*Calculateur!AS146*VLOOKUP('Données projet'!$B$10,Paramètres!$A$1:$I$89,3,0)*0.475*44/12</f>
        <v>20.75492092625089</v>
      </c>
      <c r="AW146" s="21">
        <f>EXP(-LN(2)/2)*AW145+(1-EXP(-LN(2)/2))/(LN(2)/2)*AQ146*AT146*VLOOKUP('Données projet'!$B$10,Paramètres!$A$1:$I$89,3,0)*0.475*44/12</f>
        <v>7.9027736355898014E-3</v>
      </c>
      <c r="AX146" s="21">
        <f t="shared" si="114"/>
        <v>62.722737205099129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9.1440000000000055</v>
      </c>
      <c r="BD146" s="12">
        <f>IF('Données projet'!$A$88&gt;35,BD145+BC146-BL145,IF(A146&lt;'Données projet'!$A$88,$BA$205^A146,IF(A146='Données projet'!$A$88,'Données projet'!$B$88,BD145+BC146-BL145)))</f>
        <v>505.79600000000096</v>
      </c>
      <c r="BE146" s="13">
        <f>BD146*VLOOKUP('Données projet'!$B$11,Paramètres!$A$1:$I$89,3,0)*VLOOKUP('Données projet'!$B$11,Paramètres!$A$1:$I$89,5,0)</f>
        <v>457.64422080000088</v>
      </c>
      <c r="BF146" s="13">
        <f t="shared" si="145"/>
        <v>103.37001757568726</v>
      </c>
      <c r="BG146" s="20">
        <f t="shared" si="115"/>
        <v>977.0997985043233</v>
      </c>
      <c r="BH146" s="59">
        <f t="shared" si="116"/>
        <v>1270.4331318376567</v>
      </c>
      <c r="BI146" s="59">
        <f ca="1">AVERAGE(OFFSET($BH$3,0,0,'Données projet'!$E$11+1,1))-AVERAGE(OFFSET($H$3,0,0,'Données projet'!$E$11+1,1))</f>
        <v>573.17174498173017</v>
      </c>
      <c r="BJ146" s="59">
        <f t="shared" si="146"/>
        <v>260.48854096157231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37.441153589266669</v>
      </c>
      <c r="BQ146" s="21">
        <f>EXP(-LN(2)/25)*BQ145+(1-EXP(-LN(2)/25))/(LN(2)/25)*Calculateur!BL146*Calculateur!BN146*VLOOKUP('Données projet'!$B$11,Paramètres!$A$1:$I$89,3,0)*0.475*44/12</f>
        <v>18.519775595731563</v>
      </c>
      <c r="BR146" s="21">
        <f>EXP(-LN(2)/2)*BR145+(1-EXP(-LN(2)/2))/(LN(2)/2)*BL146*BO146*VLOOKUP('Données projet'!$B$11,Paramètres!$A$1:$I$89,3,0)*0.475*44/12</f>
        <v>7.0517057056032123E-3</v>
      </c>
      <c r="BS146" s="22">
        <f t="shared" si="117"/>
        <v>55.967980890703842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9.1440000000000055</v>
      </c>
      <c r="BY146" s="12">
        <f>IF('Données projet'!$A$114&gt;35,BY145+BX146-CG145,IF(A146&lt;'Données projet'!$A$114,$BV$205^A146,IF(A146='Données projet'!$A$114,'Données projet'!$B$114,BY145+BX146-CG145)))</f>
        <v>505.79600000000096</v>
      </c>
      <c r="BZ146" s="13">
        <f>BY146*VLOOKUP('Données projet'!$B$12,Paramètres!$A$1:$I$89,3,0)*VLOOKUP('Données projet'!$B$12,Paramètres!$A$1:$I$89,5,0)</f>
        <v>481.31547360000093</v>
      </c>
      <c r="CA146" s="13">
        <f t="shared" si="147"/>
        <v>108.08042834567949</v>
      </c>
      <c r="CB146" s="20">
        <f t="shared" si="118"/>
        <v>1026.5311958887266</v>
      </c>
      <c r="CC146" s="59">
        <f t="shared" si="119"/>
        <v>1319.8645292220599</v>
      </c>
      <c r="CD146" s="59">
        <f ca="1">AVERAGE(OFFSET($CC$3,0,0,'Données projet'!$E$12+1,1))-AVERAGE(OFFSET($H$3,0,0,'Données projet'!$E$12+1,1))</f>
        <v>603.61135046904178</v>
      </c>
      <c r="CE146" s="59">
        <f t="shared" si="148"/>
        <v>272.84936867513068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39.377764981814948</v>
      </c>
      <c r="CL146" s="21">
        <f>EXP(-LN(2)/25)*CL145+(1-EXP(-LN(2)/25))/(LN(2)/25)*Calculateur!CG146*Calculateur!CI146*VLOOKUP('Données projet'!$B$12,Paramètres!$A$1:$I$89,3,0)*0.475*44/12</f>
        <v>19.477695023096981</v>
      </c>
      <c r="CM146" s="21">
        <f>EXP(-LN(2)/2)*CM145+(1-EXP(-LN(2)/2))/(LN(2)/2)*CG146*CJ146*VLOOKUP('Données projet'!$B$12,Paramètres!$A$1:$I$89,3,0)*0.475*44/12</f>
        <v>7.4164491041689021E-3</v>
      </c>
      <c r="CN146" s="22">
        <f t="shared" si="120"/>
        <v>58.862876454016103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43.243200000000002</v>
      </c>
      <c r="D147" s="11">
        <f t="shared" si="140"/>
        <v>12.854318437990987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238.16841161392668</v>
      </c>
      <c r="H147" s="67">
        <f t="shared" si="110"/>
        <v>354.3698446128343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8.5265128291212022E-14</v>
      </c>
      <c r="O147" s="13">
        <f>N147*VLOOKUP('Données projet'!$B$9,Paramètres!$A$1:$I$89,3,0)*VLOOKUP('Données projet'!$B$9,Paramètres!$A$1:$I$89,5,0)</f>
        <v>8.9119112089974823E-14</v>
      </c>
      <c r="P147" s="13">
        <f t="shared" si="141"/>
        <v>1.3568952080113142E-12</v>
      </c>
      <c r="Q147" s="20">
        <f t="shared" si="108"/>
        <v>2.5184749408430782E-12</v>
      </c>
      <c r="R147" s="59">
        <f t="shared" si="109"/>
        <v>293.33333333333582</v>
      </c>
      <c r="S147" s="59">
        <f ca="1">AVERAGE(OFFSET($R$3,0,0,'Données projet'!$E$9+1,1))-AVERAGE(OFFSET($H$3,0,0,'Données projet'!$E$9+1,1))</f>
        <v>225.9892575177542</v>
      </c>
      <c r="T147" s="59">
        <f t="shared" si="142"/>
        <v>215.88467215650428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7.4467150387115559</v>
      </c>
      <c r="AA147" s="21">
        <f>EXP(-LN(2)/25)*AA146+(1-EXP(-LN(2)/25))/(LN(2)/25)*Calculateur!V147*Calculateur!X147*VLOOKUP('Données projet'!$B$9,Paramètres!$A$1:$I$89,3,0)*0.475*44/12</f>
        <v>13.418064335581001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20.864779374292556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9.1440000000000055</v>
      </c>
      <c r="AH147" s="12">
        <f t="array" ref="AH147">INDEX(AG:AG,MIN(IF(ISNUMBER(AG147:AG343),ROW(AG147:AG343),"")))</f>
        <v>9.1440000000000055</v>
      </c>
      <c r="AI147" s="13">
        <f>IF('Données projet'!$A$62&gt;35,AI146+AH147-AQ146,IF(A147&lt;'Données projet'!$A$62,$AF$205^A147,IF(A147='Données projet'!$A$62,'Données projet'!$B$62,AI146+AH147-AQ146)))</f>
        <v>514.94000000000096</v>
      </c>
      <c r="AJ147" s="13">
        <f>AI147*VLOOKUP('Données projet'!$B$10,Paramètres!$A$1:$I$89,3,0)*VLOOKUP('Données projet'!$B$10,Paramètres!$A$1:$I$89,5,0)</f>
        <v>522.14916000000096</v>
      </c>
      <c r="AK147" s="13">
        <f t="shared" si="143"/>
        <v>116.14362023352821</v>
      </c>
      <c r="AL147" s="20">
        <f t="shared" si="112"/>
        <v>1111.6932589067299</v>
      </c>
      <c r="AM147" s="59">
        <f t="shared" si="113"/>
        <v>1405.0265922400631</v>
      </c>
      <c r="AN147" s="59">
        <f ca="1">AVERAGE(OFFSET($AM$3,0,0,'Données projet'!$E$10+1,1))-AVERAGE(OFFSET($H$3,0,0,'Données projet'!$E$10+1,1))</f>
        <v>644.15138437063933</v>
      </c>
      <c r="AO147" s="59">
        <f t="shared" si="144"/>
        <v>289.3097279858207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61.800000000000068</v>
      </c>
      <c r="AR147" s="16">
        <f>IF(ISNA(VLOOKUP(A147,'Données projet'!$A$61:$I$81,5,0)),0%,VLOOKUP(A147,'Données projet'!$A$61:$I$81,5,0)*VLOOKUP('Données projet'!$B$10,Paramètres!$A$1:$I$89,7,0))</f>
        <v>0.215</v>
      </c>
      <c r="AS147" s="16">
        <f>IF(ISNA(VLOOKUP(A147,'Données projet'!$A$61:$I$81,6,0)),0%,VLOOKUP(A147,'Données projet'!$A$61:$I$81,6,0)*VLOOKUP('Données projet'!$B$10,Paramètres!$A$1:$I$89,7,0))</f>
        <v>8.6000000000000007E-2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56.031127516309859</v>
      </c>
      <c r="AV147" s="21">
        <f>EXP(-LN(2)/25)*AV146+(1-EXP(-LN(2)/25))/(LN(2)/25)*Calculateur!AQ147*Calculateur!AS147*VLOOKUP('Données projet'!$B$10,Paramètres!$A$1:$I$89,3,0)*0.475*44/12</f>
        <v>26.121528074454901</v>
      </c>
      <c r="AW147" s="21">
        <f>EXP(-LN(2)/2)*AW146+(1-EXP(-LN(2)/2))/(LN(2)/2)*AQ147*AT147*VLOOKUP('Données projet'!$B$10,Paramètres!$A$1:$I$89,3,0)*0.475*44/12</f>
        <v>5.5881048279078143E-3</v>
      </c>
      <c r="AX147" s="21">
        <f t="shared" si="114"/>
        <v>82.158243695592674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514.94000000000005</v>
      </c>
      <c r="BB147" s="12">
        <f>VLOOKUP(A147,'Données projet'!$A$87:$I$107,9,0)</f>
        <v>9.1440000000000055</v>
      </c>
      <c r="BC147" s="12">
        <f t="array" ref="BC147">INDEX(BB:BB,MIN(IF(ISNUMBER(BB147:BB343),ROW(BB147:BB343),"")))</f>
        <v>9.1440000000000055</v>
      </c>
      <c r="BD147" s="12">
        <f>IF('Données projet'!$A$88&gt;35,BD146+BC147-BL146,IF(A147&lt;'Données projet'!$A$88,$BA$205^A147,IF(A147='Données projet'!$A$88,'Données projet'!$B$88,BD146+BC147-BL146)))</f>
        <v>514.94000000000096</v>
      </c>
      <c r="BE147" s="13">
        <f>BD147*VLOOKUP('Données projet'!$B$11,Paramètres!$A$1:$I$89,3,0)*VLOOKUP('Données projet'!$B$11,Paramètres!$A$1:$I$89,5,0)</f>
        <v>465.91771200000085</v>
      </c>
      <c r="BF147" s="13">
        <f t="shared" si="145"/>
        <v>105.01953528507198</v>
      </c>
      <c r="BG147" s="20">
        <f t="shared" si="115"/>
        <v>994.38237235483496</v>
      </c>
      <c r="BH147" s="59">
        <f t="shared" si="116"/>
        <v>1287.7157056881683</v>
      </c>
      <c r="BI147" s="59">
        <f ca="1">AVERAGE(OFFSET($BH$3,0,0,'Données projet'!$E$11+1,1))-AVERAGE(OFFSET($H$3,0,0,'Données projet'!$E$11+1,1))</f>
        <v>573.17174498173017</v>
      </c>
      <c r="BJ147" s="59">
        <f t="shared" si="146"/>
        <v>260.48854096157231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61.800000000000068</v>
      </c>
      <c r="BM147" s="16">
        <f>IF(ISNA(VLOOKUP(A147,'Données projet'!$A$87:$I$107,5,0)),0%,VLOOKUP(A147,'Données projet'!$A$87:$I$107,5,0)*VLOOKUP('Données projet'!$B$11,Paramètres!$A$1:$I$89,7,0))</f>
        <v>0.215</v>
      </c>
      <c r="BN147" s="16">
        <f>IF(ISNA(VLOOKUP(A147,'Données projet'!$A$87:$I$107,6,0)),0%,VLOOKUP(A147,'Données projet'!$A$87:$I$107,6,0)*VLOOKUP('Données projet'!$B$11,Paramètres!$A$1:$I$89,7,0))</f>
        <v>8.6000000000000007E-2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49.997006091476479</v>
      </c>
      <c r="BQ147" s="21">
        <f>EXP(-LN(2)/25)*BQ146+(1-EXP(-LN(2)/25))/(LN(2)/25)*Calculateur!BL147*Calculateur!BN147*VLOOKUP('Données projet'!$B$11,Paramètres!$A$1:$I$89,3,0)*0.475*44/12</f>
        <v>23.30844043566745</v>
      </c>
      <c r="BR147" s="21">
        <f>EXP(-LN(2)/2)*BR146+(1-EXP(-LN(2)/2))/(LN(2)/2)*BL147*BO147*VLOOKUP('Données projet'!$B$11,Paramètres!$A$1:$I$89,3,0)*0.475*44/12</f>
        <v>4.9863089233638993E-3</v>
      </c>
      <c r="BS147" s="22">
        <f t="shared" si="117"/>
        <v>73.310432836067292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514.94000000000005</v>
      </c>
      <c r="BW147" s="12">
        <f>VLOOKUP(A147,'Données projet'!$A$113:$I$133,9,0)</f>
        <v>9.1440000000000055</v>
      </c>
      <c r="BX147" s="12">
        <f t="array" ref="BX147">INDEX(BW:BW,MIN(IF(ISNUMBER(BW147:BW343),ROW(BW147:BW343),"")))</f>
        <v>9.1440000000000055</v>
      </c>
      <c r="BY147" s="12">
        <f>IF('Données projet'!$A$114&gt;35,BY146+BX147-CG146,IF(A147&lt;'Données projet'!$A$114,$BV$205^A147,IF(A147='Données projet'!$A$114,'Données projet'!$B$114,BY146+BX147-CG146)))</f>
        <v>514.94000000000096</v>
      </c>
      <c r="BZ147" s="13">
        <f>BY147*VLOOKUP('Données projet'!$B$12,Paramètres!$A$1:$I$89,3,0)*VLOOKUP('Données projet'!$B$12,Paramètres!$A$1:$I$89,5,0)</f>
        <v>490.01690400000092</v>
      </c>
      <c r="CA147" s="13">
        <f t="shared" si="147"/>
        <v>109.80511200904009</v>
      </c>
      <c r="CB147" s="20">
        <f t="shared" si="118"/>
        <v>1044.6900112157464</v>
      </c>
      <c r="CC147" s="59">
        <f t="shared" si="119"/>
        <v>1338.0233445490796</v>
      </c>
      <c r="CD147" s="59">
        <f ca="1">AVERAGE(OFFSET($CC$3,0,0,'Données projet'!$E$12+1,1))-AVERAGE(OFFSET($H$3,0,0,'Données projet'!$E$12+1,1))</f>
        <v>603.61135046904178</v>
      </c>
      <c r="CE147" s="59">
        <f t="shared" si="148"/>
        <v>272.84936867513068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61.800000000000068</v>
      </c>
      <c r="CH147" s="16">
        <f>IF(ISNA(VLOOKUP(A147,'Données projet'!$A$113:$I$133,5,0)),0%,VLOOKUP(A147,'Données projet'!$A$113:$I$133,5,0)*VLOOKUP('Données projet'!$B$12,Paramètres!$A$1:$I$89,7,0))</f>
        <v>0.215</v>
      </c>
      <c r="CI147" s="16">
        <f>IF(ISNA(VLOOKUP(A147,'Données projet'!$A$113:$I$133,6,0)),0%,VLOOKUP(A147,'Données projet'!$A$113:$I$133,6,0)*VLOOKUP('Données projet'!$B$12,Paramètres!$A$1:$I$89,7,0))</f>
        <v>8.6000000000000007E-2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52.583058130690787</v>
      </c>
      <c r="CL147" s="21">
        <f>EXP(-LN(2)/25)*CL146+(1-EXP(-LN(2)/25))/(LN(2)/25)*Calculateur!CG147*Calculateur!CI147*VLOOKUP('Données projet'!$B$12,Paramètres!$A$1:$I$89,3,0)*0.475*44/12</f>
        <v>24.514049423719207</v>
      </c>
      <c r="CM147" s="21">
        <f>EXP(-LN(2)/2)*CM146+(1-EXP(-LN(2)/2))/(LN(2)/2)*CG147*CJ147*VLOOKUP('Données projet'!$B$12,Paramètres!$A$1:$I$89,3,0)*0.475*44/12</f>
        <v>5.2442214538827268E-3</v>
      </c>
      <c r="CN147" s="22">
        <f t="shared" si="120"/>
        <v>77.10235177586388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43.543500000000002</v>
      </c>
      <c r="D148" s="11">
        <f t="shared" si="140"/>
        <v>12.933162167407433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239.77810955285261</v>
      </c>
      <c r="H148" s="67">
        <f t="shared" si="110"/>
        <v>355.03018660823466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8.5265128291212022E-14</v>
      </c>
      <c r="O148" s="13">
        <f>N148*VLOOKUP('Données projet'!$B$9,Paramètres!$A$1:$I$89,3,0)*VLOOKUP('Données projet'!$B$9,Paramètres!$A$1:$I$89,5,0)</f>
        <v>8.9119112089974823E-14</v>
      </c>
      <c r="P148" s="13">
        <f t="shared" si="141"/>
        <v>1.3568952080113142E-12</v>
      </c>
      <c r="Q148" s="20">
        <f t="shared" si="108"/>
        <v>2.5184749408430782E-12</v>
      </c>
      <c r="R148" s="59">
        <f t="shared" si="109"/>
        <v>293.33333333333582</v>
      </c>
      <c r="S148" s="59">
        <f ca="1">AVERAGE(OFFSET($R$3,0,0,'Données projet'!$E$9+1,1))-AVERAGE(OFFSET($H$3,0,0,'Données projet'!$E$9+1,1))</f>
        <v>225.9892575177542</v>
      </c>
      <c r="T148" s="59">
        <f t="shared" si="142"/>
        <v>215.88467215650428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7.3006894988501063</v>
      </c>
      <c r="AA148" s="21">
        <f>EXP(-LN(2)/25)*AA147+(1-EXP(-LN(2)/25))/(LN(2)/25)*Calculateur!V148*Calculateur!X148*VLOOKUP('Données projet'!$B$9,Paramètres!$A$1:$I$89,3,0)*0.475*44/12</f>
        <v>13.051146660699201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20.351836159549308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9.3350000000000026</v>
      </c>
      <c r="AI148" s="13">
        <f>IF('Données projet'!$A$62&gt;35,AI147+AH148-AQ147,IF(A148&lt;'Données projet'!$A$62,$AF$205^A148,IF(A148='Données projet'!$A$62,'Données projet'!$B$62,AI147+AH148-AQ147)))</f>
        <v>462.47500000000093</v>
      </c>
      <c r="AJ148" s="13">
        <f>AI148*VLOOKUP('Données projet'!$B$10,Paramètres!$A$1:$I$89,3,0)*VLOOKUP('Données projet'!$B$10,Paramètres!$A$1:$I$89,5,0)</f>
        <v>468.94965000000099</v>
      </c>
      <c r="AK148" s="13">
        <f t="shared" si="143"/>
        <v>105.62316801364989</v>
      </c>
      <c r="AL148" s="20">
        <f t="shared" si="112"/>
        <v>1000.7143247071086</v>
      </c>
      <c r="AM148" s="59">
        <f t="shared" si="113"/>
        <v>1294.047658040442</v>
      </c>
      <c r="AN148" s="59">
        <f ca="1">AVERAGE(OFFSET($AM$3,0,0,'Données projet'!$E$10+1,1))-AVERAGE(OFFSET($H$3,0,0,'Données projet'!$E$10+1,1))</f>
        <v>644.15138437063933</v>
      </c>
      <c r="AO148" s="59">
        <f t="shared" si="144"/>
        <v>289.3097279858207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54.932391281328243</v>
      </c>
      <c r="AV148" s="21">
        <f>EXP(-LN(2)/25)*AV147+(1-EXP(-LN(2)/25))/(LN(2)/25)*Calculateur!AQ148*Calculateur!AS148*VLOOKUP('Données projet'!$B$10,Paramètres!$A$1:$I$89,3,0)*0.475*44/12</f>
        <v>25.407233515587471</v>
      </c>
      <c r="AW148" s="21">
        <f>EXP(-LN(2)/2)*AW147+(1-EXP(-LN(2)/2))/(LN(2)/2)*AQ148*AT148*VLOOKUP('Données projet'!$B$10,Paramètres!$A$1:$I$89,3,0)*0.475*44/12</f>
        <v>3.9513868177949007E-3</v>
      </c>
      <c r="AX148" s="21">
        <f t="shared" si="114"/>
        <v>80.343576183733504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9.3350000000000026</v>
      </c>
      <c r="BD148" s="12">
        <f>IF('Données projet'!$A$88&gt;35,BD147+BC148-BL147,IF(A148&lt;'Données projet'!$A$88,$BA$205^A148,IF(A148='Données projet'!$A$88,'Données projet'!$B$88,BD147+BC148-BL147)))</f>
        <v>462.47500000000093</v>
      </c>
      <c r="BE148" s="13">
        <f>BD148*VLOOKUP('Données projet'!$B$11,Paramètres!$A$1:$I$89,3,0)*VLOOKUP('Données projet'!$B$11,Paramètres!$A$1:$I$89,5,0)</f>
        <v>418.44738000000081</v>
      </c>
      <c r="BF148" s="13">
        <f t="shared" si="145"/>
        <v>95.506718301246906</v>
      </c>
      <c r="BG148" s="20">
        <f t="shared" si="115"/>
        <v>895.13672120800663</v>
      </c>
      <c r="BH148" s="59">
        <f t="shared" si="116"/>
        <v>1188.47005454134</v>
      </c>
      <c r="BI148" s="59">
        <f ca="1">AVERAGE(OFFSET($BH$3,0,0,'Données projet'!$E$11+1,1))-AVERAGE(OFFSET($H$3,0,0,'Données projet'!$E$11+1,1))</f>
        <v>573.17174498173017</v>
      </c>
      <c r="BJ148" s="59">
        <f t="shared" si="146"/>
        <v>260.48854096157231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49.016595297185191</v>
      </c>
      <c r="BQ148" s="21">
        <f>EXP(-LN(2)/25)*BQ147+(1-EXP(-LN(2)/25))/(LN(2)/25)*Calculateur!BL148*Calculateur!BN148*VLOOKUP('Données projet'!$B$11,Paramètres!$A$1:$I$89,3,0)*0.475*44/12</f>
        <v>22.671069906216513</v>
      </c>
      <c r="BR148" s="21">
        <f>EXP(-LN(2)/2)*BR147+(1-EXP(-LN(2)/2))/(LN(2)/2)*BL148*BO148*VLOOKUP('Données projet'!$B$11,Paramètres!$A$1:$I$89,3,0)*0.475*44/12</f>
        <v>3.5258528528016061E-3</v>
      </c>
      <c r="BS148" s="22">
        <f t="shared" si="117"/>
        <v>71.69119105625451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9.3350000000000026</v>
      </c>
      <c r="BY148" s="12">
        <f>IF('Données projet'!$A$114&gt;35,BY147+BX148-CG147,IF(A148&lt;'Données projet'!$A$114,$BV$205^A148,IF(A148='Données projet'!$A$114,'Données projet'!$B$114,BY147+BX148-CG147)))</f>
        <v>462.47500000000093</v>
      </c>
      <c r="BZ148" s="13">
        <f>BY148*VLOOKUP('Données projet'!$B$12,Paramètres!$A$1:$I$89,3,0)*VLOOKUP('Données projet'!$B$12,Paramètres!$A$1:$I$89,5,0)</f>
        <v>440.09121000000096</v>
      </c>
      <c r="CA148" s="13">
        <f t="shared" si="147"/>
        <v>99.858810765228739</v>
      </c>
      <c r="CB148" s="20">
        <f t="shared" si="118"/>
        <v>940.4129528327752</v>
      </c>
      <c r="CC148" s="59">
        <f t="shared" si="119"/>
        <v>1233.7462861661086</v>
      </c>
      <c r="CD148" s="59">
        <f ca="1">AVERAGE(OFFSET($CC$3,0,0,'Données projet'!$E$12+1,1))-AVERAGE(OFFSET($H$3,0,0,'Données projet'!$E$12+1,1))</f>
        <v>603.61135046904178</v>
      </c>
      <c r="CE148" s="59">
        <f t="shared" si="148"/>
        <v>272.84936867513068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51.551936433246503</v>
      </c>
      <c r="CL148" s="21">
        <f>EXP(-LN(2)/25)*CL147+(1-EXP(-LN(2)/25))/(LN(2)/25)*Calculateur!CG148*Calculateur!CI148*VLOOKUP('Données projet'!$B$12,Paramètres!$A$1:$I$89,3,0)*0.475*44/12</f>
        <v>23.843711453089774</v>
      </c>
      <c r="CM148" s="21">
        <f>EXP(-LN(2)/2)*CM147+(1-EXP(-LN(2)/2))/(LN(2)/2)*CG148*CJ148*VLOOKUP('Données projet'!$B$12,Paramètres!$A$1:$I$89,3,0)*0.475*44/12</f>
        <v>3.7082245520844519E-3</v>
      </c>
      <c r="CN148" s="22">
        <f t="shared" si="120"/>
        <v>75.399356110888363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43.843800000000002</v>
      </c>
      <c r="D149" s="11">
        <f t="shared" si="140"/>
        <v>13.011942629207404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241.38753888189817</v>
      </c>
      <c r="H149" s="67">
        <f t="shared" si="110"/>
        <v>355.69041841253625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8.5265128291212022E-14</v>
      </c>
      <c r="O149" s="13">
        <f>N149*VLOOKUP('Données projet'!$B$9,Paramètres!$A$1:$I$89,3,0)*VLOOKUP('Données projet'!$B$9,Paramètres!$A$1:$I$89,5,0)</f>
        <v>8.9119112089974823E-14</v>
      </c>
      <c r="P149" s="13">
        <f t="shared" si="141"/>
        <v>1.3568952080113142E-12</v>
      </c>
      <c r="Q149" s="20">
        <f t="shared" si="108"/>
        <v>2.5184749408430782E-12</v>
      </c>
      <c r="R149" s="59">
        <f t="shared" si="109"/>
        <v>293.33333333333582</v>
      </c>
      <c r="S149" s="59">
        <f ca="1">AVERAGE(OFFSET($R$3,0,0,'Données projet'!$E$9+1,1))-AVERAGE(OFFSET($H$3,0,0,'Données projet'!$E$9+1,1))</f>
        <v>225.9892575177542</v>
      </c>
      <c r="T149" s="59">
        <f t="shared" si="142"/>
        <v>215.88467215650428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7.157527430758555</v>
      </c>
      <c r="AA149" s="21">
        <f>EXP(-LN(2)/25)*AA148+(1-EXP(-LN(2)/25))/(LN(2)/25)*Calculateur!V149*Calculateur!X149*VLOOKUP('Données projet'!$B$9,Paramètres!$A$1:$I$89,3,0)*0.475*44/12</f>
        <v>12.694262368932408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19.851789799690962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9.3350000000000026</v>
      </c>
      <c r="AI149" s="13">
        <f>IF('Données projet'!$A$62&gt;35,AI148+AH149-AQ148,IF(A149&lt;'Données projet'!$A$62,$AF$205^A149,IF(A149='Données projet'!$A$62,'Données projet'!$B$62,AI148+AH149-AQ148)))</f>
        <v>471.81000000000091</v>
      </c>
      <c r="AJ149" s="13">
        <f>AI149*VLOOKUP('Données projet'!$B$10,Paramètres!$A$1:$I$89,3,0)*VLOOKUP('Données projet'!$B$10,Paramètres!$A$1:$I$89,5,0)</f>
        <v>478.41534000000098</v>
      </c>
      <c r="AK149" s="13">
        <f t="shared" si="143"/>
        <v>107.50479816034752</v>
      </c>
      <c r="AL149" s="20">
        <f t="shared" si="112"/>
        <v>1020.4775739626069</v>
      </c>
      <c r="AM149" s="59">
        <f t="shared" si="113"/>
        <v>1313.8109072959403</v>
      </c>
      <c r="AN149" s="59">
        <f ca="1">AVERAGE(OFFSET($AM$3,0,0,'Données projet'!$E$10+1,1))-AVERAGE(OFFSET($H$3,0,0,'Données projet'!$E$10+1,1))</f>
        <v>644.15138437063933</v>
      </c>
      <c r="AO149" s="59">
        <f t="shared" si="144"/>
        <v>289.3097279858207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53.85520059375169</v>
      </c>
      <c r="AV149" s="21">
        <f>EXP(-LN(2)/25)*AV148+(1-EXP(-LN(2)/25))/(LN(2)/25)*Calculateur!AQ149*Calculateur!AS149*VLOOKUP('Données projet'!$B$10,Paramètres!$A$1:$I$89,3,0)*0.475*44/12</f>
        <v>24.712471378995389</v>
      </c>
      <c r="AW149" s="21">
        <f>EXP(-LN(2)/2)*AW148+(1-EXP(-LN(2)/2))/(LN(2)/2)*AQ149*AT149*VLOOKUP('Données projet'!$B$10,Paramètres!$A$1:$I$89,3,0)*0.475*44/12</f>
        <v>2.7940524139539072E-3</v>
      </c>
      <c r="AX149" s="21">
        <f t="shared" si="114"/>
        <v>78.570466025161039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9.3350000000000026</v>
      </c>
      <c r="BD149" s="12">
        <f>IF('Données projet'!$A$88&gt;35,BD148+BC149-BL148,IF(A149&lt;'Données projet'!$A$88,$BA$205^A149,IF(A149='Données projet'!$A$88,'Données projet'!$B$88,BD148+BC149-BL148)))</f>
        <v>471.81000000000091</v>
      </c>
      <c r="BE149" s="13">
        <f>BD149*VLOOKUP('Données projet'!$B$11,Paramètres!$A$1:$I$89,3,0)*VLOOKUP('Données projet'!$B$11,Paramètres!$A$1:$I$89,5,0)</f>
        <v>426.89368800000079</v>
      </c>
      <c r="BF149" s="13">
        <f t="shared" si="145"/>
        <v>97.208128358788159</v>
      </c>
      <c r="BG149" s="20">
        <f t="shared" si="115"/>
        <v>912.81066349155742</v>
      </c>
      <c r="BH149" s="59">
        <f t="shared" si="116"/>
        <v>1206.1439968248908</v>
      </c>
      <c r="BI149" s="59">
        <f ca="1">AVERAGE(OFFSET($BH$3,0,0,'Données projet'!$E$11+1,1))-AVERAGE(OFFSET($H$3,0,0,'Données projet'!$E$11+1,1))</f>
        <v>573.17174498173017</v>
      </c>
      <c r="BJ149" s="59">
        <f t="shared" si="146"/>
        <v>260.48854096157231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48.055409760578421</v>
      </c>
      <c r="BQ149" s="21">
        <f>EXP(-LN(2)/25)*BQ148+(1-EXP(-LN(2)/25))/(LN(2)/25)*Calculateur!BL149*Calculateur!BN149*VLOOKUP('Données projet'!$B$11,Paramètres!$A$1:$I$89,3,0)*0.475*44/12</f>
        <v>22.051128307411272</v>
      </c>
      <c r="BR149" s="21">
        <f>EXP(-LN(2)/2)*BR148+(1-EXP(-LN(2)/2))/(LN(2)/2)*BL149*BO149*VLOOKUP('Données projet'!$B$11,Paramètres!$A$1:$I$89,3,0)*0.475*44/12</f>
        <v>2.4931544616819496E-3</v>
      </c>
      <c r="BS149" s="22">
        <f t="shared" si="117"/>
        <v>70.109031222451364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9.3350000000000026</v>
      </c>
      <c r="BY149" s="12">
        <f>IF('Données projet'!$A$114&gt;35,BY148+BX149-CG148,IF(A149&lt;'Données projet'!$A$114,$BV$205^A149,IF(A149='Données projet'!$A$114,'Données projet'!$B$114,BY148+BX149-CG148)))</f>
        <v>471.81000000000091</v>
      </c>
      <c r="BZ149" s="13">
        <f>BY149*VLOOKUP('Données projet'!$B$12,Paramètres!$A$1:$I$89,3,0)*VLOOKUP('Données projet'!$B$12,Paramètres!$A$1:$I$89,5,0)</f>
        <v>448.97439600000092</v>
      </c>
      <c r="CA149" s="13">
        <f t="shared" si="147"/>
        <v>101.63775143026291</v>
      </c>
      <c r="CB149" s="20">
        <f t="shared" si="118"/>
        <v>958.98282344104257</v>
      </c>
      <c r="CC149" s="59">
        <f t="shared" si="119"/>
        <v>1252.3161567743759</v>
      </c>
      <c r="CD149" s="59">
        <f ca="1">AVERAGE(OFFSET($CC$3,0,0,'Données projet'!$E$12+1,1))-AVERAGE(OFFSET($H$3,0,0,'Données projet'!$E$12+1,1))</f>
        <v>603.61135046904178</v>
      </c>
      <c r="CE149" s="59">
        <f t="shared" si="148"/>
        <v>272.84936867513068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50.541034403366972</v>
      </c>
      <c r="CL149" s="21">
        <f>EXP(-LN(2)/25)*CL148+(1-EXP(-LN(2)/25))/(LN(2)/25)*Calculateur!CG149*Calculateur!CI149*VLOOKUP('Données projet'!$B$12,Paramètres!$A$1:$I$89,3,0)*0.475*44/12</f>
        <v>23.191703909518743</v>
      </c>
      <c r="CM149" s="21">
        <f>EXP(-LN(2)/2)*CM148+(1-EXP(-LN(2)/2))/(LN(2)/2)*CG149*CJ149*VLOOKUP('Données projet'!$B$12,Paramètres!$A$1:$I$89,3,0)*0.475*44/12</f>
        <v>2.6221107269413639E-3</v>
      </c>
      <c r="CN149" s="22">
        <f t="shared" si="120"/>
        <v>73.735360423612661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44.144100000000002</v>
      </c>
      <c r="D150" s="11">
        <f t="shared" si="140"/>
        <v>13.090660306986257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242.99670165422242</v>
      </c>
      <c r="H150" s="67">
        <f t="shared" si="110"/>
        <v>356.35054086800108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8.5265128291212022E-14</v>
      </c>
      <c r="O150" s="13">
        <f>N150*VLOOKUP('Données projet'!$B$9,Paramètres!$A$1:$I$89,3,0)*VLOOKUP('Données projet'!$B$9,Paramètres!$A$1:$I$89,5,0)</f>
        <v>8.9119112089974823E-14</v>
      </c>
      <c r="P150" s="13">
        <f t="shared" si="141"/>
        <v>1.3568952080113142E-12</v>
      </c>
      <c r="Q150" s="20">
        <f t="shared" si="108"/>
        <v>2.5184749408430782E-12</v>
      </c>
      <c r="R150" s="59">
        <f t="shared" si="109"/>
        <v>293.33333333333582</v>
      </c>
      <c r="S150" s="59">
        <f ca="1">AVERAGE(OFFSET($R$3,0,0,'Données projet'!$E$9+1,1))-AVERAGE(OFFSET($H$3,0,0,'Données projet'!$E$9+1,1))</f>
        <v>225.9892575177542</v>
      </c>
      <c r="T150" s="59">
        <f t="shared" si="142"/>
        <v>215.88467215650428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7.0171726835020394</v>
      </c>
      <c r="AA150" s="21">
        <f>EXP(-LN(2)/25)*AA149+(1-EXP(-LN(2)/25))/(LN(2)/25)*Calculateur!V150*Calculateur!X150*VLOOKUP('Données projet'!$B$9,Paramètres!$A$1:$I$89,3,0)*0.475*44/12</f>
        <v>12.347137096891707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19.364309780393747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9.3350000000000026</v>
      </c>
      <c r="AI150" s="13">
        <f>IF('Données projet'!$A$62&gt;35,AI149+AH150-AQ149,IF(A150&lt;'Données projet'!$A$62,$AF$205^A150,IF(A150='Données projet'!$A$62,'Données projet'!$B$62,AI149+AH150-AQ149)))</f>
        <v>481.14500000000089</v>
      </c>
      <c r="AJ150" s="13">
        <f>AI150*VLOOKUP('Données projet'!$B$10,Paramètres!$A$1:$I$89,3,0)*VLOOKUP('Données projet'!$B$10,Paramètres!$A$1:$I$89,5,0)</f>
        <v>487.88103000000092</v>
      </c>
      <c r="AK150" s="13">
        <f t="shared" si="143"/>
        <v>109.38209953839079</v>
      </c>
      <c r="AL150" s="20">
        <f t="shared" si="112"/>
        <v>1040.2332839460321</v>
      </c>
      <c r="AM150" s="59">
        <f t="shared" si="113"/>
        <v>1333.5666172793653</v>
      </c>
      <c r="AN150" s="59">
        <f ca="1">AVERAGE(OFFSET($AM$3,0,0,'Données projet'!$E$10+1,1))-AVERAGE(OFFSET($H$3,0,0,'Données projet'!$E$10+1,1))</f>
        <v>644.15138437063933</v>
      </c>
      <c r="AO150" s="59">
        <f t="shared" si="144"/>
        <v>289.3097279858207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52.799132958537065</v>
      </c>
      <c r="AV150" s="21">
        <f>EXP(-LN(2)/25)*AV149+(1-EXP(-LN(2)/25))/(LN(2)/25)*Calculateur!AQ150*Calculateur!AS150*VLOOKUP('Données projet'!$B$10,Paramètres!$A$1:$I$89,3,0)*0.475*44/12</f>
        <v>24.036707549564372</v>
      </c>
      <c r="AW150" s="21">
        <f>EXP(-LN(2)/2)*AW149+(1-EXP(-LN(2)/2))/(LN(2)/2)*AQ150*AT150*VLOOKUP('Données projet'!$B$10,Paramètres!$A$1:$I$89,3,0)*0.475*44/12</f>
        <v>1.9756934088974503E-3</v>
      </c>
      <c r="AX150" s="21">
        <f t="shared" si="114"/>
        <v>76.837816201510336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9.3350000000000026</v>
      </c>
      <c r="BD150" s="12">
        <f>IF('Données projet'!$A$88&gt;35,BD149+BC150-BL149,IF(A150&lt;'Données projet'!$A$88,$BA$205^A150,IF(A150='Données projet'!$A$88,'Données projet'!$B$88,BD149+BC150-BL149)))</f>
        <v>481.14500000000089</v>
      </c>
      <c r="BE150" s="13">
        <f>BD150*VLOOKUP('Données projet'!$B$11,Paramètres!$A$1:$I$89,3,0)*VLOOKUP('Données projet'!$B$11,Paramètres!$A$1:$I$89,5,0)</f>
        <v>435.33999600000078</v>
      </c>
      <c r="BF150" s="13">
        <f t="shared" si="145"/>
        <v>98.905624251508897</v>
      </c>
      <c r="BG150" s="20">
        <f t="shared" si="115"/>
        <v>930.4777886047126</v>
      </c>
      <c r="BH150" s="59">
        <f t="shared" si="116"/>
        <v>1223.811121938046</v>
      </c>
      <c r="BI150" s="59">
        <f ca="1">AVERAGE(OFFSET($BH$3,0,0,'Données projet'!$E$11+1,1))-AVERAGE(OFFSET($H$3,0,0,'Données projet'!$E$11+1,1))</f>
        <v>573.17174498173017</v>
      </c>
      <c r="BJ150" s="59">
        <f t="shared" si="146"/>
        <v>260.48854096157231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47.113072486079218</v>
      </c>
      <c r="BQ150" s="21">
        <f>EXP(-LN(2)/25)*BQ149+(1-EXP(-LN(2)/25))/(LN(2)/25)*Calculateur!BL150*Calculateur!BN150*VLOOKUP('Données projet'!$B$11,Paramètres!$A$1:$I$89,3,0)*0.475*44/12</f>
        <v>21.448139044226672</v>
      </c>
      <c r="BR150" s="21">
        <f>EXP(-LN(2)/2)*BR149+(1-EXP(-LN(2)/2))/(LN(2)/2)*BL150*BO150*VLOOKUP('Données projet'!$B$11,Paramètres!$A$1:$I$89,3,0)*0.475*44/12</f>
        <v>1.7629264264008031E-3</v>
      </c>
      <c r="BS150" s="22">
        <f t="shared" si="117"/>
        <v>68.562974456732277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9.3350000000000026</v>
      </c>
      <c r="BY150" s="12">
        <f>IF('Données projet'!$A$114&gt;35,BY149+BX150-CG149,IF(A150&lt;'Données projet'!$A$114,$BV$205^A150,IF(A150='Données projet'!$A$114,'Données projet'!$B$114,BY149+BX150-CG149)))</f>
        <v>481.14500000000089</v>
      </c>
      <c r="BZ150" s="13">
        <f>BY150*VLOOKUP('Données projet'!$B$12,Paramètres!$A$1:$I$89,3,0)*VLOOKUP('Données projet'!$B$12,Paramètres!$A$1:$I$89,5,0)</f>
        <v>457.85758200000089</v>
      </c>
      <c r="CA150" s="13">
        <f t="shared" si="147"/>
        <v>103.4125995680798</v>
      </c>
      <c r="CB150" s="20">
        <f t="shared" si="118"/>
        <v>977.54556623107385</v>
      </c>
      <c r="CC150" s="59">
        <f t="shared" si="119"/>
        <v>1270.8788995644072</v>
      </c>
      <c r="CD150" s="59">
        <f ca="1">AVERAGE(OFFSET($CC$3,0,0,'Données projet'!$E$12+1,1))-AVERAGE(OFFSET($H$3,0,0,'Données projet'!$E$12+1,1))</f>
        <v>603.61135046904178</v>
      </c>
      <c r="CE150" s="59">
        <f t="shared" si="148"/>
        <v>272.84936867513068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49.549955545704016</v>
      </c>
      <c r="CL150" s="21">
        <f>EXP(-LN(2)/25)*CL149+(1-EXP(-LN(2)/25))/(LN(2)/25)*Calculateur!CG150*Calculateur!CI150*VLOOKUP('Données projet'!$B$12,Paramètres!$A$1:$I$89,3,0)*0.475*44/12</f>
        <v>22.557525546514249</v>
      </c>
      <c r="CM150" s="21">
        <f>EXP(-LN(2)/2)*CM149+(1-EXP(-LN(2)/2))/(LN(2)/2)*CG150*CJ150*VLOOKUP('Données projet'!$B$12,Paramètres!$A$1:$I$89,3,0)*0.475*44/12</f>
        <v>1.8541122760422262E-3</v>
      </c>
      <c r="CN150" s="22">
        <f t="shared" si="120"/>
        <v>72.1093352044943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44.444400000000002</v>
      </c>
      <c r="D151" s="11">
        <f t="shared" si="140"/>
        <v>13.16931567737954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244.60559989343599</v>
      </c>
      <c r="H151" s="67">
        <f t="shared" si="110"/>
        <v>357.01055480476941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8.5265128291212022E-14</v>
      </c>
      <c r="O151" s="13">
        <f>N151*VLOOKUP('Données projet'!$B$9,Paramètres!$A$1:$I$89,3,0)*VLOOKUP('Données projet'!$B$9,Paramètres!$A$1:$I$89,5,0)</f>
        <v>8.9119112089974823E-14</v>
      </c>
      <c r="P151" s="13">
        <f t="shared" si="141"/>
        <v>1.3568952080113142E-12</v>
      </c>
      <c r="Q151" s="20">
        <f t="shared" si="108"/>
        <v>2.5184749408430782E-12</v>
      </c>
      <c r="R151" s="59">
        <f t="shared" si="109"/>
        <v>293.33333333333582</v>
      </c>
      <c r="S151" s="59">
        <f ca="1">AVERAGE(OFFSET($R$3,0,0,'Données projet'!$E$9+1,1))-AVERAGE(OFFSET($H$3,0,0,'Données projet'!$E$9+1,1))</f>
        <v>225.9892575177542</v>
      </c>
      <c r="T151" s="59">
        <f t="shared" si="142"/>
        <v>215.88467215650428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6.8795702072312812</v>
      </c>
      <c r="AA151" s="21">
        <f>EXP(-LN(2)/25)*AA150+(1-EXP(-LN(2)/25))/(LN(2)/25)*Calculateur!V151*Calculateur!X151*VLOOKUP('Données projet'!$B$9,Paramètres!$A$1:$I$89,3,0)*0.475*44/12</f>
        <v>12.009503983669482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18.889074190900764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9.3350000000000026</v>
      </c>
      <c r="AI151" s="13">
        <f>IF('Données projet'!$A$62&gt;35,AI150+AH151-AQ150,IF(A151&lt;'Données projet'!$A$62,$AF$205^A151,IF(A151='Données projet'!$A$62,'Données projet'!$B$62,AI150+AH151-AQ150)))</f>
        <v>490.48000000000087</v>
      </c>
      <c r="AJ151" s="13">
        <f>AI151*VLOOKUP('Données projet'!$B$10,Paramètres!$A$1:$I$89,3,0)*VLOOKUP('Données projet'!$B$10,Paramètres!$A$1:$I$89,5,0)</f>
        <v>497.34672000000091</v>
      </c>
      <c r="AK151" s="13">
        <f t="shared" si="143"/>
        <v>111.25516581491246</v>
      </c>
      <c r="AL151" s="20">
        <f t="shared" si="112"/>
        <v>1059.9816177943073</v>
      </c>
      <c r="AM151" s="59">
        <f t="shared" si="113"/>
        <v>1353.3149511276406</v>
      </c>
      <c r="AN151" s="59">
        <f ca="1">AVERAGE(OFFSET($AM$3,0,0,'Données projet'!$E$10+1,1))-AVERAGE(OFFSET($H$3,0,0,'Données projet'!$E$10+1,1))</f>
        <v>644.15138437063933</v>
      </c>
      <c r="AO151" s="59">
        <f t="shared" si="144"/>
        <v>289.3097279858207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51.76377416551135</v>
      </c>
      <c r="AV151" s="21">
        <f>EXP(-LN(2)/25)*AV150+(1-EXP(-LN(2)/25))/(LN(2)/25)*Calculateur!AQ151*Calculateur!AS151*VLOOKUP('Données projet'!$B$10,Paramètres!$A$1:$I$89,3,0)*0.475*44/12</f>
        <v>23.379422517586022</v>
      </c>
      <c r="AW151" s="21">
        <f>EXP(-LN(2)/2)*AW150+(1-EXP(-LN(2)/2))/(LN(2)/2)*AQ151*AT151*VLOOKUP('Données projet'!$B$10,Paramètres!$A$1:$I$89,3,0)*0.475*44/12</f>
        <v>1.3970262069769536E-3</v>
      </c>
      <c r="AX151" s="21">
        <f t="shared" si="114"/>
        <v>75.144593709304345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9.3350000000000026</v>
      </c>
      <c r="BD151" s="12">
        <f>IF('Données projet'!$A$88&gt;35,BD150+BC151-BL150,IF(A151&lt;'Données projet'!$A$88,$BA$205^A151,IF(A151='Données projet'!$A$88,'Données projet'!$B$88,BD150+BC151-BL150)))</f>
        <v>490.48000000000087</v>
      </c>
      <c r="BE151" s="13">
        <f>BD151*VLOOKUP('Données projet'!$B$11,Paramètres!$A$1:$I$89,3,0)*VLOOKUP('Données projet'!$B$11,Paramètres!$A$1:$I$89,5,0)</f>
        <v>443.78630400000077</v>
      </c>
      <c r="BF151" s="13">
        <f t="shared" si="145"/>
        <v>100.59929067522565</v>
      </c>
      <c r="BG151" s="20">
        <f t="shared" si="115"/>
        <v>948.13824405935259</v>
      </c>
      <c r="BH151" s="59">
        <f t="shared" si="116"/>
        <v>1241.471577392686</v>
      </c>
      <c r="BI151" s="59">
        <f ca="1">AVERAGE(OFFSET($BH$3,0,0,'Données projet'!$E$11+1,1))-AVERAGE(OFFSET($H$3,0,0,'Données projet'!$E$11+1,1))</f>
        <v>573.17174498173017</v>
      </c>
      <c r="BJ151" s="59">
        <f t="shared" si="146"/>
        <v>260.48854096157231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46.189213870763965</v>
      </c>
      <c r="BQ151" s="21">
        <f>EXP(-LN(2)/25)*BQ150+(1-EXP(-LN(2)/25))/(LN(2)/25)*Calculateur!BL151*Calculateur!BN151*VLOOKUP('Données projet'!$B$11,Paramètres!$A$1:$I$89,3,0)*0.475*44/12</f>
        <v>20.861638554153682</v>
      </c>
      <c r="BR151" s="21">
        <f>EXP(-LN(2)/2)*BR150+(1-EXP(-LN(2)/2))/(LN(2)/2)*BL151*BO151*VLOOKUP('Données projet'!$B$11,Paramètres!$A$1:$I$89,3,0)*0.475*44/12</f>
        <v>1.2465772308409748E-3</v>
      </c>
      <c r="BS151" s="22">
        <f t="shared" si="117"/>
        <v>67.052099002148495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9.3350000000000026</v>
      </c>
      <c r="BY151" s="12">
        <f>IF('Données projet'!$A$114&gt;35,BY150+BX151-CG150,IF(A151&lt;'Données projet'!$A$114,$BV$205^A151,IF(A151='Données projet'!$A$114,'Données projet'!$B$114,BY150+BX151-CG150)))</f>
        <v>490.48000000000087</v>
      </c>
      <c r="BZ151" s="13">
        <f>BY151*VLOOKUP('Données projet'!$B$12,Paramètres!$A$1:$I$89,3,0)*VLOOKUP('Données projet'!$B$12,Paramètres!$A$1:$I$89,5,0)</f>
        <v>466.74076800000086</v>
      </c>
      <c r="CA151" s="13">
        <f t="shared" si="147"/>
        <v>105.18344373395189</v>
      </c>
      <c r="CB151" s="20">
        <f t="shared" si="118"/>
        <v>996.10133543663414</v>
      </c>
      <c r="CC151" s="59">
        <f t="shared" si="119"/>
        <v>1289.4346687699674</v>
      </c>
      <c r="CD151" s="59">
        <f ca="1">AVERAGE(OFFSET($CC$3,0,0,'Données projet'!$E$12+1,1))-AVERAGE(OFFSET($H$3,0,0,'Données projet'!$E$12+1,1))</f>
        <v>603.61135046904178</v>
      </c>
      <c r="CE151" s="59">
        <f t="shared" si="148"/>
        <v>272.84936867513068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48.57831113994142</v>
      </c>
      <c r="CL151" s="21">
        <f>EXP(-LN(2)/25)*CL150+(1-EXP(-LN(2)/25))/(LN(2)/25)*Calculateur!CG151*Calculateur!CI151*VLOOKUP('Données projet'!$B$12,Paramètres!$A$1:$I$89,3,0)*0.475*44/12</f>
        <v>21.940688824196105</v>
      </c>
      <c r="CM151" s="21">
        <f>EXP(-LN(2)/2)*CM150+(1-EXP(-LN(2)/2))/(LN(2)/2)*CG151*CJ151*VLOOKUP('Données projet'!$B$12,Paramètres!$A$1:$I$89,3,0)*0.475*44/12</f>
        <v>1.3110553634706821E-3</v>
      </c>
      <c r="CN151" s="22">
        <f t="shared" si="120"/>
        <v>70.520311019500994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44.744700000000002</v>
      </c>
      <c r="D152" s="11">
        <f t="shared" si="140"/>
        <v>13.247909210209391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246.21423559422237</v>
      </c>
      <c r="H152" s="67">
        <f t="shared" si="110"/>
        <v>357.67046104111472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8.5265128291212022E-14</v>
      </c>
      <c r="O152" s="13">
        <f>N152*VLOOKUP('Données projet'!$B$9,Paramètres!$A$1:$I$89,3,0)*VLOOKUP('Données projet'!$B$9,Paramètres!$A$1:$I$89,5,0)</f>
        <v>8.9119112089974823E-14</v>
      </c>
      <c r="P152" s="13">
        <f t="shared" si="141"/>
        <v>1.3568952080113142E-12</v>
      </c>
      <c r="Q152" s="20">
        <f t="shared" si="108"/>
        <v>2.5184749408430782E-12</v>
      </c>
      <c r="R152" s="59">
        <f t="shared" si="109"/>
        <v>293.33333333333582</v>
      </c>
      <c r="S152" s="59">
        <f ca="1">AVERAGE(OFFSET($R$3,0,0,'Données projet'!$E$9+1,1))-AVERAGE(OFFSET($H$3,0,0,'Données projet'!$E$9+1,1))</f>
        <v>225.9892575177542</v>
      </c>
      <c r="T152" s="59">
        <f t="shared" si="142"/>
        <v>215.88467215650428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6.7446660315909694</v>
      </c>
      <c r="AA152" s="21">
        <f>EXP(-LN(2)/25)*AA151+(1-EXP(-LN(2)/25))/(LN(2)/25)*Calculateur!V152*Calculateur!X152*VLOOKUP('Données projet'!$B$9,Paramètres!$A$1:$I$89,3,0)*0.475*44/12</f>
        <v>11.681103465683673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18.425769497274644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9.3350000000000026</v>
      </c>
      <c r="AI152" s="13">
        <f>IF('Données projet'!$A$62&gt;35,AI151+AH152-AQ151,IF(A152&lt;'Données projet'!$A$62,$AF$205^A152,IF(A152='Données projet'!$A$62,'Données projet'!$B$62,AI151+AH152-AQ151)))</f>
        <v>499.81500000000085</v>
      </c>
      <c r="AJ152" s="13">
        <f>AI152*VLOOKUP('Données projet'!$B$10,Paramètres!$A$1:$I$89,3,0)*VLOOKUP('Données projet'!$B$10,Paramètres!$A$1:$I$89,5,0)</f>
        <v>506.81241000000091</v>
      </c>
      <c r="AK152" s="13">
        <f t="shared" si="143"/>
        <v>113.12408688761556</v>
      </c>
      <c r="AL152" s="20">
        <f t="shared" si="112"/>
        <v>1079.7227320792654</v>
      </c>
      <c r="AM152" s="59">
        <f t="shared" si="113"/>
        <v>1373.0560654125986</v>
      </c>
      <c r="AN152" s="59">
        <f ca="1">AVERAGE(OFFSET($AM$3,0,0,'Données projet'!$E$10+1,1))-AVERAGE(OFFSET($H$3,0,0,'Données projet'!$E$10+1,1))</f>
        <v>644.15138437063933</v>
      </c>
      <c r="AO152" s="59">
        <f t="shared" si="144"/>
        <v>289.3097279858207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50.748718126910362</v>
      </c>
      <c r="AV152" s="21">
        <f>EXP(-LN(2)/25)*AV151+(1-EXP(-LN(2)/25))/(LN(2)/25)*Calculateur!AQ152*Calculateur!AS152*VLOOKUP('Données projet'!$B$10,Paramètres!$A$1:$I$89,3,0)*0.475*44/12</f>
        <v>22.740110979372236</v>
      </c>
      <c r="AW152" s="21">
        <f>EXP(-LN(2)/2)*AW151+(1-EXP(-LN(2)/2))/(LN(2)/2)*AQ152*AT152*VLOOKUP('Données projet'!$B$10,Paramètres!$A$1:$I$89,3,0)*0.475*44/12</f>
        <v>9.8784670444872517E-4</v>
      </c>
      <c r="AX152" s="21">
        <f t="shared" si="114"/>
        <v>73.489816952987042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9.3350000000000026</v>
      </c>
      <c r="BD152" s="12">
        <f>IF('Données projet'!$A$88&gt;35,BD151+BC152-BL151,IF(A152&lt;'Données projet'!$A$88,$BA$205^A152,IF(A152='Données projet'!$A$88,'Données projet'!$B$88,BD151+BC152-BL151)))</f>
        <v>499.81500000000085</v>
      </c>
      <c r="BE152" s="13">
        <f>BD152*VLOOKUP('Données projet'!$B$11,Paramètres!$A$1:$I$89,3,0)*VLOOKUP('Données projet'!$B$11,Paramètres!$A$1:$I$89,5,0)</f>
        <v>452.2326120000007</v>
      </c>
      <c r="BF152" s="13">
        <f t="shared" si="145"/>
        <v>102.28920891735658</v>
      </c>
      <c r="BG152" s="20">
        <f t="shared" si="115"/>
        <v>965.79217143106382</v>
      </c>
      <c r="BH152" s="59">
        <f t="shared" si="116"/>
        <v>1259.1255047643972</v>
      </c>
      <c r="BI152" s="59">
        <f ca="1">AVERAGE(OFFSET($BH$3,0,0,'Données projet'!$E$11+1,1))-AVERAGE(OFFSET($H$3,0,0,'Données projet'!$E$11+1,1))</f>
        <v>573.17174498173017</v>
      </c>
      <c r="BJ152" s="59">
        <f t="shared" si="146"/>
        <v>260.48854096157231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45.283471559396929</v>
      </c>
      <c r="BQ152" s="21">
        <f>EXP(-LN(2)/25)*BQ151+(1-EXP(-LN(2)/25))/(LN(2)/25)*Calculateur!BL152*Calculateur!BN152*VLOOKUP('Données projet'!$B$11,Paramètres!$A$1:$I$89,3,0)*0.475*44/12</f>
        <v>20.291175950824456</v>
      </c>
      <c r="BR152" s="21">
        <f>EXP(-LN(2)/2)*BR151+(1-EXP(-LN(2)/2))/(LN(2)/2)*BL152*BO152*VLOOKUP('Données projet'!$B$11,Paramètres!$A$1:$I$89,3,0)*0.475*44/12</f>
        <v>8.8146321320040153E-4</v>
      </c>
      <c r="BS152" s="22">
        <f t="shared" si="117"/>
        <v>65.575528973434587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9.3350000000000026</v>
      </c>
      <c r="BY152" s="12">
        <f>IF('Données projet'!$A$114&gt;35,BY151+BX152-CG151,IF(A152&lt;'Données projet'!$A$114,$BV$205^A152,IF(A152='Données projet'!$A$114,'Données projet'!$B$114,BY151+BX152-CG151)))</f>
        <v>499.81500000000085</v>
      </c>
      <c r="BZ152" s="13">
        <f>BY152*VLOOKUP('Données projet'!$B$12,Paramètres!$A$1:$I$89,3,0)*VLOOKUP('Données projet'!$B$12,Paramètres!$A$1:$I$89,5,0)</f>
        <v>475.62395400000082</v>
      </c>
      <c r="CA152" s="13">
        <f t="shared" si="147"/>
        <v>106.95036891943845</v>
      </c>
      <c r="CB152" s="20">
        <f t="shared" si="118"/>
        <v>1014.6502790846899</v>
      </c>
      <c r="CC152" s="59">
        <f t="shared" si="119"/>
        <v>1307.9836124180233</v>
      </c>
      <c r="CD152" s="59">
        <f ca="1">AVERAGE(OFFSET($CC$3,0,0,'Données projet'!$E$12+1,1))-AVERAGE(OFFSET($H$3,0,0,'Données projet'!$E$12+1,1))</f>
        <v>603.61135046904178</v>
      </c>
      <c r="CE152" s="59">
        <f t="shared" si="148"/>
        <v>272.84936867513068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47.625720088331256</v>
      </c>
      <c r="CL152" s="21">
        <f>EXP(-LN(2)/25)*CL151+(1-EXP(-LN(2)/25))/(LN(2)/25)*Calculateur!CG152*Calculateur!CI152*VLOOKUP('Données projet'!$B$12,Paramètres!$A$1:$I$89,3,0)*0.475*44/12</f>
        <v>21.340719534487782</v>
      </c>
      <c r="CM152" s="21">
        <f>EXP(-LN(2)/2)*CM151+(1-EXP(-LN(2)/2))/(LN(2)/2)*CG152*CJ152*VLOOKUP('Données projet'!$B$12,Paramètres!$A$1:$I$89,3,0)*0.475*44/12</f>
        <v>9.270561380211132E-4</v>
      </c>
      <c r="CN152" s="22">
        <f t="shared" si="120"/>
        <v>68.967366678957063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45.045000000000002</v>
      </c>
      <c r="D153" s="11">
        <f t="shared" si="140"/>
        <v>13.326441368627075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247.82261072294307</v>
      </c>
      <c r="H153" s="67">
        <f t="shared" si="110"/>
        <v>358.33026038369218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8.5265128291212022E-14</v>
      </c>
      <c r="O153" s="13">
        <f>N153*VLOOKUP('Données projet'!$B$9,Paramètres!$A$1:$I$89,3,0)*VLOOKUP('Données projet'!$B$9,Paramètres!$A$1:$I$89,5,0)</f>
        <v>8.9119112089974823E-14</v>
      </c>
      <c r="P153" s="13">
        <f t="shared" si="141"/>
        <v>1.3568952080113142E-12</v>
      </c>
      <c r="Q153" s="20">
        <f t="shared" si="108"/>
        <v>2.5184749408430782E-12</v>
      </c>
      <c r="R153" s="59">
        <f t="shared" si="109"/>
        <v>293.33333333333582</v>
      </c>
      <c r="S153" s="59">
        <f ca="1">AVERAGE(OFFSET($R$3,0,0,'Données projet'!$E$9+1,1))-AVERAGE(OFFSET($H$3,0,0,'Données projet'!$E$9+1,1))</f>
        <v>225.9892575177542</v>
      </c>
      <c r="T153" s="59">
        <f t="shared" si="142"/>
        <v>215.88467215650428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6.6124072445515418</v>
      </c>
      <c r="AA153" s="21">
        <f>EXP(-LN(2)/25)*AA152+(1-EXP(-LN(2)/25))/(LN(2)/25)*Calculateur!V153*Calculateur!X153*VLOOKUP('Données projet'!$B$9,Paramètres!$A$1:$I$89,3,0)*0.475*44/12</f>
        <v>11.361683077132019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17.974090321683562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9.3350000000000026</v>
      </c>
      <c r="AI153" s="13">
        <f>IF('Données projet'!$A$62&gt;35,AI152+AH153-AQ152,IF(A153&lt;'Données projet'!$A$62,$AF$205^A153,IF(A153='Données projet'!$A$62,'Données projet'!$B$62,AI152+AH153-AQ152)))</f>
        <v>509.15000000000083</v>
      </c>
      <c r="AJ153" s="13">
        <f>AI153*VLOOKUP('Données projet'!$B$10,Paramètres!$A$1:$I$89,3,0)*VLOOKUP('Données projet'!$B$10,Paramètres!$A$1:$I$89,5,0)</f>
        <v>516.2781000000009</v>
      </c>
      <c r="AK153" s="13">
        <f t="shared" si="143"/>
        <v>114.98894910398533</v>
      </c>
      <c r="AL153" s="20">
        <f t="shared" si="112"/>
        <v>1099.4567771894424</v>
      </c>
      <c r="AM153" s="59">
        <f t="shared" si="113"/>
        <v>1392.7901105227756</v>
      </c>
      <c r="AN153" s="59">
        <f ca="1">AVERAGE(OFFSET($AM$3,0,0,'Données projet'!$E$10+1,1))-AVERAGE(OFFSET($H$3,0,0,'Données projet'!$E$10+1,1))</f>
        <v>644.15138437063933</v>
      </c>
      <c r="AO153" s="59">
        <f t="shared" si="144"/>
        <v>289.3097279858207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49.753566718103286</v>
      </c>
      <c r="AV153" s="21">
        <f>EXP(-LN(2)/25)*AV152+(1-EXP(-LN(2)/25))/(LN(2)/25)*Calculateur!AQ153*Calculateur!AS153*VLOOKUP('Données projet'!$B$10,Paramètres!$A$1:$I$89,3,0)*0.475*44/12</f>
        <v>22.118281448790839</v>
      </c>
      <c r="AW153" s="21">
        <f>EXP(-LN(2)/2)*AW152+(1-EXP(-LN(2)/2))/(LN(2)/2)*AQ153*AT153*VLOOKUP('Données projet'!$B$10,Paramètres!$A$1:$I$89,3,0)*0.475*44/12</f>
        <v>6.9851310348847679E-4</v>
      </c>
      <c r="AX153" s="21">
        <f t="shared" si="114"/>
        <v>71.872546679997612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9.3350000000000026</v>
      </c>
      <c r="BD153" s="12">
        <f>IF('Données projet'!$A$88&gt;35,BD152+BC153-BL152,IF(A153&lt;'Données projet'!$A$88,$BA$205^A153,IF(A153='Données projet'!$A$88,'Données projet'!$B$88,BD152+BC153-BL152)))</f>
        <v>509.15000000000083</v>
      </c>
      <c r="BE153" s="13">
        <f>BD153*VLOOKUP('Données projet'!$B$11,Paramètres!$A$1:$I$89,3,0)*VLOOKUP('Données projet'!$B$11,Paramètres!$A$1:$I$89,5,0)</f>
        <v>460.67892000000074</v>
      </c>
      <c r="BF153" s="13">
        <f t="shared" si="145"/>
        <v>103.97545705513664</v>
      </c>
      <c r="BG153" s="20">
        <f t="shared" si="115"/>
        <v>983.43970670436431</v>
      </c>
      <c r="BH153" s="59">
        <f t="shared" si="116"/>
        <v>1276.7730400376977</v>
      </c>
      <c r="BI153" s="59">
        <f ca="1">AVERAGE(OFFSET($BH$3,0,0,'Données projet'!$E$11+1,1))-AVERAGE(OFFSET($H$3,0,0,'Données projet'!$E$11+1,1))</f>
        <v>573.17174498173017</v>
      </c>
      <c r="BJ153" s="59">
        <f t="shared" si="146"/>
        <v>260.48854096157231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44.395490302307536</v>
      </c>
      <c r="BQ153" s="21">
        <f>EXP(-LN(2)/25)*BQ152+(1-EXP(-LN(2)/25))/(LN(2)/25)*Calculateur!BL153*Calculateur!BN153*VLOOKUP('Données projet'!$B$11,Paramètres!$A$1:$I$89,3,0)*0.475*44/12</f>
        <v>19.736312677382596</v>
      </c>
      <c r="BR153" s="21">
        <f>EXP(-LN(2)/2)*BR152+(1-EXP(-LN(2)/2))/(LN(2)/2)*BL153*BO153*VLOOKUP('Données projet'!$B$11,Paramètres!$A$1:$I$89,3,0)*0.475*44/12</f>
        <v>6.2328861542048741E-4</v>
      </c>
      <c r="BS153" s="22">
        <f t="shared" si="117"/>
        <v>64.132426268305551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9.3350000000000026</v>
      </c>
      <c r="BY153" s="12">
        <f>IF('Données projet'!$A$114&gt;35,BY152+BX153-CG152,IF(A153&lt;'Données projet'!$A$114,$BV$205^A153,IF(A153='Données projet'!$A$114,'Données projet'!$B$114,BY152+BX153-CG152)))</f>
        <v>509.15000000000083</v>
      </c>
      <c r="BZ153" s="13">
        <f>BY153*VLOOKUP('Données projet'!$B$12,Paramètres!$A$1:$I$89,3,0)*VLOOKUP('Données projet'!$B$12,Paramètres!$A$1:$I$89,5,0)</f>
        <v>484.50714000000085</v>
      </c>
      <c r="CA153" s="13">
        <f t="shared" si="147"/>
        <v>108.71345675963302</v>
      </c>
      <c r="CB153" s="20">
        <f t="shared" si="118"/>
        <v>1033.1925393563622</v>
      </c>
      <c r="CC153" s="59">
        <f t="shared" si="119"/>
        <v>1326.5258726896955</v>
      </c>
      <c r="CD153" s="59">
        <f ca="1">AVERAGE(OFFSET($CC$3,0,0,'Données projet'!$E$12+1,1))-AVERAGE(OFFSET($H$3,0,0,'Données projet'!$E$12+1,1))</f>
        <v>603.61135046904178</v>
      </c>
      <c r="CE153" s="59">
        <f t="shared" si="148"/>
        <v>272.84936867513068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46.691808766219999</v>
      </c>
      <c r="CL153" s="21">
        <f>EXP(-LN(2)/25)*CL152+(1-EXP(-LN(2)/25))/(LN(2)/25)*Calculateur!CG153*Calculateur!CI153*VLOOKUP('Données projet'!$B$12,Paramètres!$A$1:$I$89,3,0)*0.475*44/12</f>
        <v>20.757156436557548</v>
      </c>
      <c r="CM153" s="21">
        <f>EXP(-LN(2)/2)*CM152+(1-EXP(-LN(2)/2))/(LN(2)/2)*CG153*CJ153*VLOOKUP('Données projet'!$B$12,Paramètres!$A$1:$I$89,3,0)*0.475*44/12</f>
        <v>6.5552768173534118E-4</v>
      </c>
      <c r="CN153" s="22">
        <f t="shared" si="120"/>
        <v>67.449620730459273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45.345300000000002</v>
      </c>
      <c r="D154" s="11">
        <f t="shared" si="140"/>
        <v>13.404912609251477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249.4307272182256</v>
      </c>
      <c r="H154" s="67">
        <f t="shared" si="110"/>
        <v>358.9899536277797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8.5265128291212022E-14</v>
      </c>
      <c r="O154" s="13">
        <f>N154*VLOOKUP('Données projet'!$B$9,Paramètres!$A$1:$I$89,3,0)*VLOOKUP('Données projet'!$B$9,Paramètres!$A$1:$I$89,5,0)</f>
        <v>8.9119112089974823E-14</v>
      </c>
      <c r="P154" s="13">
        <f t="shared" si="141"/>
        <v>1.3568952080113142E-12</v>
      </c>
      <c r="Q154" s="20">
        <f t="shared" ref="Q154:Q203" si="162">(O154+P154)*0.475*44/12</f>
        <v>2.5184749408430782E-12</v>
      </c>
      <c r="R154" s="59">
        <f t="shared" si="109"/>
        <v>293.33333333333582</v>
      </c>
      <c r="S154" s="59">
        <f ca="1">AVERAGE(OFFSET($R$3,0,0,'Données projet'!$E$9+1,1))-AVERAGE(OFFSET($H$3,0,0,'Données projet'!$E$9+1,1))</f>
        <v>225.9892575177542</v>
      </c>
      <c r="T154" s="59">
        <f t="shared" si="142"/>
        <v>215.88467215650428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6.482741971656063</v>
      </c>
      <c r="AA154" s="21">
        <f>EXP(-LN(2)/25)*AA153+(1-EXP(-LN(2)/25))/(LN(2)/25)*Calculateur!V154*Calculateur!X154*VLOOKUP('Données projet'!$B$9,Paramètres!$A$1:$I$89,3,0)*0.475*44/12</f>
        <v>11.050997255902898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17.533739227558961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9.3350000000000026</v>
      </c>
      <c r="AI154" s="13">
        <f>IF('Données projet'!$A$62&gt;35,AI153+AH154-AQ153,IF(A154&lt;'Données projet'!$A$62,$AF$205^A154,IF(A154='Données projet'!$A$62,'Données projet'!$B$62,AI153+AH154-AQ153)))</f>
        <v>518.48500000000081</v>
      </c>
      <c r="AJ154" s="13">
        <f>AI154*VLOOKUP('Données projet'!$B$10,Paramètres!$A$1:$I$89,3,0)*VLOOKUP('Données projet'!$B$10,Paramètres!$A$1:$I$89,5,0)</f>
        <v>525.7437900000009</v>
      </c>
      <c r="AK154" s="13">
        <f t="shared" ref="AK154:AK203" si="164">EXP(-1.0587+0.8836*LN(AJ154)+0.284)</f>
        <v>116.84983546396843</v>
      </c>
      <c r="AL154" s="20">
        <f t="shared" ref="AL154:AL203" si="165">(AJ154+AK154)*0.475*44/12</f>
        <v>1119.18389768308</v>
      </c>
      <c r="AM154" s="59">
        <f t="shared" si="113"/>
        <v>1412.5172310164132</v>
      </c>
      <c r="AN154" s="59">
        <f ca="1">AVERAGE(OFFSET($AM$3,0,0,'Données projet'!$E$10+1,1))-AVERAGE(OFFSET($H$3,0,0,'Données projet'!$E$10+1,1))</f>
        <v>644.15138437063933</v>
      </c>
      <c r="AO154" s="59">
        <f t="shared" si="144"/>
        <v>289.3097279858207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48.777929621440492</v>
      </c>
      <c r="AV154" s="21">
        <f>EXP(-LN(2)/25)*AV153+(1-EXP(-LN(2)/25))/(LN(2)/25)*Calculateur!AQ154*Calculateur!AS154*VLOOKUP('Données projet'!$B$10,Paramètres!$A$1:$I$89,3,0)*0.475*44/12</f>
        <v>21.513455879423784</v>
      </c>
      <c r="AW154" s="21">
        <f>EXP(-LN(2)/2)*AW153+(1-EXP(-LN(2)/2))/(LN(2)/2)*AQ154*AT154*VLOOKUP('Données projet'!$B$10,Paramètres!$A$1:$I$89,3,0)*0.475*44/12</f>
        <v>4.9392335222436259E-4</v>
      </c>
      <c r="AX154" s="21">
        <f t="shared" ref="AX154:AX203" si="166">SUM(AU154:AW154)</f>
        <v>70.291879424216503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9.3350000000000026</v>
      </c>
      <c r="BD154" s="12">
        <f>IF('Données projet'!$A$88&gt;35,BD153+BC154-BL153,IF(A154&lt;'Données projet'!$A$88,$BA$205^A154,IF(A154='Données projet'!$A$88,'Données projet'!$B$88,BD153+BC154-BL153)))</f>
        <v>518.48500000000081</v>
      </c>
      <c r="BE154" s="13">
        <f>BD154*VLOOKUP('Données projet'!$B$11,Paramètres!$A$1:$I$89,3,0)*VLOOKUP('Données projet'!$B$11,Paramètres!$A$1:$I$89,5,0)</f>
        <v>469.12522800000067</v>
      </c>
      <c r="BF154" s="13">
        <f t="shared" ref="BF154:BF203" si="167">EXP(-1.0587+0.8836*LN(BE154)+0.284)</f>
        <v>105.65811013888603</v>
      </c>
      <c r="BG154" s="20">
        <f t="shared" ref="BG154:BG203" si="168">(BE154+BF154)*0.475*44/12</f>
        <v>1001.0809805918944</v>
      </c>
      <c r="BH154" s="59">
        <f t="shared" si="116"/>
        <v>1294.4143139252278</v>
      </c>
      <c r="BI154" s="59">
        <f ca="1">AVERAGE(OFFSET($BH$3,0,0,'Données projet'!$E$11+1,1))-AVERAGE(OFFSET($H$3,0,0,'Données projet'!$E$11+1,1))</f>
        <v>573.17174498173017</v>
      </c>
      <c r="BJ154" s="59">
        <f t="shared" si="146"/>
        <v>260.48854096157231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43.524921816054579</v>
      </c>
      <c r="BQ154" s="21">
        <f>EXP(-LN(2)/25)*BQ153+(1-EXP(-LN(2)/25))/(LN(2)/25)*Calculateur!BL154*Calculateur!BN154*VLOOKUP('Données projet'!$B$11,Paramètres!$A$1:$I$89,3,0)*0.475*44/12</f>
        <v>19.196622169331992</v>
      </c>
      <c r="BR154" s="21">
        <f>EXP(-LN(2)/2)*BR153+(1-EXP(-LN(2)/2))/(LN(2)/2)*BL154*BO154*VLOOKUP('Données projet'!$B$11,Paramètres!$A$1:$I$89,3,0)*0.475*44/12</f>
        <v>4.4073160660020077E-4</v>
      </c>
      <c r="BS154" s="22">
        <f t="shared" ref="BS154:BS203" si="169">SUM(BP154:BR154)</f>
        <v>62.721984716993177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9.3350000000000026</v>
      </c>
      <c r="BY154" s="12">
        <f>IF('Données projet'!$A$114&gt;35,BY153+BX154-CG153,IF(A154&lt;'Données projet'!$A$114,$BV$205^A154,IF(A154='Données projet'!$A$114,'Données projet'!$B$114,BY153+BX154-CG153)))</f>
        <v>518.48500000000081</v>
      </c>
      <c r="BZ154" s="13">
        <f>BY154*VLOOKUP('Données projet'!$B$12,Paramètres!$A$1:$I$89,3,0)*VLOOKUP('Données projet'!$B$12,Paramètres!$A$1:$I$89,5,0)</f>
        <v>493.39032600000081</v>
      </c>
      <c r="CA154" s="13">
        <f t="shared" ref="CA154:CA203" si="170">EXP(-1.0587+0.8836*LN(BZ154)+0.284)</f>
        <v>110.47278572478149</v>
      </c>
      <c r="CB154" s="20">
        <f t="shared" ref="CB154:CB203" si="171">(BZ154+CA154)*0.475*44/12</f>
        <v>1051.7282529206625</v>
      </c>
      <c r="CC154" s="59">
        <f t="shared" si="119"/>
        <v>1345.0615862539958</v>
      </c>
      <c r="CD154" s="59">
        <f ca="1">AVERAGE(OFFSET($CC$3,0,0,'Données projet'!$E$12+1,1))-AVERAGE(OFFSET($H$3,0,0,'Données projet'!$E$12+1,1))</f>
        <v>603.61135046904178</v>
      </c>
      <c r="CE154" s="59">
        <f t="shared" si="148"/>
        <v>272.84936867513068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45.776210875505683</v>
      </c>
      <c r="CL154" s="21">
        <f>EXP(-LN(2)/25)*CL153+(1-EXP(-LN(2)/25))/(LN(2)/25)*Calculateur!CG154*Calculateur!CI154*VLOOKUP('Données projet'!$B$12,Paramètres!$A$1:$I$89,3,0)*0.475*44/12</f>
        <v>20.189550902228465</v>
      </c>
      <c r="CM154" s="21">
        <f>EXP(-LN(2)/2)*CM153+(1-EXP(-LN(2)/2))/(LN(2)/2)*CG154*CJ154*VLOOKUP('Données projet'!$B$12,Paramètres!$A$1:$I$89,3,0)*0.475*44/12</f>
        <v>4.6352806901055671E-4</v>
      </c>
      <c r="CN154" s="22">
        <f t="shared" ref="CN154:CN203" si="172">SUM(CK154:CM154)</f>
        <v>65.96622530580315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45.645600000000002</v>
      </c>
      <c r="D155" s="11">
        <f t="shared" si="140"/>
        <v>13.483323382303894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251.03858699153588</v>
      </c>
      <c r="H155" s="67">
        <f t="shared" si="110"/>
        <v>359.64954155751263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8.5265128291212022E-14</v>
      </c>
      <c r="O155" s="13">
        <f>N155*VLOOKUP('Données projet'!$B$9,Paramètres!$A$1:$I$89,3,0)*VLOOKUP('Données projet'!$B$9,Paramètres!$A$1:$I$89,5,0)</f>
        <v>8.9119112089974823E-14</v>
      </c>
      <c r="P155" s="13">
        <f t="shared" si="141"/>
        <v>1.3568952080113142E-12</v>
      </c>
      <c r="Q155" s="20">
        <f t="shared" si="162"/>
        <v>2.5184749408430782E-12</v>
      </c>
      <c r="R155" s="59">
        <f t="shared" si="109"/>
        <v>293.33333333333582</v>
      </c>
      <c r="S155" s="59">
        <f ca="1">AVERAGE(OFFSET($R$3,0,0,'Données projet'!$E$9+1,1))-AVERAGE(OFFSET($H$3,0,0,'Données projet'!$E$9+1,1))</f>
        <v>225.9892575177542</v>
      </c>
      <c r="T155" s="59">
        <f t="shared" si="142"/>
        <v>215.88467215650428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6.3556193556740572</v>
      </c>
      <c r="AA155" s="21">
        <f>EXP(-LN(2)/25)*AA154+(1-EXP(-LN(2)/25))/(LN(2)/25)*Calculateur!V155*Calculateur!X155*VLOOKUP('Données projet'!$B$9,Paramètres!$A$1:$I$89,3,0)*0.475*44/12</f>
        <v>10.748807154793544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17.104426510467601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9.3350000000000026</v>
      </c>
      <c r="AI155" s="13">
        <f>IF('Données projet'!$A$62&gt;35,AI154+AH155-AQ154,IF(A155&lt;'Données projet'!$A$62,$AF$205^A155,IF(A155='Données projet'!$A$62,'Données projet'!$B$62,AI154+AH155-AQ154)))</f>
        <v>527.82000000000085</v>
      </c>
      <c r="AJ155" s="13">
        <f>AI155*VLOOKUP('Données projet'!$B$10,Paramètres!$A$1:$I$89,3,0)*VLOOKUP('Données projet'!$B$10,Paramètres!$A$1:$I$89,5,0)</f>
        <v>535.20948000000089</v>
      </c>
      <c r="AK155" s="13">
        <f t="shared" si="164"/>
        <v>118.70682580764394</v>
      </c>
      <c r="AL155" s="20">
        <f t="shared" si="165"/>
        <v>1138.9042326149813</v>
      </c>
      <c r="AM155" s="59">
        <f t="shared" si="113"/>
        <v>1432.2375659483146</v>
      </c>
      <c r="AN155" s="59">
        <f ca="1">AVERAGE(OFFSET($AM$3,0,0,'Données projet'!$E$10+1,1))-AVERAGE(OFFSET($H$3,0,0,'Données projet'!$E$10+1,1))</f>
        <v>644.15138437063933</v>
      </c>
      <c r="AO155" s="59">
        <f t="shared" si="144"/>
        <v>289.3097279858207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47.821424173163386</v>
      </c>
      <c r="AV155" s="21">
        <f>EXP(-LN(2)/25)*AV154+(1-EXP(-LN(2)/25))/(LN(2)/25)*Calculateur!AQ155*Calculateur!AS155*VLOOKUP('Données projet'!$B$10,Paramètres!$A$1:$I$89,3,0)*0.475*44/12</f>
        <v>20.925169297057465</v>
      </c>
      <c r="AW155" s="21">
        <f>EXP(-LN(2)/2)*AW154+(1-EXP(-LN(2)/2))/(LN(2)/2)*AQ155*AT155*VLOOKUP('Données projet'!$B$10,Paramètres!$A$1:$I$89,3,0)*0.475*44/12</f>
        <v>3.492565517442384E-4</v>
      </c>
      <c r="AX155" s="21">
        <f t="shared" si="166"/>
        <v>68.746942726772602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9.3350000000000026</v>
      </c>
      <c r="BD155" s="12">
        <f>IF('Données projet'!$A$88&gt;35,BD154+BC155-BL154,IF(A155&lt;'Données projet'!$A$88,$BA$205^A155,IF(A155='Données projet'!$A$88,'Données projet'!$B$88,BD154+BC155-BL154)))</f>
        <v>527.82000000000085</v>
      </c>
      <c r="BE155" s="13">
        <f>BD155*VLOOKUP('Données projet'!$B$11,Paramètres!$A$1:$I$89,3,0)*VLOOKUP('Données projet'!$B$11,Paramètres!$A$1:$I$89,5,0)</f>
        <v>477.57153600000072</v>
      </c>
      <c r="BF155" s="13">
        <f t="shared" si="167"/>
        <v>107.3372403617045</v>
      </c>
      <c r="BG155" s="20">
        <f t="shared" si="168"/>
        <v>1018.71611882997</v>
      </c>
      <c r="BH155" s="59">
        <f t="shared" si="116"/>
        <v>1312.0494521633034</v>
      </c>
      <c r="BI155" s="59">
        <f ca="1">AVERAGE(OFFSET($BH$3,0,0,'Données projet'!$E$11+1,1))-AVERAGE(OFFSET($H$3,0,0,'Données projet'!$E$11+1,1))</f>
        <v>573.17174498173017</v>
      </c>
      <c r="BJ155" s="59">
        <f t="shared" si="146"/>
        <v>260.48854096157231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42.6714246468227</v>
      </c>
      <c r="BQ155" s="21">
        <f>EXP(-LN(2)/25)*BQ154+(1-EXP(-LN(2)/25))/(LN(2)/25)*Calculateur!BL155*Calculateur!BN155*VLOOKUP('Données projet'!$B$11,Paramètres!$A$1:$I$89,3,0)*0.475*44/12</f>
        <v>18.671689526605125</v>
      </c>
      <c r="BR155" s="21">
        <f>EXP(-LN(2)/2)*BR154+(1-EXP(-LN(2)/2))/(LN(2)/2)*BL155*BO155*VLOOKUP('Données projet'!$B$11,Paramètres!$A$1:$I$89,3,0)*0.475*44/12</f>
        <v>3.1164430771024371E-4</v>
      </c>
      <c r="BS155" s="22">
        <f t="shared" si="169"/>
        <v>61.343425817735529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9.3350000000000026</v>
      </c>
      <c r="BY155" s="12">
        <f>IF('Données projet'!$A$114&gt;35,BY154+BX155-CG154,IF(A155&lt;'Données projet'!$A$114,$BV$205^A155,IF(A155='Données projet'!$A$114,'Données projet'!$B$114,BY154+BX155-CG154)))</f>
        <v>527.82000000000085</v>
      </c>
      <c r="BZ155" s="13">
        <f>BY155*VLOOKUP('Données projet'!$B$12,Paramètres!$A$1:$I$89,3,0)*VLOOKUP('Données projet'!$B$12,Paramètres!$A$1:$I$89,5,0)</f>
        <v>502.27351200000078</v>
      </c>
      <c r="CA155" s="13">
        <f t="shared" si="170"/>
        <v>112.22843129771096</v>
      </c>
      <c r="CB155" s="20">
        <f t="shared" si="171"/>
        <v>1070.2575512435144</v>
      </c>
      <c r="CC155" s="59">
        <f t="shared" si="119"/>
        <v>1363.5908845768477</v>
      </c>
      <c r="CD155" s="59">
        <f ca="1">AVERAGE(OFFSET($CC$3,0,0,'Données projet'!$E$12+1,1))-AVERAGE(OFFSET($H$3,0,0,'Données projet'!$E$12+1,1))</f>
        <v>603.61135046904178</v>
      </c>
      <c r="CE155" s="59">
        <f t="shared" si="148"/>
        <v>272.84936867513068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44.878567300968705</v>
      </c>
      <c r="CL155" s="21">
        <f>EXP(-LN(2)/25)*CL154+(1-EXP(-LN(2)/25))/(LN(2)/25)*Calculateur!CG155*Calculateur!CI155*VLOOKUP('Données projet'!$B$12,Paramètres!$A$1:$I$89,3,0)*0.475*44/12</f>
        <v>19.637466571084691</v>
      </c>
      <c r="CM155" s="21">
        <f>EXP(-LN(2)/2)*CM154+(1-EXP(-LN(2)/2))/(LN(2)/2)*CG155*CJ155*VLOOKUP('Données projet'!$B$12,Paramètres!$A$1:$I$89,3,0)*0.475*44/12</f>
        <v>3.2776384086767064E-4</v>
      </c>
      <c r="CN155" s="22">
        <f t="shared" si="172"/>
        <v>64.51636163589427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45.945900000000002</v>
      </c>
      <c r="D156" s="11">
        <f t="shared" si="140"/>
        <v>13.561674131739137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252.64619192773463</v>
      </c>
      <c r="H156" s="67">
        <f t="shared" si="110"/>
        <v>360.30902494611234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8.5265128291212022E-14</v>
      </c>
      <c r="O156" s="13">
        <f>N156*VLOOKUP('Données projet'!$B$9,Paramètres!$A$1:$I$89,3,0)*VLOOKUP('Données projet'!$B$9,Paramètres!$A$1:$I$89,5,0)</f>
        <v>8.9119112089974823E-14</v>
      </c>
      <c r="P156" s="13">
        <f t="shared" si="141"/>
        <v>1.3568952080113142E-12</v>
      </c>
      <c r="Q156" s="20">
        <f t="shared" si="162"/>
        <v>2.5184749408430782E-12</v>
      </c>
      <c r="R156" s="59">
        <f t="shared" si="109"/>
        <v>293.33333333333582</v>
      </c>
      <c r="S156" s="59">
        <f ca="1">AVERAGE(OFFSET($R$3,0,0,'Données projet'!$E$9+1,1))-AVERAGE(OFFSET($H$3,0,0,'Données projet'!$E$9+1,1))</f>
        <v>225.9892575177542</v>
      </c>
      <c r="T156" s="59">
        <f t="shared" si="142"/>
        <v>215.88467215650428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6.2309895366543193</v>
      </c>
      <c r="AA156" s="21">
        <f>EXP(-LN(2)/25)*AA155+(1-EXP(-LN(2)/25))/(LN(2)/25)*Calculateur!V156*Calculateur!X156*VLOOKUP('Données projet'!$B$9,Paramètres!$A$1:$I$89,3,0)*0.475*44/12</f>
        <v>10.454880457890514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16.685869994544834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9.3350000000000026</v>
      </c>
      <c r="AI156" s="13">
        <f>IF('Données projet'!$A$62&gt;35,AI155+AH156-AQ155,IF(A156&lt;'Données projet'!$A$62,$AF$205^A156,IF(A156='Données projet'!$A$62,'Données projet'!$B$62,AI155+AH156-AQ155)))</f>
        <v>537.15500000000088</v>
      </c>
      <c r="AJ156" s="13">
        <f>AI156*VLOOKUP('Données projet'!$B$10,Paramètres!$A$1:$I$89,3,0)*VLOOKUP('Données projet'!$B$10,Paramètres!$A$1:$I$89,5,0)</f>
        <v>544.67517000000089</v>
      </c>
      <c r="AK156" s="13">
        <f t="shared" si="164"/>
        <v>120.55999698924055</v>
      </c>
      <c r="AL156" s="20">
        <f t="shared" si="165"/>
        <v>1158.6179158395955</v>
      </c>
      <c r="AM156" s="59">
        <f t="shared" si="113"/>
        <v>1451.9512491729288</v>
      </c>
      <c r="AN156" s="59">
        <f ca="1">AVERAGE(OFFSET($AM$3,0,0,'Données projet'!$E$10+1,1))-AVERAGE(OFFSET($H$3,0,0,'Données projet'!$E$10+1,1))</f>
        <v>644.15138437063933</v>
      </c>
      <c r="AO156" s="59">
        <f t="shared" si="144"/>
        <v>289.3097279858207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46.88367521331628</v>
      </c>
      <c r="AV156" s="21">
        <f>EXP(-LN(2)/25)*AV155+(1-EXP(-LN(2)/25))/(LN(2)/25)*Calculateur!AQ156*Calculateur!AS156*VLOOKUP('Données projet'!$B$10,Paramètres!$A$1:$I$89,3,0)*0.475*44/12</f>
        <v>20.352969442222602</v>
      </c>
      <c r="AW156" s="21">
        <f>EXP(-LN(2)/2)*AW155+(1-EXP(-LN(2)/2))/(LN(2)/2)*AQ156*AT156*VLOOKUP('Données projet'!$B$10,Paramètres!$A$1:$I$89,3,0)*0.475*44/12</f>
        <v>2.4696167611218129E-4</v>
      </c>
      <c r="AX156" s="21">
        <f t="shared" si="166"/>
        <v>67.236891617214994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9.3350000000000026</v>
      </c>
      <c r="BD156" s="12">
        <f>IF('Données projet'!$A$88&gt;35,BD155+BC156-BL155,IF(A156&lt;'Données projet'!$A$88,$BA$205^A156,IF(A156='Données projet'!$A$88,'Données projet'!$B$88,BD155+BC156-BL155)))</f>
        <v>537.15500000000088</v>
      </c>
      <c r="BE156" s="13">
        <f>BD156*VLOOKUP('Données projet'!$B$11,Paramètres!$A$1:$I$89,3,0)*VLOOKUP('Données projet'!$B$11,Paramètres!$A$1:$I$89,5,0)</f>
        <v>486.01784400000076</v>
      </c>
      <c r="BF156" s="13">
        <f t="shared" si="167"/>
        <v>109.01291721682281</v>
      </c>
      <c r="BG156" s="20">
        <f t="shared" si="168"/>
        <v>1036.3452424526342</v>
      </c>
      <c r="BH156" s="59">
        <f t="shared" si="116"/>
        <v>1329.6785757859675</v>
      </c>
      <c r="BI156" s="59">
        <f ca="1">AVERAGE(OFFSET($BH$3,0,0,'Données projet'!$E$11+1,1))-AVERAGE(OFFSET($H$3,0,0,'Données projet'!$E$11+1,1))</f>
        <v>573.17174498173017</v>
      </c>
      <c r="BJ156" s="59">
        <f t="shared" si="146"/>
        <v>260.48854096157231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41.834664036497585</v>
      </c>
      <c r="BQ156" s="21">
        <f>EXP(-LN(2)/25)*BQ155+(1-EXP(-LN(2)/25))/(LN(2)/25)*Calculateur!BL156*Calculateur!BN156*VLOOKUP('Données projet'!$B$11,Paramètres!$A$1:$I$89,3,0)*0.475*44/12</f>
        <v>18.161111194598629</v>
      </c>
      <c r="BR156" s="21">
        <f>EXP(-LN(2)/2)*BR155+(1-EXP(-LN(2)/2))/(LN(2)/2)*BL156*BO156*VLOOKUP('Données projet'!$B$11,Paramètres!$A$1:$I$89,3,0)*0.475*44/12</f>
        <v>2.2036580330010038E-4</v>
      </c>
      <c r="BS156" s="22">
        <f t="shared" si="169"/>
        <v>59.995995596899519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9.3350000000000026</v>
      </c>
      <c r="BY156" s="12">
        <f>IF('Données projet'!$A$114&gt;35,BY155+BX156-CG155,IF(A156&lt;'Données projet'!$A$114,$BV$205^A156,IF(A156='Données projet'!$A$114,'Données projet'!$B$114,BY155+BX156-CG155)))</f>
        <v>537.15500000000088</v>
      </c>
      <c r="BZ156" s="13">
        <f>BY156*VLOOKUP('Données projet'!$B$12,Paramètres!$A$1:$I$89,3,0)*VLOOKUP('Données projet'!$B$12,Paramètres!$A$1:$I$89,5,0)</f>
        <v>511.15669800000086</v>
      </c>
      <c r="CA156" s="13">
        <f t="shared" si="170"/>
        <v>113.98046613835052</v>
      </c>
      <c r="CB156" s="20">
        <f t="shared" si="171"/>
        <v>1088.7805608742954</v>
      </c>
      <c r="CC156" s="59">
        <f t="shared" si="119"/>
        <v>1382.1138942076286</v>
      </c>
      <c r="CD156" s="59">
        <f ca="1">AVERAGE(OFFSET($CC$3,0,0,'Données projet'!$E$12+1,1))-AVERAGE(OFFSET($H$3,0,0,'Données projet'!$E$12+1,1))</f>
        <v>603.61135046904178</v>
      </c>
      <c r="CE156" s="59">
        <f t="shared" si="148"/>
        <v>272.84936867513068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43.99852596941988</v>
      </c>
      <c r="CL156" s="21">
        <f>EXP(-LN(2)/25)*CL155+(1-EXP(-LN(2)/25))/(LN(2)/25)*Calculateur!CG156*Calculateur!CI156*VLOOKUP('Données projet'!$B$12,Paramètres!$A$1:$I$89,3,0)*0.475*44/12</f>
        <v>19.100479015008894</v>
      </c>
      <c r="CM156" s="21">
        <f>EXP(-LN(2)/2)*CM155+(1-EXP(-LN(2)/2))/(LN(2)/2)*CG156*CJ156*VLOOKUP('Données projet'!$B$12,Paramètres!$A$1:$I$89,3,0)*0.475*44/12</f>
        <v>2.3176403450527838E-4</v>
      </c>
      <c r="CN156" s="22">
        <f t="shared" si="172"/>
        <v>63.099236748463277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46.246200000000002</v>
      </c>
      <c r="D157" s="11">
        <f t="shared" si="140"/>
        <v>13.639965295373159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254.25354388561945</v>
      </c>
      <c r="H157" s="67">
        <f t="shared" si="110"/>
        <v>360.96840455610828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8.5265128291212022E-14</v>
      </c>
      <c r="O157" s="13">
        <f>N157*VLOOKUP('Données projet'!$B$9,Paramètres!$A$1:$I$89,3,0)*VLOOKUP('Données projet'!$B$9,Paramètres!$A$1:$I$89,5,0)</f>
        <v>8.9119112089974823E-14</v>
      </c>
      <c r="P157" s="13">
        <f t="shared" si="141"/>
        <v>1.3568952080113142E-12</v>
      </c>
      <c r="Q157" s="20">
        <f t="shared" si="162"/>
        <v>2.5184749408430782E-12</v>
      </c>
      <c r="R157" s="59">
        <f t="shared" si="109"/>
        <v>293.33333333333582</v>
      </c>
      <c r="S157" s="59">
        <f ca="1">AVERAGE(OFFSET($R$3,0,0,'Données projet'!$E$9+1,1))-AVERAGE(OFFSET($H$3,0,0,'Données projet'!$E$9+1,1))</f>
        <v>225.9892575177542</v>
      </c>
      <c r="T157" s="59">
        <f t="shared" si="142"/>
        <v>215.88467215650428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6.1088036323688746</v>
      </c>
      <c r="AA157" s="21">
        <f>EXP(-LN(2)/25)*AA156+(1-EXP(-LN(2)/25))/(LN(2)/25)*Calculateur!V157*Calculateur!X157*VLOOKUP('Données projet'!$B$9,Paramètres!$A$1:$I$89,3,0)*0.475*44/12</f>
        <v>10.168991201971229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16.277794834340103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9.3350000000000026</v>
      </c>
      <c r="AH157" s="12">
        <f t="array" ref="AH157">INDEX(AG:AG,MIN(IF(ISNUMBER(AG157:AG353),ROW(AG157:AG353),"")))</f>
        <v>9.3350000000000026</v>
      </c>
      <c r="AI157" s="13">
        <f>IF('Données projet'!$A$62&gt;35,AI156+AH157-AQ156,IF(A157&lt;'Données projet'!$A$62,$AF$205^A157,IF(A157='Données projet'!$A$62,'Données projet'!$B$62,AI156+AH157-AQ156)))</f>
        <v>546.49000000000092</v>
      </c>
      <c r="AJ157" s="13">
        <f>AI157*VLOOKUP('Données projet'!$B$10,Paramètres!$A$1:$I$89,3,0)*VLOOKUP('Données projet'!$B$10,Paramètres!$A$1:$I$89,5,0)</f>
        <v>554.140860000001</v>
      </c>
      <c r="AK157" s="13">
        <f t="shared" si="164"/>
        <v>122.40942303871579</v>
      </c>
      <c r="AL157" s="20">
        <f t="shared" si="165"/>
        <v>1178.3250762924317</v>
      </c>
      <c r="AM157" s="59">
        <f t="shared" si="113"/>
        <v>1471.658409625765</v>
      </c>
      <c r="AN157" s="59">
        <f ca="1">AVERAGE(OFFSET($AM$3,0,0,'Données projet'!$E$10+1,1))-AVERAGE(OFFSET($H$3,0,0,'Données projet'!$E$10+1,1))</f>
        <v>644.15138437063933</v>
      </c>
      <c r="AO157" s="59">
        <f t="shared" si="144"/>
        <v>289.3097279858207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61.050000000000011</v>
      </c>
      <c r="AR157" s="16">
        <f>IF(ISNA(VLOOKUP(A157,'Données projet'!$A$61:$I$81,5,0)),0%,VLOOKUP(A157,'Données projet'!$A$61:$I$81,5,0)*VLOOKUP('Données projet'!$B$10,Paramètres!$A$1:$I$89,7,0))</f>
        <v>0.215</v>
      </c>
      <c r="AS157" s="16">
        <f>IF(ISNA(VLOOKUP(A157,'Données projet'!$A$61:$I$81,6,0)),0%,VLOOKUP(A157,'Données projet'!$A$61:$I$81,6,0)*VLOOKUP('Données projet'!$B$10,Paramètres!$A$1:$I$89,7,0))</f>
        <v>8.6000000000000007E-2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60.67758456243417</v>
      </c>
      <c r="AV157" s="21">
        <f>EXP(-LN(2)/25)*AV156+(1-EXP(-LN(2)/25))/(LN(2)/25)*Calculateur!AQ157*Calculateur!AS157*VLOOKUP('Données projet'!$B$10,Paramètres!$A$1:$I$89,3,0)*0.475*44/12</f>
        <v>25.658551572560288</v>
      </c>
      <c r="AW157" s="21">
        <f>EXP(-LN(2)/2)*AW156+(1-EXP(-LN(2)/2))/(LN(2)/2)*AQ157*AT157*VLOOKUP('Données projet'!$B$10,Paramètres!$A$1:$I$89,3,0)*0.475*44/12</f>
        <v>1.746282758721192E-4</v>
      </c>
      <c r="AX157" s="21">
        <f t="shared" si="166"/>
        <v>86.336310763270333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546.49</v>
      </c>
      <c r="BB157" s="12">
        <f>VLOOKUP(A157,'Données projet'!$A$87:$I$107,9,0)</f>
        <v>9.3350000000000026</v>
      </c>
      <c r="BC157" s="12">
        <f t="array" ref="BC157">INDEX(BB:BB,MIN(IF(ISNUMBER(BB157:BB353),ROW(BB157:BB353),"")))</f>
        <v>9.3350000000000026</v>
      </c>
      <c r="BD157" s="12">
        <f>IF('Données projet'!$A$88&gt;35,BD156+BC157-BL156,IF(A157&lt;'Données projet'!$A$88,$BA$205^A157,IF(A157='Données projet'!$A$88,'Données projet'!$B$88,BD156+BC157-BL156)))</f>
        <v>546.49000000000092</v>
      </c>
      <c r="BE157" s="13">
        <f>BD157*VLOOKUP('Données projet'!$B$11,Paramètres!$A$1:$I$89,3,0)*VLOOKUP('Données projet'!$B$11,Paramètres!$A$1:$I$89,5,0)</f>
        <v>494.46415200000081</v>
      </c>
      <c r="BF157" s="13">
        <f t="shared" si="167"/>
        <v>110.68520764370523</v>
      </c>
      <c r="BG157" s="20">
        <f t="shared" si="168"/>
        <v>1053.9684680461214</v>
      </c>
      <c r="BH157" s="59">
        <f t="shared" si="116"/>
        <v>1347.3018013794547</v>
      </c>
      <c r="BI157" s="59">
        <f ca="1">AVERAGE(OFFSET($BH$3,0,0,'Données projet'!$E$11+1,1))-AVERAGE(OFFSET($H$3,0,0,'Données projet'!$E$11+1,1))</f>
        <v>573.17174498173017</v>
      </c>
      <c r="BJ157" s="59">
        <f t="shared" si="146"/>
        <v>260.48854096157231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61.050000000000011</v>
      </c>
      <c r="BM157" s="16">
        <f>IF(ISNA(VLOOKUP(A157,'Données projet'!$A$87:$I$107,5,0)),0%,VLOOKUP(A157,'Données projet'!$A$87:$I$107,5,0)*VLOOKUP('Données projet'!$B$11,Paramètres!$A$1:$I$89,7,0))</f>
        <v>0.215</v>
      </c>
      <c r="BN157" s="16">
        <f>IF(ISNA(VLOOKUP(A157,'Données projet'!$A$87:$I$107,6,0)),0%,VLOOKUP(A157,'Données projet'!$A$87:$I$107,6,0)*VLOOKUP('Données projet'!$B$11,Paramètres!$A$1:$I$89,7,0))</f>
        <v>8.6000000000000007E-2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54.143075455710473</v>
      </c>
      <c r="BQ157" s="21">
        <f>EXP(-LN(2)/25)*BQ156+(1-EXP(-LN(2)/25))/(LN(2)/25)*Calculateur!BL157*Calculateur!BN157*VLOOKUP('Données projet'!$B$11,Paramètres!$A$1:$I$89,3,0)*0.475*44/12</f>
        <v>22.895322941669175</v>
      </c>
      <c r="BR157" s="21">
        <f>EXP(-LN(2)/2)*BR156+(1-EXP(-LN(2)/2))/(LN(2)/2)*BL157*BO157*VLOOKUP('Données projet'!$B$11,Paramètres!$A$1:$I$89,3,0)*0.475*44/12</f>
        <v>1.5582215385512185E-4</v>
      </c>
      <c r="BS157" s="22">
        <f t="shared" si="169"/>
        <v>77.038554219533509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546.49</v>
      </c>
      <c r="BW157" s="12">
        <f>VLOOKUP(A157,'Données projet'!$A$113:$I$133,9,0)</f>
        <v>9.3350000000000026</v>
      </c>
      <c r="BX157" s="12">
        <f t="array" ref="BX157">INDEX(BW:BW,MIN(IF(ISNUMBER(BW157:BW353),ROW(BW157:BW353),"")))</f>
        <v>9.3350000000000026</v>
      </c>
      <c r="BY157" s="12">
        <f>IF('Données projet'!$A$114&gt;35,BY156+BX157-CG156,IF(A157&lt;'Données projet'!$A$114,$BV$205^A157,IF(A157='Données projet'!$A$114,'Données projet'!$B$114,BY156+BX157-CG156)))</f>
        <v>546.49000000000092</v>
      </c>
      <c r="BZ157" s="13">
        <f>BY157*VLOOKUP('Données projet'!$B$12,Paramètres!$A$1:$I$89,3,0)*VLOOKUP('Données projet'!$B$12,Paramètres!$A$1:$I$89,5,0)</f>
        <v>520.03988400000094</v>
      </c>
      <c r="CA157" s="13">
        <f t="shared" si="170"/>
        <v>115.72896023649152</v>
      </c>
      <c r="CB157" s="20">
        <f t="shared" si="171"/>
        <v>1107.2974037118909</v>
      </c>
      <c r="CC157" s="59">
        <f t="shared" si="119"/>
        <v>1400.6307370452241</v>
      </c>
      <c r="CD157" s="59">
        <f ca="1">AVERAGE(OFFSET($CC$3,0,0,'Données projet'!$E$12+1,1))-AVERAGE(OFFSET($H$3,0,0,'Données projet'!$E$12+1,1))</f>
        <v>603.61135046904178</v>
      </c>
      <c r="CE157" s="59">
        <f t="shared" si="148"/>
        <v>272.84936867513068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61.050000000000011</v>
      </c>
      <c r="CH157" s="16">
        <f>IF(ISNA(VLOOKUP(A157,'Données projet'!$A$113:$I$133,5,0)),0%,VLOOKUP(A157,'Données projet'!$A$113:$I$133,5,0)*VLOOKUP('Données projet'!$B$12,Paramètres!$A$1:$I$89,7,0))</f>
        <v>0.215</v>
      </c>
      <c r="CI157" s="16">
        <f>IF(ISNA(VLOOKUP(A157,'Données projet'!$A$113:$I$133,6,0)),0%,VLOOKUP(A157,'Données projet'!$A$113:$I$133,6,0)*VLOOKUP('Données projet'!$B$12,Paramètres!$A$1:$I$89,7,0))</f>
        <v>8.6000000000000007E-2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56.943579358592061</v>
      </c>
      <c r="CL157" s="21">
        <f>EXP(-LN(2)/25)*CL156+(1-EXP(-LN(2)/25))/(LN(2)/25)*Calculateur!CG157*Calculateur!CI157*VLOOKUP('Données projet'!$B$12,Paramètres!$A$1:$I$89,3,0)*0.475*44/12</f>
        <v>24.079563783479642</v>
      </c>
      <c r="CM157" s="21">
        <f>EXP(-LN(2)/2)*CM156+(1-EXP(-LN(2)/2))/(LN(2)/2)*CG157*CJ157*VLOOKUP('Données projet'!$B$12,Paramètres!$A$1:$I$89,3,0)*0.475*44/12</f>
        <v>1.6388192043383535E-4</v>
      </c>
      <c r="CN157" s="22">
        <f t="shared" si="172"/>
        <v>81.023307023992132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46.546500000000002</v>
      </c>
      <c r="D158" s="11">
        <f t="shared" si="140"/>
        <v>13.718197305007205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255.86064469845167</v>
      </c>
      <c r="H158" s="67">
        <f t="shared" si="110"/>
        <v>361.62768113955423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8.5265128291212022E-14</v>
      </c>
      <c r="O158" s="13">
        <f>N158*VLOOKUP('Données projet'!$B$9,Paramètres!$A$1:$I$89,3,0)*VLOOKUP('Données projet'!$B$9,Paramètres!$A$1:$I$89,5,0)</f>
        <v>8.9119112089974823E-14</v>
      </c>
      <c r="P158" s="13">
        <f t="shared" si="141"/>
        <v>1.3568952080113142E-12</v>
      </c>
      <c r="Q158" s="20">
        <f t="shared" si="162"/>
        <v>2.5184749408430782E-12</v>
      </c>
      <c r="R158" s="59">
        <f t="shared" si="109"/>
        <v>293.33333333333582</v>
      </c>
      <c r="S158" s="59">
        <f ca="1">AVERAGE(OFFSET($R$3,0,0,'Données projet'!$E$9+1,1))-AVERAGE(OFFSET($H$3,0,0,'Données projet'!$E$9+1,1))</f>
        <v>225.9892575177542</v>
      </c>
      <c r="T158" s="59">
        <f t="shared" si="142"/>
        <v>215.88467215650428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5.9890137191404245</v>
      </c>
      <c r="AA158" s="21">
        <f>EXP(-LN(2)/25)*AA157+(1-EXP(-LN(2)/25))/(LN(2)/25)*Calculateur!V158*Calculateur!X158*VLOOKUP('Données projet'!$B$9,Paramètres!$A$1:$I$89,3,0)*0.475*44/12</f>
        <v>9.8909196027893209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15.879933321929744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9.4880000000000049</v>
      </c>
      <c r="AI158" s="13">
        <f>IF('Données projet'!$A$62&gt;35,AI157+AH158-AQ157,IF(A158&lt;'Données projet'!$A$62,$AF$205^A158,IF(A158='Données projet'!$A$62,'Données projet'!$B$62,AI157+AH158-AQ157)))</f>
        <v>494.92800000000096</v>
      </c>
      <c r="AJ158" s="13">
        <f>AI158*VLOOKUP('Données projet'!$B$10,Paramètres!$A$1:$I$89,3,0)*VLOOKUP('Données projet'!$B$10,Paramètres!$A$1:$I$89,5,0)</f>
        <v>501.85699200000107</v>
      </c>
      <c r="AK158" s="13">
        <f t="shared" si="164"/>
        <v>112.14619280341684</v>
      </c>
      <c r="AL158" s="20">
        <f t="shared" si="165"/>
        <v>1069.3888801992859</v>
      </c>
      <c r="AM158" s="59">
        <f t="shared" si="113"/>
        <v>1362.7222135326192</v>
      </c>
      <c r="AN158" s="59">
        <f ca="1">AVERAGE(OFFSET($AM$3,0,0,'Données projet'!$E$10+1,1))-AVERAGE(OFFSET($H$3,0,0,'Données projet'!$E$10+1,1))</f>
        <v>644.15138437063933</v>
      </c>
      <c r="AO158" s="59">
        <f t="shared" si="144"/>
        <v>289.3097279858207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59.48773413883702</v>
      </c>
      <c r="AV158" s="21">
        <f>EXP(-LN(2)/25)*AV157+(1-EXP(-LN(2)/25))/(LN(2)/25)*Calculateur!AQ158*Calculateur!AS158*VLOOKUP('Données projet'!$B$10,Paramètres!$A$1:$I$89,3,0)*0.475*44/12</f>
        <v>24.956917130484044</v>
      </c>
      <c r="AW158" s="21">
        <f>EXP(-LN(2)/2)*AW157+(1-EXP(-LN(2)/2))/(LN(2)/2)*AQ158*AT158*VLOOKUP('Données projet'!$B$10,Paramètres!$A$1:$I$89,3,0)*0.475*44/12</f>
        <v>1.2348083805609065E-4</v>
      </c>
      <c r="AX158" s="21">
        <f t="shared" si="166"/>
        <v>84.444774750159127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9.4880000000000049</v>
      </c>
      <c r="BD158" s="12">
        <f>IF('Données projet'!$A$88&gt;35,BD157+BC158-BL157,IF(A158&lt;'Données projet'!$A$88,$BA$205^A158,IF(A158='Données projet'!$A$88,'Données projet'!$B$88,BD157+BC158-BL157)))</f>
        <v>494.92800000000096</v>
      </c>
      <c r="BE158" s="13">
        <f>BD158*VLOOKUP('Données projet'!$B$11,Paramètres!$A$1:$I$89,3,0)*VLOOKUP('Données projet'!$B$11,Paramètres!$A$1:$I$89,5,0)</f>
        <v>447.81085440000084</v>
      </c>
      <c r="BF158" s="13">
        <f t="shared" si="167"/>
        <v>101.40497625718913</v>
      </c>
      <c r="BG158" s="20">
        <f t="shared" si="168"/>
        <v>956.55090506127237</v>
      </c>
      <c r="BH158" s="59">
        <f t="shared" si="116"/>
        <v>1249.8842383946057</v>
      </c>
      <c r="BI158" s="59">
        <f ca="1">AVERAGE(OFFSET($BH$3,0,0,'Données projet'!$E$11+1,1))-AVERAGE(OFFSET($H$3,0,0,'Données projet'!$E$11+1,1))</f>
        <v>573.17174498173017</v>
      </c>
      <c r="BJ158" s="59">
        <f t="shared" si="146"/>
        <v>260.48854096157231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53.081362770039171</v>
      </c>
      <c r="BQ158" s="21">
        <f>EXP(-LN(2)/25)*BQ157+(1-EXP(-LN(2)/25))/(LN(2)/25)*Calculateur!BL158*Calculateur!BN158*VLOOKUP('Données projet'!$B$11,Paramètres!$A$1:$I$89,3,0)*0.475*44/12</f>
        <v>22.269249131816526</v>
      </c>
      <c r="BR158" s="21">
        <f>EXP(-LN(2)/2)*BR157+(1-EXP(-LN(2)/2))/(LN(2)/2)*BL158*BO158*VLOOKUP('Données projet'!$B$11,Paramètres!$A$1:$I$89,3,0)*0.475*44/12</f>
        <v>1.1018290165005019E-4</v>
      </c>
      <c r="BS158" s="22">
        <f t="shared" si="169"/>
        <v>75.350722084757351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9.4880000000000049</v>
      </c>
      <c r="BY158" s="12">
        <f>IF('Données projet'!$A$114&gt;35,BY157+BX158-CG157,IF(A158&lt;'Données projet'!$A$114,$BV$205^A158,IF(A158='Données projet'!$A$114,'Données projet'!$B$114,BY157+BX158-CG157)))</f>
        <v>494.92800000000096</v>
      </c>
      <c r="BZ158" s="13">
        <f>BY158*VLOOKUP('Données projet'!$B$12,Paramètres!$A$1:$I$89,3,0)*VLOOKUP('Données projet'!$B$12,Paramètres!$A$1:$I$89,5,0)</f>
        <v>470.97348480000096</v>
      </c>
      <c r="CA158" s="13">
        <f t="shared" si="170"/>
        <v>106.02584315355907</v>
      </c>
      <c r="CB158" s="20">
        <f t="shared" si="171"/>
        <v>1004.9404961857837</v>
      </c>
      <c r="CC158" s="59">
        <f t="shared" si="119"/>
        <v>1298.273829519117</v>
      </c>
      <c r="CD158" s="59">
        <f ca="1">AVERAGE(OFFSET($CC$3,0,0,'Données projet'!$E$12+1,1))-AVERAGE(OFFSET($H$3,0,0,'Données projet'!$E$12+1,1))</f>
        <v>603.61135046904178</v>
      </c>
      <c r="CE158" s="59">
        <f t="shared" si="148"/>
        <v>272.84936867513068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55.826950499523967</v>
      </c>
      <c r="CL158" s="21">
        <f>EXP(-LN(2)/25)*CL157+(1-EXP(-LN(2)/25))/(LN(2)/25)*Calculateur!CG158*Calculateur!CI158*VLOOKUP('Données projet'!$B$12,Paramètres!$A$1:$I$89,3,0)*0.475*44/12</f>
        <v>23.421106845531167</v>
      </c>
      <c r="CM158" s="21">
        <f>EXP(-LN(2)/2)*CM157+(1-EXP(-LN(2)/2))/(LN(2)/2)*CG158*CJ158*VLOOKUP('Données projet'!$B$12,Paramètres!$A$1:$I$89,3,0)*0.475*44/12</f>
        <v>1.1588201725263922E-4</v>
      </c>
      <c r="CN158" s="22">
        <f t="shared" si="172"/>
        <v>79.248173227072385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46.846800000000002</v>
      </c>
      <c r="D159" s="11">
        <f t="shared" si="140"/>
        <v>13.796370586548711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257.46749617447</v>
      </c>
      <c r="H159" s="67">
        <f t="shared" si="110"/>
        <v>362.286855438239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8.5265128291212022E-14</v>
      </c>
      <c r="O159" s="13">
        <f>N159*VLOOKUP('Données projet'!$B$9,Paramètres!$A$1:$I$89,3,0)*VLOOKUP('Données projet'!$B$9,Paramètres!$A$1:$I$89,5,0)</f>
        <v>8.9119112089974823E-14</v>
      </c>
      <c r="P159" s="13">
        <f t="shared" si="141"/>
        <v>1.3568952080113142E-12</v>
      </c>
      <c r="Q159" s="20">
        <f t="shared" si="162"/>
        <v>2.5184749408430782E-12</v>
      </c>
      <c r="R159" s="59">
        <f t="shared" si="109"/>
        <v>293.33333333333582</v>
      </c>
      <c r="S159" s="59">
        <f ca="1">AVERAGE(OFFSET($R$3,0,0,'Données projet'!$E$9+1,1))-AVERAGE(OFFSET($H$3,0,0,'Données projet'!$E$9+1,1))</f>
        <v>225.9892575177542</v>
      </c>
      <c r="T159" s="59">
        <f t="shared" si="142"/>
        <v>215.88467215650428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5.8715728130457521</v>
      </c>
      <c r="AA159" s="21">
        <f>EXP(-LN(2)/25)*AA158+(1-EXP(-LN(2)/25))/(LN(2)/25)*Calculateur!V159*Calculateur!X159*VLOOKUP('Données projet'!$B$9,Paramètres!$A$1:$I$89,3,0)*0.475*44/12</f>
        <v>9.6204518861101906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15.492024699155943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9.4880000000000049</v>
      </c>
      <c r="AI159" s="13">
        <f>IF('Données projet'!$A$62&gt;35,AI158+AH159-AQ158,IF(A159&lt;'Données projet'!$A$62,$AF$205^A159,IF(A159='Données projet'!$A$62,'Données projet'!$B$62,AI158+AH159-AQ158)))</f>
        <v>504.41600000000096</v>
      </c>
      <c r="AJ159" s="13">
        <f>AI159*VLOOKUP('Données projet'!$B$10,Paramètres!$A$1:$I$89,3,0)*VLOOKUP('Données projet'!$B$10,Paramètres!$A$1:$I$89,5,0)</f>
        <v>511.47782400000102</v>
      </c>
      <c r="AK159" s="13">
        <f t="shared" si="164"/>
        <v>114.04373524085221</v>
      </c>
      <c r="AL159" s="20">
        <f t="shared" si="165"/>
        <v>1089.4500490111525</v>
      </c>
      <c r="AM159" s="59">
        <f t="shared" si="113"/>
        <v>1382.7833823444857</v>
      </c>
      <c r="AN159" s="59">
        <f ca="1">AVERAGE(OFFSET($AM$3,0,0,'Données projet'!$E$10+1,1))-AVERAGE(OFFSET($H$3,0,0,'Données projet'!$E$10+1,1))</f>
        <v>644.15138437063933</v>
      </c>
      <c r="AO159" s="59">
        <f t="shared" si="144"/>
        <v>289.3097279858207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58.321215956309508</v>
      </c>
      <c r="AV159" s="21">
        <f>EXP(-LN(2)/25)*AV158+(1-EXP(-LN(2)/25))/(LN(2)/25)*Calculateur!AQ159*Calculateur!AS159*VLOOKUP('Données projet'!$B$10,Paramètres!$A$1:$I$89,3,0)*0.475*44/12</f>
        <v>24.274468919123727</v>
      </c>
      <c r="AW159" s="21">
        <f>EXP(-LN(2)/2)*AW158+(1-EXP(-LN(2)/2))/(LN(2)/2)*AQ159*AT159*VLOOKUP('Données projet'!$B$10,Paramètres!$A$1:$I$89,3,0)*0.475*44/12</f>
        <v>8.7314137936059599E-5</v>
      </c>
      <c r="AX159" s="21">
        <f t="shared" si="166"/>
        <v>82.595772189571179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9.4880000000000049</v>
      </c>
      <c r="BD159" s="12">
        <f>IF('Données projet'!$A$88&gt;35,BD158+BC159-BL158,IF(A159&lt;'Données projet'!$A$88,$BA$205^A159,IF(A159='Données projet'!$A$88,'Données projet'!$B$88,BD158+BC159-BL158)))</f>
        <v>504.41600000000096</v>
      </c>
      <c r="BE159" s="13">
        <f>BD159*VLOOKUP('Données projet'!$B$11,Paramètres!$A$1:$I$89,3,0)*VLOOKUP('Données projet'!$B$11,Paramètres!$A$1:$I$89,5,0)</f>
        <v>456.39559680000082</v>
      </c>
      <c r="BF159" s="13">
        <f t="shared" si="167"/>
        <v>103.12077454694855</v>
      </c>
      <c r="BG159" s="20">
        <f t="shared" si="168"/>
        <v>974.49101342927031</v>
      </c>
      <c r="BH159" s="59">
        <f t="shared" si="116"/>
        <v>1267.8243467626037</v>
      </c>
      <c r="BI159" s="59">
        <f ca="1">AVERAGE(OFFSET($BH$3,0,0,'Données projet'!$E$11+1,1))-AVERAGE(OFFSET($H$3,0,0,'Données projet'!$E$11+1,1))</f>
        <v>573.17174498173017</v>
      </c>
      <c r="BJ159" s="59">
        <f t="shared" si="146"/>
        <v>260.48854096157231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52.040469622553083</v>
      </c>
      <c r="BQ159" s="21">
        <f>EXP(-LN(2)/25)*BQ158+(1-EXP(-LN(2)/25))/(LN(2)/25)*Calculateur!BL159*Calculateur!BN159*VLOOKUP('Données projet'!$B$11,Paramètres!$A$1:$I$89,3,0)*0.475*44/12</f>
        <v>21.660295343218088</v>
      </c>
      <c r="BR159" s="21">
        <f>EXP(-LN(2)/2)*BR158+(1-EXP(-LN(2)/2))/(LN(2)/2)*BL159*BO159*VLOOKUP('Données projet'!$B$11,Paramètres!$A$1:$I$89,3,0)*0.475*44/12</f>
        <v>7.7911076927560926E-5</v>
      </c>
      <c r="BS159" s="22">
        <f t="shared" si="169"/>
        <v>73.7008428768481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9.4880000000000049</v>
      </c>
      <c r="BY159" s="12">
        <f>IF('Données projet'!$A$114&gt;35,BY158+BX159-CG158,IF(A159&lt;'Données projet'!$A$114,$BV$205^A159,IF(A159='Données projet'!$A$114,'Données projet'!$B$114,BY158+BX159-CG158)))</f>
        <v>504.41600000000096</v>
      </c>
      <c r="BZ159" s="13">
        <f>BY159*VLOOKUP('Données projet'!$B$12,Paramètres!$A$1:$I$89,3,0)*VLOOKUP('Données projet'!$B$12,Paramètres!$A$1:$I$89,5,0)</f>
        <v>480.0022656000009</v>
      </c>
      <c r="CA159" s="13">
        <f t="shared" si="170"/>
        <v>107.81982770015364</v>
      </c>
      <c r="CB159" s="20">
        <f t="shared" si="171"/>
        <v>1023.7901458311022</v>
      </c>
      <c r="CC159" s="59">
        <f t="shared" si="119"/>
        <v>1317.1234791644356</v>
      </c>
      <c r="CD159" s="59">
        <f ca="1">AVERAGE(OFFSET($CC$3,0,0,'Données projet'!$E$12+1,1))-AVERAGE(OFFSET($H$3,0,0,'Données projet'!$E$12+1,1))</f>
        <v>603.61135046904178</v>
      </c>
      <c r="CE159" s="59">
        <f t="shared" si="148"/>
        <v>272.84936867513068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54.732218051305843</v>
      </c>
      <c r="CL159" s="21">
        <f>EXP(-LN(2)/25)*CL158+(1-EXP(-LN(2)/25))/(LN(2)/25)*Calculateur!CG159*Calculateur!CI159*VLOOKUP('Données projet'!$B$12,Paramètres!$A$1:$I$89,3,0)*0.475*44/12</f>
        <v>22.780655447177637</v>
      </c>
      <c r="CM159" s="21">
        <f>EXP(-LN(2)/2)*CM158+(1-EXP(-LN(2)/2))/(LN(2)/2)*CG159*CJ159*VLOOKUP('Données projet'!$B$12,Paramètres!$A$1:$I$89,3,0)*0.475*44/12</f>
        <v>8.1940960216917688E-5</v>
      </c>
      <c r="CN159" s="22">
        <f t="shared" si="172"/>
        <v>77.512955439443701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47.147100000000002</v>
      </c>
      <c r="D160" s="11">
        <f t="shared" si="140"/>
        <v>13.87448556012902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259.07410009738993</v>
      </c>
      <c r="H160" s="67">
        <f t="shared" si="110"/>
        <v>362.9459281838914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8.5265128291212022E-14</v>
      </c>
      <c r="O160" s="13">
        <f>N160*VLOOKUP('Données projet'!$B$9,Paramètres!$A$1:$I$89,3,0)*VLOOKUP('Données projet'!$B$9,Paramètres!$A$1:$I$89,5,0)</f>
        <v>8.9119112089974823E-14</v>
      </c>
      <c r="P160" s="13">
        <f t="shared" si="141"/>
        <v>1.3568952080113142E-12</v>
      </c>
      <c r="Q160" s="20">
        <f t="shared" si="162"/>
        <v>2.5184749408430782E-12</v>
      </c>
      <c r="R160" s="59">
        <f t="shared" si="109"/>
        <v>293.33333333333582</v>
      </c>
      <c r="S160" s="59">
        <f ca="1">AVERAGE(OFFSET($R$3,0,0,'Données projet'!$E$9+1,1))-AVERAGE(OFFSET($H$3,0,0,'Données projet'!$E$9+1,1))</f>
        <v>225.9892575177542</v>
      </c>
      <c r="T160" s="59">
        <f t="shared" si="142"/>
        <v>215.88467215650428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5.7564348514877164</v>
      </c>
      <c r="AA160" s="21">
        <f>EXP(-LN(2)/25)*AA159+(1-EXP(-LN(2)/25))/(LN(2)/25)*Calculateur!V160*Calculateur!X160*VLOOKUP('Données projet'!$B$9,Paramètres!$A$1:$I$89,3,0)*0.475*44/12</f>
        <v>9.35738012336693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15.113814974854646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9.4880000000000049</v>
      </c>
      <c r="AI160" s="13">
        <f>IF('Données projet'!$A$62&gt;35,AI159+AH160-AQ159,IF(A160&lt;'Données projet'!$A$62,$AF$205^A160,IF(A160='Données projet'!$A$62,'Données projet'!$B$62,AI159+AH160-AQ159)))</f>
        <v>513.90400000000102</v>
      </c>
      <c r="AJ160" s="13">
        <f>AI160*VLOOKUP('Données projet'!$B$10,Paramètres!$A$1:$I$89,3,0)*VLOOKUP('Données projet'!$B$10,Paramètres!$A$1:$I$89,5,0)</f>
        <v>521.09865600000103</v>
      </c>
      <c r="AK160" s="13">
        <f t="shared" si="164"/>
        <v>115.93712735408282</v>
      </c>
      <c r="AL160" s="20">
        <f t="shared" si="165"/>
        <v>1109.5039893416961</v>
      </c>
      <c r="AM160" s="59">
        <f t="shared" si="113"/>
        <v>1402.8373226750293</v>
      </c>
      <c r="AN160" s="59">
        <f ca="1">AVERAGE(OFFSET($AM$3,0,0,'Données projet'!$E$10+1,1))-AVERAGE(OFFSET($H$3,0,0,'Données projet'!$E$10+1,1))</f>
        <v>644.15138437063933</v>
      </c>
      <c r="AO160" s="59">
        <f t="shared" si="144"/>
        <v>289.3097279858207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57.177572483835526</v>
      </c>
      <c r="AV160" s="21">
        <f>EXP(-LN(2)/25)*AV159+(1-EXP(-LN(2)/25))/(LN(2)/25)*Calculateur!AQ160*Calculateur!AS160*VLOOKUP('Données projet'!$B$10,Paramètres!$A$1:$I$89,3,0)*0.475*44/12</f>
        <v>23.610682289991448</v>
      </c>
      <c r="AW160" s="21">
        <f>EXP(-LN(2)/2)*AW159+(1-EXP(-LN(2)/2))/(LN(2)/2)*AQ160*AT160*VLOOKUP('Données projet'!$B$10,Paramètres!$A$1:$I$89,3,0)*0.475*44/12</f>
        <v>6.1740419028045323E-5</v>
      </c>
      <c r="AX160" s="21">
        <f t="shared" si="166"/>
        <v>80.788316514246006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9.4880000000000049</v>
      </c>
      <c r="BD160" s="12">
        <f>IF('Données projet'!$A$88&gt;35,BD159+BC160-BL159,IF(A160&lt;'Données projet'!$A$88,$BA$205^A160,IF(A160='Données projet'!$A$88,'Données projet'!$B$88,BD159+BC160-BL159)))</f>
        <v>513.90400000000102</v>
      </c>
      <c r="BE160" s="13">
        <f>BD160*VLOOKUP('Données projet'!$B$11,Paramètres!$A$1:$I$89,3,0)*VLOOKUP('Données projet'!$B$11,Paramètres!$A$1:$I$89,5,0)</f>
        <v>464.98033920000091</v>
      </c>
      <c r="BF160" s="13">
        <f t="shared" si="167"/>
        <v>104.83282002515982</v>
      </c>
      <c r="BG160" s="20">
        <f t="shared" si="168"/>
        <v>992.4245856504881</v>
      </c>
      <c r="BH160" s="59">
        <f t="shared" si="116"/>
        <v>1285.7579189838214</v>
      </c>
      <c r="BI160" s="59">
        <f ca="1">AVERAGE(OFFSET($BH$3,0,0,'Données projet'!$E$11+1,1))-AVERAGE(OFFSET($H$3,0,0,'Données projet'!$E$11+1,1))</f>
        <v>573.17174498173017</v>
      </c>
      <c r="BJ160" s="59">
        <f t="shared" si="146"/>
        <v>260.48854096157231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51.019987754807069</v>
      </c>
      <c r="BQ160" s="21">
        <f>EXP(-LN(2)/25)*BQ159+(1-EXP(-LN(2)/25))/(LN(2)/25)*Calculateur!BL160*Calculateur!BN160*VLOOKUP('Données projet'!$B$11,Paramètres!$A$1:$I$89,3,0)*0.475*44/12</f>
        <v>21.067993427992363</v>
      </c>
      <c r="BR160" s="21">
        <f>EXP(-LN(2)/2)*BR159+(1-EXP(-LN(2)/2))/(LN(2)/2)*BL160*BO160*VLOOKUP('Données projet'!$B$11,Paramètres!$A$1:$I$89,3,0)*0.475*44/12</f>
        <v>5.5091450825025096E-5</v>
      </c>
      <c r="BS160" s="22">
        <f t="shared" si="169"/>
        <v>72.088036274250257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9.4880000000000049</v>
      </c>
      <c r="BY160" s="12">
        <f>IF('Données projet'!$A$114&gt;35,BY159+BX160-CG159,IF(A160&lt;'Données projet'!$A$114,$BV$205^A160,IF(A160='Données projet'!$A$114,'Données projet'!$B$114,BY159+BX160-CG159)))</f>
        <v>513.90400000000102</v>
      </c>
      <c r="BZ160" s="13">
        <f>BY160*VLOOKUP('Données projet'!$B$12,Paramètres!$A$1:$I$89,3,0)*VLOOKUP('Données projet'!$B$12,Paramètres!$A$1:$I$89,5,0)</f>
        <v>489.03104640000095</v>
      </c>
      <c r="CA160" s="13">
        <f t="shared" si="170"/>
        <v>109.60988842542025</v>
      </c>
      <c r="CB160" s="20">
        <f t="shared" si="171"/>
        <v>1042.6329614876088</v>
      </c>
      <c r="CC160" s="59">
        <f t="shared" si="119"/>
        <v>1335.966294820942</v>
      </c>
      <c r="CD160" s="59">
        <f ca="1">AVERAGE(OFFSET($CC$3,0,0,'Données projet'!$E$12+1,1))-AVERAGE(OFFSET($H$3,0,0,'Données projet'!$E$12+1,1))</f>
        <v>603.61135046904178</v>
      </c>
      <c r="CE160" s="59">
        <f t="shared" si="148"/>
        <v>272.84936867513068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53.658952638676411</v>
      </c>
      <c r="CL160" s="21">
        <f>EXP(-LN(2)/25)*CL159+(1-EXP(-LN(2)/25))/(LN(2)/25)*Calculateur!CG160*Calculateur!CI160*VLOOKUP('Données projet'!$B$12,Paramètres!$A$1:$I$89,3,0)*0.475*44/12</f>
        <v>22.157717225991959</v>
      </c>
      <c r="CM160" s="21">
        <f>EXP(-LN(2)/2)*CM159+(1-EXP(-LN(2)/2))/(LN(2)/2)*CG160*CJ160*VLOOKUP('Données projet'!$B$12,Paramètres!$A$1:$I$89,3,0)*0.475*44/12</f>
        <v>5.7941008626319615E-5</v>
      </c>
      <c r="CN160" s="22">
        <f t="shared" si="172"/>
        <v>75.81672780567699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47.447400000000002</v>
      </c>
      <c r="D161" s="11">
        <f t="shared" si="140"/>
        <v>13.952542640217974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260.68045822689038</v>
      </c>
      <c r="H161" s="67">
        <f t="shared" si="110"/>
        <v>363.60490009837963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8.5265128291212022E-14</v>
      </c>
      <c r="O161" s="13">
        <f>N161*VLOOKUP('Données projet'!$B$9,Paramètres!$A$1:$I$89,3,0)*VLOOKUP('Données projet'!$B$9,Paramètres!$A$1:$I$89,5,0)</f>
        <v>8.9119112089974823E-14</v>
      </c>
      <c r="P161" s="13">
        <f t="shared" si="141"/>
        <v>1.3568952080113142E-12</v>
      </c>
      <c r="Q161" s="20">
        <f t="shared" si="162"/>
        <v>2.5184749408430782E-12</v>
      </c>
      <c r="R161" s="59">
        <f t="shared" si="109"/>
        <v>293.33333333333582</v>
      </c>
      <c r="S161" s="59">
        <f ca="1">AVERAGE(OFFSET($R$3,0,0,'Données projet'!$E$9+1,1))-AVERAGE(OFFSET($H$3,0,0,'Données projet'!$E$9+1,1))</f>
        <v>225.9892575177542</v>
      </c>
      <c r="T161" s="59">
        <f t="shared" si="142"/>
        <v>215.88467215650428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5.6435546751286116</v>
      </c>
      <c r="AA161" s="21">
        <f>EXP(-LN(2)/25)*AA160+(1-EXP(-LN(2)/25))/(LN(2)/25)*Calculateur!V161*Calculateur!X161*VLOOKUP('Données projet'!$B$9,Paramètres!$A$1:$I$89,3,0)*0.475*44/12</f>
        <v>9.1015020718102271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14.74505674693884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9.4880000000000049</v>
      </c>
      <c r="AI161" s="13">
        <f>IF('Données projet'!$A$62&gt;35,AI160+AH161-AQ160,IF(A161&lt;'Données projet'!$A$62,$AF$205^A161,IF(A161='Données projet'!$A$62,'Données projet'!$B$62,AI160+AH161-AQ160)))</f>
        <v>523.39200000000108</v>
      </c>
      <c r="AJ161" s="13">
        <f>AI161*VLOOKUP('Données projet'!$B$10,Paramètres!$A$1:$I$89,3,0)*VLOOKUP('Données projet'!$B$10,Paramètres!$A$1:$I$89,5,0)</f>
        <v>530.71948800000109</v>
      </c>
      <c r="AK161" s="13">
        <f t="shared" si="164"/>
        <v>117.82645460602643</v>
      </c>
      <c r="AL161" s="20">
        <f t="shared" si="165"/>
        <v>1129.5508500388312</v>
      </c>
      <c r="AM161" s="59">
        <f t="shared" si="113"/>
        <v>1422.8841833721644</v>
      </c>
      <c r="AN161" s="59">
        <f ca="1">AVERAGE(OFFSET($AM$3,0,0,'Données projet'!$E$10+1,1))-AVERAGE(OFFSET($H$3,0,0,'Données projet'!$E$10+1,1))</f>
        <v>644.15138437063933</v>
      </c>
      <c r="AO161" s="59">
        <f t="shared" si="144"/>
        <v>289.3097279858207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56.05635516230312</v>
      </c>
      <c r="AV161" s="21">
        <f>EXP(-LN(2)/25)*AV160+(1-EXP(-LN(2)/25))/(LN(2)/25)*Calculateur!AQ161*Calculateur!AS161*VLOOKUP('Données projet'!$B$10,Paramètres!$A$1:$I$89,3,0)*0.475*44/12</f>
        <v>22.965046941139814</v>
      </c>
      <c r="AW161" s="21">
        <f>EXP(-LN(2)/2)*AW160+(1-EXP(-LN(2)/2))/(LN(2)/2)*AQ161*AT161*VLOOKUP('Données projet'!$B$10,Paramètres!$A$1:$I$89,3,0)*0.475*44/12</f>
        <v>4.36570689680298E-5</v>
      </c>
      <c r="AX161" s="21">
        <f t="shared" si="166"/>
        <v>79.021445760511909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9.4880000000000049</v>
      </c>
      <c r="BD161" s="12">
        <f>IF('Données projet'!$A$88&gt;35,BD160+BC161-BL160,IF(A161&lt;'Données projet'!$A$88,$BA$205^A161,IF(A161='Données projet'!$A$88,'Données projet'!$B$88,BD160+BC161-BL160)))</f>
        <v>523.39200000000108</v>
      </c>
      <c r="BE161" s="13">
        <f>BD161*VLOOKUP('Données projet'!$B$11,Paramètres!$A$1:$I$89,3,0)*VLOOKUP('Données projet'!$B$11,Paramètres!$A$1:$I$89,5,0)</f>
        <v>473.56508160000089</v>
      </c>
      <c r="BF161" s="13">
        <f t="shared" si="167"/>
        <v>106.54118996921356</v>
      </c>
      <c r="BG161" s="20">
        <f t="shared" si="168"/>
        <v>1010.3517563163817</v>
      </c>
      <c r="BH161" s="59">
        <f t="shared" si="116"/>
        <v>1303.6850896497151</v>
      </c>
      <c r="BI161" s="59">
        <f ca="1">AVERAGE(OFFSET($BH$3,0,0,'Données projet'!$E$11+1,1))-AVERAGE(OFFSET($H$3,0,0,'Données projet'!$E$11+1,1))</f>
        <v>573.17174498173017</v>
      </c>
      <c r="BJ161" s="59">
        <f t="shared" si="146"/>
        <v>260.48854096157231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50.019516914055075</v>
      </c>
      <c r="BQ161" s="21">
        <f>EXP(-LN(2)/25)*BQ160+(1-EXP(-LN(2)/25))/(LN(2)/25)*Calculateur!BL161*Calculateur!BN161*VLOOKUP('Données projet'!$B$11,Paramètres!$A$1:$I$89,3,0)*0.475*44/12</f>
        <v>20.491888039786289</v>
      </c>
      <c r="BR161" s="21">
        <f>EXP(-LN(2)/2)*BR160+(1-EXP(-LN(2)/2))/(LN(2)/2)*BL161*BO161*VLOOKUP('Données projet'!$B$11,Paramètres!$A$1:$I$89,3,0)*0.475*44/12</f>
        <v>3.8955538463780463E-5</v>
      </c>
      <c r="BS161" s="22">
        <f t="shared" si="169"/>
        <v>70.511443909379821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9.4880000000000049</v>
      </c>
      <c r="BY161" s="12">
        <f>IF('Données projet'!$A$114&gt;35,BY160+BX161-CG160,IF(A161&lt;'Données projet'!$A$114,$BV$205^A161,IF(A161='Données projet'!$A$114,'Données projet'!$B$114,BY160+BX161-CG160)))</f>
        <v>523.39200000000108</v>
      </c>
      <c r="BZ161" s="13">
        <f>BY161*VLOOKUP('Données projet'!$B$12,Paramètres!$A$1:$I$89,3,0)*VLOOKUP('Données projet'!$B$12,Paramètres!$A$1:$I$89,5,0)</f>
        <v>498.05982720000105</v>
      </c>
      <c r="CA161" s="13">
        <f t="shared" si="170"/>
        <v>111.39610612815991</v>
      </c>
      <c r="CB161" s="20">
        <f t="shared" si="171"/>
        <v>1061.4690838798804</v>
      </c>
      <c r="CC161" s="59">
        <f t="shared" si="119"/>
        <v>1354.8024172132136</v>
      </c>
      <c r="CD161" s="59">
        <f ca="1">AVERAGE(OFFSET($CC$3,0,0,'Données projet'!$E$12+1,1))-AVERAGE(OFFSET($H$3,0,0,'Données projet'!$E$12+1,1))</f>
        <v>603.61135046904178</v>
      </c>
      <c r="CE161" s="59">
        <f t="shared" si="148"/>
        <v>272.84936867513068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52.606733306161381</v>
      </c>
      <c r="CL161" s="21">
        <f>EXP(-LN(2)/25)*CL160+(1-EXP(-LN(2)/25))/(LN(2)/25)*Calculateur!CG161*Calculateur!CI161*VLOOKUP('Données projet'!$B$12,Paramètres!$A$1:$I$89,3,0)*0.475*44/12</f>
        <v>21.551813283223503</v>
      </c>
      <c r="CM161" s="21">
        <f>EXP(-LN(2)/2)*CM160+(1-EXP(-LN(2)/2))/(LN(2)/2)*CG161*CJ161*VLOOKUP('Données projet'!$B$12,Paramètres!$A$1:$I$89,3,0)*0.475*44/12</f>
        <v>4.0970480108458851E-5</v>
      </c>
      <c r="CN161" s="22">
        <f t="shared" si="172"/>
        <v>74.158587559864998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47.747700000000002</v>
      </c>
      <c r="D162" s="11">
        <f t="shared" si="140"/>
        <v>14.030542235735554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262.28657229908782</v>
      </c>
      <c r="H162" s="67">
        <f t="shared" si="110"/>
        <v>364.2637718939061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8.5265128291212022E-14</v>
      </c>
      <c r="O162" s="13">
        <f>N162*VLOOKUP('Données projet'!$B$9,Paramètres!$A$1:$I$89,3,0)*VLOOKUP('Données projet'!$B$9,Paramètres!$A$1:$I$89,5,0)</f>
        <v>8.9119112089974823E-14</v>
      </c>
      <c r="P162" s="13">
        <f t="shared" si="141"/>
        <v>1.3568952080113142E-12</v>
      </c>
      <c r="Q162" s="20">
        <f t="shared" si="162"/>
        <v>2.5184749408430782E-12</v>
      </c>
      <c r="R162" s="59">
        <f t="shared" si="109"/>
        <v>293.33333333333582</v>
      </c>
      <c r="S162" s="59">
        <f ca="1">AVERAGE(OFFSET($R$3,0,0,'Données projet'!$E$9+1,1))-AVERAGE(OFFSET($H$3,0,0,'Données projet'!$E$9+1,1))</f>
        <v>225.9892575177542</v>
      </c>
      <c r="T162" s="59">
        <f t="shared" si="142"/>
        <v>215.88467215650428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5.5328880101777997</v>
      </c>
      <c r="AA162" s="21">
        <f>EXP(-LN(2)/25)*AA161+(1-EXP(-LN(2)/25))/(LN(2)/25)*Calculateur!V162*Calculateur!X162*VLOOKUP('Données projet'!$B$9,Paramètres!$A$1:$I$89,3,0)*0.475*44/12</f>
        <v>8.8526210190293835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14.385509029207183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9.4880000000000049</v>
      </c>
      <c r="AI162" s="13">
        <f>IF('Données projet'!$A$62&gt;35,AI161+AH162-AQ161,IF(A162&lt;'Données projet'!$A$62,$AF$205^A162,IF(A162='Données projet'!$A$62,'Données projet'!$B$62,AI161+AH162-AQ161)))</f>
        <v>532.88000000000113</v>
      </c>
      <c r="AJ162" s="13">
        <f>AI162*VLOOKUP('Données projet'!$B$10,Paramètres!$A$1:$I$89,3,0)*VLOOKUP('Données projet'!$B$10,Paramètres!$A$1:$I$89,5,0)</f>
        <v>540.34032000000116</v>
      </c>
      <c r="AK162" s="13">
        <f t="shared" si="164"/>
        <v>119.71179918365929</v>
      </c>
      <c r="AL162" s="20">
        <f t="shared" si="165"/>
        <v>1149.5907742448753</v>
      </c>
      <c r="AM162" s="59">
        <f t="shared" si="113"/>
        <v>1442.9241075782086</v>
      </c>
      <c r="AN162" s="59">
        <f ca="1">AVERAGE(OFFSET($AM$3,0,0,'Données projet'!$E$10+1,1))-AVERAGE(OFFSET($H$3,0,0,'Données projet'!$E$10+1,1))</f>
        <v>644.15138437063933</v>
      </c>
      <c r="AO162" s="59">
        <f t="shared" si="144"/>
        <v>289.3097279858207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54.957124228570926</v>
      </c>
      <c r="AV162" s="21">
        <f>EXP(-LN(2)/25)*AV161+(1-EXP(-LN(2)/25))/(LN(2)/25)*Calculateur!AQ162*Calculateur!AS162*VLOOKUP('Données projet'!$B$10,Paramètres!$A$1:$I$89,3,0)*0.475*44/12</f>
        <v>22.337066524855015</v>
      </c>
      <c r="AW162" s="21">
        <f>EXP(-LN(2)/2)*AW161+(1-EXP(-LN(2)/2))/(LN(2)/2)*AQ162*AT162*VLOOKUP('Données projet'!$B$10,Paramètres!$A$1:$I$89,3,0)*0.475*44/12</f>
        <v>3.0870209514022662E-5</v>
      </c>
      <c r="AX162" s="21">
        <f t="shared" si="166"/>
        <v>77.294221623635451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9.4880000000000049</v>
      </c>
      <c r="BD162" s="12">
        <f>IF('Données projet'!$A$88&gt;35,BD161+BC162-BL161,IF(A162&lt;'Données projet'!$A$88,$BA$205^A162,IF(A162='Données projet'!$A$88,'Données projet'!$B$88,BD161+BC162-BL161)))</f>
        <v>532.88000000000113</v>
      </c>
      <c r="BE162" s="13">
        <f>BD162*VLOOKUP('Données projet'!$B$11,Paramètres!$A$1:$I$89,3,0)*VLOOKUP('Données projet'!$B$11,Paramètres!$A$1:$I$89,5,0)</f>
        <v>482.14982400000099</v>
      </c>
      <c r="BF162" s="13">
        <f t="shared" si="167"/>
        <v>108.24595869432409</v>
      </c>
      <c r="BG162" s="20">
        <f t="shared" si="168"/>
        <v>1028.272654859283</v>
      </c>
      <c r="BH162" s="59">
        <f t="shared" si="116"/>
        <v>1321.6059881926162</v>
      </c>
      <c r="BI162" s="59">
        <f ca="1">AVERAGE(OFFSET($BH$3,0,0,'Données projet'!$E$11+1,1))-AVERAGE(OFFSET($H$3,0,0,'Données projet'!$E$11+1,1))</f>
        <v>573.17174498173017</v>
      </c>
      <c r="BJ162" s="59">
        <f t="shared" si="146"/>
        <v>260.48854096157231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49.038664696263268</v>
      </c>
      <c r="BQ162" s="21">
        <f>EXP(-LN(2)/25)*BQ161+(1-EXP(-LN(2)/25))/(LN(2)/25)*Calculateur!BL162*Calculateur!BN162*VLOOKUP('Données projet'!$B$11,Paramètres!$A$1:$I$89,3,0)*0.475*44/12</f>
        <v>19.931536283716778</v>
      </c>
      <c r="BR162" s="21">
        <f>EXP(-LN(2)/2)*BR161+(1-EXP(-LN(2)/2))/(LN(2)/2)*BL162*BO162*VLOOKUP('Données projet'!$B$11,Paramètres!$A$1:$I$89,3,0)*0.475*44/12</f>
        <v>2.7545725412512548E-5</v>
      </c>
      <c r="BS162" s="22">
        <f t="shared" si="169"/>
        <v>68.970228525705465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9.4880000000000049</v>
      </c>
      <c r="BY162" s="12">
        <f>IF('Données projet'!$A$114&gt;35,BY161+BX162-CG161,IF(A162&lt;'Données projet'!$A$114,$BV$205^A162,IF(A162='Données projet'!$A$114,'Données projet'!$B$114,BY161+BX162-CG161)))</f>
        <v>532.88000000000113</v>
      </c>
      <c r="BZ162" s="13">
        <f>BY162*VLOOKUP('Données projet'!$B$12,Paramètres!$A$1:$I$89,3,0)*VLOOKUP('Données projet'!$B$12,Paramètres!$A$1:$I$89,5,0)</f>
        <v>507.0886080000011</v>
      </c>
      <c r="CA162" s="13">
        <f t="shared" si="170"/>
        <v>113.17855851001575</v>
      </c>
      <c r="CB162" s="20">
        <f t="shared" si="171"/>
        <v>1080.2986483382792</v>
      </c>
      <c r="CC162" s="59">
        <f t="shared" si="119"/>
        <v>1373.6319816716125</v>
      </c>
      <c r="CD162" s="59">
        <f ca="1">AVERAGE(OFFSET($CC$3,0,0,'Données projet'!$E$12+1,1))-AVERAGE(OFFSET($H$3,0,0,'Données projet'!$E$12+1,1))</f>
        <v>603.61135046904178</v>
      </c>
      <c r="CE162" s="59">
        <f t="shared" si="148"/>
        <v>272.84936867513068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51.575147352966553</v>
      </c>
      <c r="CL162" s="21">
        <f>EXP(-LN(2)/25)*CL161+(1-EXP(-LN(2)/25))/(LN(2)/25)*Calculateur!CG162*Calculateur!CI162*VLOOKUP('Données projet'!$B$12,Paramètres!$A$1:$I$89,3,0)*0.475*44/12</f>
        <v>20.962477815633154</v>
      </c>
      <c r="CM162" s="21">
        <f>EXP(-LN(2)/2)*CM161+(1-EXP(-LN(2)/2))/(LN(2)/2)*CG162*CJ162*VLOOKUP('Données projet'!$B$12,Paramètres!$A$1:$I$89,3,0)*0.475*44/12</f>
        <v>2.8970504313159811E-5</v>
      </c>
      <c r="CN162" s="22">
        <f t="shared" si="172"/>
        <v>72.537654139104021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48.048000000000002</v>
      </c>
      <c r="D163" s="11">
        <f t="shared" si="140"/>
        <v>14.108484750160615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263.89244402699774</v>
      </c>
      <c r="H163" s="67">
        <f t="shared" si="110"/>
        <v>364.92254427319642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8.5265128291212022E-14</v>
      </c>
      <c r="O163" s="13">
        <f>N163*VLOOKUP('Données projet'!$B$9,Paramètres!$A$1:$I$89,3,0)*VLOOKUP('Données projet'!$B$9,Paramètres!$A$1:$I$89,5,0)</f>
        <v>8.9119112089974823E-14</v>
      </c>
      <c r="P163" s="13">
        <f t="shared" si="141"/>
        <v>1.3568952080113142E-12</v>
      </c>
      <c r="Q163" s="20">
        <f t="shared" si="162"/>
        <v>2.5184749408430782E-12</v>
      </c>
      <c r="R163" s="59">
        <f t="shared" si="109"/>
        <v>293.33333333333582</v>
      </c>
      <c r="S163" s="59">
        <f ca="1">AVERAGE(OFFSET($R$3,0,0,'Données projet'!$E$9+1,1))-AVERAGE(OFFSET($H$3,0,0,'Données projet'!$E$9+1,1))</f>
        <v>225.9892575177542</v>
      </c>
      <c r="T163" s="59">
        <f t="shared" si="142"/>
        <v>215.88467215650428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5.4243914510266729</v>
      </c>
      <c r="AA163" s="21">
        <f>EXP(-LN(2)/25)*AA162+(1-EXP(-LN(2)/25))/(LN(2)/25)*Calculateur!V163*Calculateur!X163*VLOOKUP('Données projet'!$B$9,Paramètres!$A$1:$I$89,3,0)*0.475*44/12</f>
        <v>8.6105456317249178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14.03493708275159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9.4880000000000049</v>
      </c>
      <c r="AI163" s="13">
        <f>IF('Données projet'!$A$62&gt;35,AI162+AH163-AQ162,IF(A163&lt;'Données projet'!$A$62,$AF$205^A163,IF(A163='Données projet'!$A$62,'Données projet'!$B$62,AI162+AH163-AQ162)))</f>
        <v>542.36800000000119</v>
      </c>
      <c r="AJ163" s="13">
        <f>AI163*VLOOKUP('Données projet'!$B$10,Paramètres!$A$1:$I$89,3,0)*VLOOKUP('Données projet'!$B$10,Paramètres!$A$1:$I$89,5,0)</f>
        <v>549.96115200000122</v>
      </c>
      <c r="AK163" s="13">
        <f t="shared" si="164"/>
        <v>121.59324017964097</v>
      </c>
      <c r="AL163" s="20">
        <f t="shared" si="165"/>
        <v>1169.6238997128767</v>
      </c>
      <c r="AM163" s="59">
        <f t="shared" si="113"/>
        <v>1462.9572330462099</v>
      </c>
      <c r="AN163" s="59">
        <f ca="1">AVERAGE(OFFSET($AM$3,0,0,'Données projet'!$E$10+1,1))-AVERAGE(OFFSET($H$3,0,0,'Données projet'!$E$10+1,1))</f>
        <v>644.15138437063933</v>
      </c>
      <c r="AO163" s="59">
        <f t="shared" si="144"/>
        <v>289.3097279858207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53.879448542984555</v>
      </c>
      <c r="AV163" s="21">
        <f>EXP(-LN(2)/25)*AV162+(1-EXP(-LN(2)/25))/(LN(2)/25)*Calculateur!AQ163*Calculateur!AS163*VLOOKUP('Données projet'!$B$10,Paramètres!$A$1:$I$89,3,0)*0.475*44/12</f>
        <v>21.726258266077579</v>
      </c>
      <c r="AW163" s="21">
        <f>EXP(-LN(2)/2)*AW162+(1-EXP(-LN(2)/2))/(LN(2)/2)*AQ163*AT163*VLOOKUP('Données projet'!$B$10,Paramètres!$A$1:$I$89,3,0)*0.475*44/12</f>
        <v>2.18285344840149E-5</v>
      </c>
      <c r="AX163" s="21">
        <f t="shared" si="166"/>
        <v>75.605728637596613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9.4880000000000049</v>
      </c>
      <c r="BD163" s="12">
        <f>IF('Données projet'!$A$88&gt;35,BD162+BC163-BL162,IF(A163&lt;'Données projet'!$A$88,$BA$205^A163,IF(A163='Données projet'!$A$88,'Données projet'!$B$88,BD162+BC163-BL162)))</f>
        <v>542.36800000000119</v>
      </c>
      <c r="BE163" s="13">
        <f>BD163*VLOOKUP('Données projet'!$B$11,Paramètres!$A$1:$I$89,3,0)*VLOOKUP('Données projet'!$B$11,Paramètres!$A$1:$I$89,5,0)</f>
        <v>490.73456640000109</v>
      </c>
      <c r="BF163" s="13">
        <f t="shared" si="167"/>
        <v>109.94719771775897</v>
      </c>
      <c r="BG163" s="20">
        <f t="shared" si="168"/>
        <v>1046.1874058384321</v>
      </c>
      <c r="BH163" s="59">
        <f t="shared" si="116"/>
        <v>1339.5207391717654</v>
      </c>
      <c r="BI163" s="59">
        <f ca="1">AVERAGE(OFFSET($BH$3,0,0,'Données projet'!$E$11+1,1))-AVERAGE(OFFSET($H$3,0,0,'Données projet'!$E$11+1,1))</f>
        <v>573.17174498173017</v>
      </c>
      <c r="BJ163" s="59">
        <f t="shared" si="146"/>
        <v>260.48854096157231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48.077046392201581</v>
      </c>
      <c r="BQ163" s="21">
        <f>EXP(-LN(2)/25)*BQ162+(1-EXP(-LN(2)/25))/(LN(2)/25)*Calculateur!BL163*Calculateur!BN163*VLOOKUP('Données projet'!$B$11,Paramètres!$A$1:$I$89,3,0)*0.475*44/12</f>
        <v>19.386507375884602</v>
      </c>
      <c r="BR163" s="21">
        <f>EXP(-LN(2)/2)*BR162+(1-EXP(-LN(2)/2))/(LN(2)/2)*BL163*BO163*VLOOKUP('Données projet'!$B$11,Paramètres!$A$1:$I$89,3,0)*0.475*44/12</f>
        <v>1.9477769231890232E-5</v>
      </c>
      <c r="BS163" s="22">
        <f t="shared" si="169"/>
        <v>67.463573245855414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9.4880000000000049</v>
      </c>
      <c r="BY163" s="12">
        <f>IF('Données projet'!$A$114&gt;35,BY162+BX163-CG162,IF(A163&lt;'Données projet'!$A$114,$BV$205^A163,IF(A163='Données projet'!$A$114,'Données projet'!$B$114,BY162+BX163-CG162)))</f>
        <v>542.36800000000119</v>
      </c>
      <c r="BZ163" s="13">
        <f>BY163*VLOOKUP('Données projet'!$B$12,Paramètres!$A$1:$I$89,3,0)*VLOOKUP('Données projet'!$B$12,Paramètres!$A$1:$I$89,5,0)</f>
        <v>516.11738880000109</v>
      </c>
      <c r="CA163" s="13">
        <f t="shared" si="170"/>
        <v>114.95732034718567</v>
      </c>
      <c r="CB163" s="20">
        <f t="shared" si="171"/>
        <v>1099.121785098017</v>
      </c>
      <c r="CC163" s="59">
        <f t="shared" si="119"/>
        <v>1392.4551184313502</v>
      </c>
      <c r="CD163" s="59">
        <f ca="1">AVERAGE(OFFSET($CC$3,0,0,'Données projet'!$E$12+1,1))-AVERAGE(OFFSET($H$3,0,0,'Données projet'!$E$12+1,1))</f>
        <v>603.61135046904178</v>
      </c>
      <c r="CE163" s="59">
        <f t="shared" si="148"/>
        <v>272.84936867513068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50.563790171108572</v>
      </c>
      <c r="CL163" s="21">
        <f>EXP(-LN(2)/25)*CL162+(1-EXP(-LN(2)/25))/(LN(2)/25)*Calculateur!CG163*Calculateur!CI163*VLOOKUP('Données projet'!$B$12,Paramètres!$A$1:$I$89,3,0)*0.475*44/12</f>
        <v>20.389257757395868</v>
      </c>
      <c r="CM163" s="21">
        <f>EXP(-LN(2)/2)*CM162+(1-EXP(-LN(2)/2))/(LN(2)/2)*CG163*CJ163*VLOOKUP('Données projet'!$B$12,Paramètres!$A$1:$I$89,3,0)*0.475*44/12</f>
        <v>2.0485240054229429E-5</v>
      </c>
      <c r="CN163" s="22">
        <f t="shared" si="172"/>
        <v>70.953068413744504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48.348300000000002</v>
      </c>
      <c r="D164" s="11">
        <f t="shared" si="140"/>
        <v>14.186370581636851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265.49807510098452</v>
      </c>
      <c r="H164" s="67">
        <f t="shared" si="110"/>
        <v>365.58121792968421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8.5265128291212022E-14</v>
      </c>
      <c r="O164" s="13">
        <f>N164*VLOOKUP('Données projet'!$B$9,Paramètres!$A$1:$I$89,3,0)*VLOOKUP('Données projet'!$B$9,Paramètres!$A$1:$I$89,5,0)</f>
        <v>8.9119112089974823E-14</v>
      </c>
      <c r="P164" s="13">
        <f t="shared" si="141"/>
        <v>1.3568952080113142E-12</v>
      </c>
      <c r="Q164" s="20">
        <f t="shared" si="162"/>
        <v>2.5184749408430782E-12</v>
      </c>
      <c r="R164" s="59">
        <f t="shared" si="109"/>
        <v>293.33333333333582</v>
      </c>
      <c r="S164" s="59">
        <f ca="1">AVERAGE(OFFSET($R$3,0,0,'Données projet'!$E$9+1,1))-AVERAGE(OFFSET($H$3,0,0,'Données projet'!$E$9+1,1))</f>
        <v>225.9892575177542</v>
      </c>
      <c r="T164" s="59">
        <f t="shared" si="142"/>
        <v>215.88467215650428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5.318022443224133</v>
      </c>
      <c r="AA164" s="21">
        <f>EXP(-LN(2)/25)*AA163+(1-EXP(-LN(2)/25))/(LN(2)/25)*Calculateur!V164*Calculateur!X164*VLOOKUP('Données projet'!$B$9,Paramètres!$A$1:$I$89,3,0)*0.475*44/12</f>
        <v>8.3750898086164849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13.693112251840617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9.4880000000000049</v>
      </c>
      <c r="AI164" s="13">
        <f>IF('Données projet'!$A$62&gt;35,AI163+AH164-AQ163,IF(A164&lt;'Données projet'!$A$62,$AF$205^A164,IF(A164='Données projet'!$A$62,'Données projet'!$B$62,AI163+AH164-AQ163)))</f>
        <v>551.85600000000125</v>
      </c>
      <c r="AJ164" s="13">
        <f>AI164*VLOOKUP('Données projet'!$B$10,Paramètres!$A$1:$I$89,3,0)*VLOOKUP('Données projet'!$B$10,Paramètres!$A$1:$I$89,5,0)</f>
        <v>559.58198400000128</v>
      </c>
      <c r="AK164" s="13">
        <f t="shared" si="164"/>
        <v>123.47085376087081</v>
      </c>
      <c r="AL164" s="20">
        <f t="shared" si="165"/>
        <v>1189.6503591001856</v>
      </c>
      <c r="AM164" s="59">
        <f t="shared" si="113"/>
        <v>1482.9836924335189</v>
      </c>
      <c r="AN164" s="59">
        <f ca="1">AVERAGE(OFFSET($AM$3,0,0,'Données projet'!$E$10+1,1))-AVERAGE(OFFSET($H$3,0,0,'Données projet'!$E$10+1,1))</f>
        <v>644.15138437063933</v>
      </c>
      <c r="AO164" s="59">
        <f t="shared" si="144"/>
        <v>289.3097279858207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52.822905420275269</v>
      </c>
      <c r="AV164" s="21">
        <f>EXP(-LN(2)/25)*AV163+(1-EXP(-LN(2)/25))/(LN(2)/25)*Calculateur!AQ164*Calculateur!AS164*VLOOKUP('Données projet'!$B$10,Paramètres!$A$1:$I$89,3,0)*0.475*44/12</f>
        <v>21.132152591257423</v>
      </c>
      <c r="AW164" s="21">
        <f>EXP(-LN(2)/2)*AW163+(1-EXP(-LN(2)/2))/(LN(2)/2)*AQ164*AT164*VLOOKUP('Données projet'!$B$10,Paramètres!$A$1:$I$89,3,0)*0.475*44/12</f>
        <v>1.5435104757011331E-5</v>
      </c>
      <c r="AX164" s="21">
        <f t="shared" si="166"/>
        <v>73.955073446637442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9.4880000000000049</v>
      </c>
      <c r="BD164" s="12">
        <f>IF('Données projet'!$A$88&gt;35,BD163+BC164-BL163,IF(A164&lt;'Données projet'!$A$88,$BA$205^A164,IF(A164='Données projet'!$A$88,'Données projet'!$B$88,BD163+BC164-BL163)))</f>
        <v>551.85600000000125</v>
      </c>
      <c r="BE164" s="13">
        <f>BD164*VLOOKUP('Données projet'!$B$11,Paramètres!$A$1:$I$89,3,0)*VLOOKUP('Données projet'!$B$11,Paramètres!$A$1:$I$89,5,0)</f>
        <v>499.31930880000107</v>
      </c>
      <c r="BF164" s="13">
        <f t="shared" si="167"/>
        <v>111.64497591125094</v>
      </c>
      <c r="BG164" s="20">
        <f t="shared" si="168"/>
        <v>1064.0961292054305</v>
      </c>
      <c r="BH164" s="59">
        <f t="shared" si="116"/>
        <v>1357.4294625387638</v>
      </c>
      <c r="BI164" s="59">
        <f ca="1">AVERAGE(OFFSET($BH$3,0,0,'Données projet'!$E$11+1,1))-AVERAGE(OFFSET($H$3,0,0,'Données projet'!$E$11+1,1))</f>
        <v>573.17174498173017</v>
      </c>
      <c r="BJ164" s="59">
        <f t="shared" si="146"/>
        <v>260.48854096157231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47.134284836553292</v>
      </c>
      <c r="BQ164" s="21">
        <f>EXP(-LN(2)/25)*BQ163+(1-EXP(-LN(2)/25))/(LN(2)/25)*Calculateur!BL164*Calculateur!BN164*VLOOKUP('Données projet'!$B$11,Paramètres!$A$1:$I$89,3,0)*0.475*44/12</f>
        <v>18.856382312198924</v>
      </c>
      <c r="BR164" s="21">
        <f>EXP(-LN(2)/2)*BR163+(1-EXP(-LN(2)/2))/(LN(2)/2)*BL164*BO164*VLOOKUP('Données projet'!$B$11,Paramètres!$A$1:$I$89,3,0)*0.475*44/12</f>
        <v>1.3772862706256274E-5</v>
      </c>
      <c r="BS164" s="22">
        <f t="shared" si="169"/>
        <v>65.99068092161491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9.4880000000000049</v>
      </c>
      <c r="BY164" s="12">
        <f>IF('Données projet'!$A$114&gt;35,BY163+BX164-CG163,IF(A164&lt;'Données projet'!$A$114,$BV$205^A164,IF(A164='Données projet'!$A$114,'Données projet'!$B$114,BY163+BX164-CG163)))</f>
        <v>551.85600000000125</v>
      </c>
      <c r="BZ164" s="13">
        <f>BY164*VLOOKUP('Données projet'!$B$12,Paramètres!$A$1:$I$89,3,0)*VLOOKUP('Données projet'!$B$12,Paramètres!$A$1:$I$89,5,0)</f>
        <v>525.14616960000114</v>
      </c>
      <c r="CA164" s="13">
        <f t="shared" si="170"/>
        <v>116.73246364978037</v>
      </c>
      <c r="CB164" s="20">
        <f t="shared" si="171"/>
        <v>1117.9386195767026</v>
      </c>
      <c r="CC164" s="59">
        <f t="shared" si="119"/>
        <v>1411.2719529100359</v>
      </c>
      <c r="CD164" s="59">
        <f ca="1">AVERAGE(OFFSET($CC$3,0,0,'Données projet'!$E$12+1,1))-AVERAGE(OFFSET($H$3,0,0,'Données projet'!$E$12+1,1))</f>
        <v>603.61135046904178</v>
      </c>
      <c r="CE164" s="59">
        <f t="shared" si="148"/>
        <v>272.84936867513068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49.572265086719852</v>
      </c>
      <c r="CL164" s="21">
        <f>EXP(-LN(2)/25)*CL163+(1-EXP(-LN(2)/25))/(LN(2)/25)*Calculateur!CG164*Calculateur!CI164*VLOOKUP('Données projet'!$B$12,Paramètres!$A$1:$I$89,3,0)*0.475*44/12</f>
        <v>19.831712431795413</v>
      </c>
      <c r="CM164" s="21">
        <f>EXP(-LN(2)/2)*CM163+(1-EXP(-LN(2)/2))/(LN(2)/2)*CG164*CJ164*VLOOKUP('Données projet'!$B$12,Paramètres!$A$1:$I$89,3,0)*0.475*44/12</f>
        <v>1.4485252156579909E-5</v>
      </c>
      <c r="CN164" s="22">
        <f t="shared" si="172"/>
        <v>69.403992003767414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48.648600000000002</v>
      </c>
      <c r="D165" s="11">
        <f t="shared" si="140"/>
        <v>14.264200123075998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267.10346718919993</v>
      </c>
      <c r="H165" s="67">
        <f t="shared" si="110"/>
        <v>366.23979354769068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8.5265128291212022E-14</v>
      </c>
      <c r="O165" s="13">
        <f>N165*VLOOKUP('Données projet'!$B$9,Paramètres!$A$1:$I$89,3,0)*VLOOKUP('Données projet'!$B$9,Paramètres!$A$1:$I$89,5,0)</f>
        <v>8.9119112089974823E-14</v>
      </c>
      <c r="P165" s="13">
        <f t="shared" si="141"/>
        <v>1.3568952080113142E-12</v>
      </c>
      <c r="Q165" s="20">
        <f t="shared" si="162"/>
        <v>2.5184749408430782E-12</v>
      </c>
      <c r="R165" s="59">
        <f t="shared" si="109"/>
        <v>293.33333333333582</v>
      </c>
      <c r="S165" s="59">
        <f ca="1">AVERAGE(OFFSET($R$3,0,0,'Données projet'!$E$9+1,1))-AVERAGE(OFFSET($H$3,0,0,'Données projet'!$E$9+1,1))</f>
        <v>225.9892575177542</v>
      </c>
      <c r="T165" s="59">
        <f t="shared" si="142"/>
        <v>215.88467215650428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5.2137392667859119</v>
      </c>
      <c r="AA165" s="21">
        <f>EXP(-LN(2)/25)*AA164+(1-EXP(-LN(2)/25))/(LN(2)/25)*Calculateur!V165*Calculateur!X165*VLOOKUP('Données projet'!$B$9,Paramètres!$A$1:$I$89,3,0)*0.475*44/12</f>
        <v>8.1460725373730352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13.359811804158948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9.4880000000000049</v>
      </c>
      <c r="AI165" s="13">
        <f>IF('Données projet'!$A$62&gt;35,AI164+AH165-AQ164,IF(A165&lt;'Données projet'!$A$62,$AF$205^A165,IF(A165='Données projet'!$A$62,'Données projet'!$B$62,AI164+AH165-AQ164)))</f>
        <v>561.3440000000013</v>
      </c>
      <c r="AJ165" s="13">
        <f>AI165*VLOOKUP('Données projet'!$B$10,Paramètres!$A$1:$I$89,3,0)*VLOOKUP('Données projet'!$B$10,Paramètres!$A$1:$I$89,5,0)</f>
        <v>569.20281600000135</v>
      </c>
      <c r="AK165" s="13">
        <f t="shared" si="164"/>
        <v>125.34471332512402</v>
      </c>
      <c r="AL165" s="20">
        <f t="shared" si="165"/>
        <v>1209.6702802412601</v>
      </c>
      <c r="AM165" s="59">
        <f t="shared" si="113"/>
        <v>1503.0036135745934</v>
      </c>
      <c r="AN165" s="59">
        <f ca="1">AVERAGE(OFFSET($AM$3,0,0,'Données projet'!$E$10+1,1))-AVERAGE(OFFSET($H$3,0,0,'Données projet'!$E$10+1,1))</f>
        <v>644.15138437063933</v>
      </c>
      <c r="AO165" s="59">
        <f t="shared" si="144"/>
        <v>289.3097279858207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51.787080463774636</v>
      </c>
      <c r="AV165" s="21">
        <f>EXP(-LN(2)/25)*AV164+(1-EXP(-LN(2)/25))/(LN(2)/25)*Calculateur!AQ165*Calculateur!AS165*VLOOKUP('Données projet'!$B$10,Paramètres!$A$1:$I$89,3,0)*0.475*44/12</f>
        <v>20.554292767357882</v>
      </c>
      <c r="AW165" s="21">
        <f>EXP(-LN(2)/2)*AW164+(1-EXP(-LN(2)/2))/(LN(2)/2)*AQ165*AT165*VLOOKUP('Données projet'!$B$10,Paramètres!$A$1:$I$89,3,0)*0.475*44/12</f>
        <v>1.091426724200745E-5</v>
      </c>
      <c r="AX165" s="21">
        <f t="shared" si="166"/>
        <v>72.341384145399758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9.4880000000000049</v>
      </c>
      <c r="BD165" s="12">
        <f>IF('Données projet'!$A$88&gt;35,BD164+BC165-BL164,IF(A165&lt;'Données projet'!$A$88,$BA$205^A165,IF(A165='Données projet'!$A$88,'Données projet'!$B$88,BD164+BC165-BL164)))</f>
        <v>561.3440000000013</v>
      </c>
      <c r="BE165" s="13">
        <f>BD165*VLOOKUP('Données projet'!$B$11,Paramètres!$A$1:$I$89,3,0)*VLOOKUP('Données projet'!$B$11,Paramètres!$A$1:$I$89,5,0)</f>
        <v>507.90405120000116</v>
      </c>
      <c r="BF165" s="13">
        <f t="shared" si="167"/>
        <v>113.33935964263163</v>
      </c>
      <c r="BG165" s="20">
        <f t="shared" si="168"/>
        <v>1081.9989405509189</v>
      </c>
      <c r="BH165" s="59">
        <f t="shared" si="116"/>
        <v>1375.3322738842521</v>
      </c>
      <c r="BI165" s="59">
        <f ca="1">AVERAGE(OFFSET($BH$3,0,0,'Données projet'!$E$11+1,1))-AVERAGE(OFFSET($H$3,0,0,'Données projet'!$E$11+1,1))</f>
        <v>573.17174498173017</v>
      </c>
      <c r="BJ165" s="59">
        <f t="shared" si="146"/>
        <v>260.48854096157231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46.210010259983498</v>
      </c>
      <c r="BQ165" s="21">
        <f>EXP(-LN(2)/25)*BQ164+(1-EXP(-LN(2)/25))/(LN(2)/25)*Calculateur!BL165*Calculateur!BN165*VLOOKUP('Données projet'!$B$11,Paramètres!$A$1:$I$89,3,0)*0.475*44/12</f>
        <v>18.340753546257798</v>
      </c>
      <c r="BR165" s="21">
        <f>EXP(-LN(2)/2)*BR164+(1-EXP(-LN(2)/2))/(LN(2)/2)*BL165*BO165*VLOOKUP('Données projet'!$B$11,Paramètres!$A$1:$I$89,3,0)*0.475*44/12</f>
        <v>9.7388846159451158E-6</v>
      </c>
      <c r="BS165" s="22">
        <f t="shared" si="169"/>
        <v>64.550773545125907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9.4880000000000049</v>
      </c>
      <c r="BY165" s="12">
        <f>IF('Données projet'!$A$114&gt;35,BY164+BX165-CG164,IF(A165&lt;'Données projet'!$A$114,$BV$205^A165,IF(A165='Données projet'!$A$114,'Données projet'!$B$114,BY164+BX165-CG164)))</f>
        <v>561.3440000000013</v>
      </c>
      <c r="BZ165" s="13">
        <f>BY165*VLOOKUP('Données projet'!$B$12,Paramètres!$A$1:$I$89,3,0)*VLOOKUP('Données projet'!$B$12,Paramètres!$A$1:$I$89,5,0)</f>
        <v>534.17495040000119</v>
      </c>
      <c r="CA165" s="13">
        <f t="shared" si="170"/>
        <v>118.50405780990992</v>
      </c>
      <c r="CB165" s="20">
        <f t="shared" si="171"/>
        <v>1136.7492726322619</v>
      </c>
      <c r="CC165" s="59">
        <f t="shared" si="119"/>
        <v>1430.0826059655951</v>
      </c>
      <c r="CD165" s="59">
        <f ca="1">AVERAGE(OFFSET($CC$3,0,0,'Données projet'!$E$12+1,1))-AVERAGE(OFFSET($H$3,0,0,'Données projet'!$E$12+1,1))</f>
        <v>603.61135046904178</v>
      </c>
      <c r="CE165" s="59">
        <f t="shared" si="148"/>
        <v>272.84936867513068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48.600183204465409</v>
      </c>
      <c r="CL165" s="21">
        <f>EXP(-LN(2)/25)*CL164+(1-EXP(-LN(2)/25))/(LN(2)/25)*Calculateur!CG165*Calculateur!CI165*VLOOKUP('Données projet'!$B$12,Paramètres!$A$1:$I$89,3,0)*0.475*44/12</f>
        <v>19.289413212443538</v>
      </c>
      <c r="CM165" s="21">
        <f>EXP(-LN(2)/2)*CM164+(1-EXP(-LN(2)/2))/(LN(2)/2)*CG165*CJ165*VLOOKUP('Données projet'!$B$12,Paramètres!$A$1:$I$89,3,0)*0.475*44/12</f>
        <v>1.0242620027114716E-5</v>
      </c>
      <c r="CN165" s="22">
        <f t="shared" si="172"/>
        <v>67.889606659528965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48.948900000000002</v>
      </c>
      <c r="D166" s="11">
        <f t="shared" si="140"/>
        <v>14.34197376225845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268.70862193800957</v>
      </c>
      <c r="H166" s="67">
        <f t="shared" si="110"/>
        <v>366.89827180260016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8.5265128291212022E-14</v>
      </c>
      <c r="O166" s="13">
        <f>N166*VLOOKUP('Données projet'!$B$9,Paramètres!$A$1:$I$89,3,0)*VLOOKUP('Données projet'!$B$9,Paramètres!$A$1:$I$89,5,0)</f>
        <v>8.9119112089974823E-14</v>
      </c>
      <c r="P166" s="13">
        <f t="shared" si="141"/>
        <v>1.3568952080113142E-12</v>
      </c>
      <c r="Q166" s="20">
        <f t="shared" si="162"/>
        <v>2.5184749408430782E-12</v>
      </c>
      <c r="R166" s="59">
        <f t="shared" si="109"/>
        <v>293.33333333333582</v>
      </c>
      <c r="S166" s="59">
        <f ca="1">AVERAGE(OFFSET($R$3,0,0,'Données projet'!$E$9+1,1))-AVERAGE(OFFSET($H$3,0,0,'Données projet'!$E$9+1,1))</f>
        <v>225.9892575177542</v>
      </c>
      <c r="T166" s="59">
        <f t="shared" si="142"/>
        <v>215.88467215650428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5.111501019831187</v>
      </c>
      <c r="AA166" s="21">
        <f>EXP(-LN(2)/25)*AA165+(1-EXP(-LN(2)/25))/(LN(2)/25)*Calculateur!V166*Calculateur!X166*VLOOKUP('Données projet'!$B$9,Paramètres!$A$1:$I$89,3,0)*0.475*44/12</f>
        <v>7.9233177554552325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13.03481877528642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9.4880000000000049</v>
      </c>
      <c r="AI166" s="13">
        <f>IF('Données projet'!$A$62&gt;35,AI165+AH166-AQ165,IF(A166&lt;'Données projet'!$A$62,$AF$205^A166,IF(A166='Données projet'!$A$62,'Données projet'!$B$62,AI165+AH166-AQ165)))</f>
        <v>570.83200000000136</v>
      </c>
      <c r="AJ166" s="13">
        <f>AI166*VLOOKUP('Données projet'!$B$10,Paramètres!$A$1:$I$89,3,0)*VLOOKUP('Données projet'!$B$10,Paramètres!$A$1:$I$89,5,0)</f>
        <v>578.82364800000141</v>
      </c>
      <c r="AK166" s="13">
        <f t="shared" si="164"/>
        <v>127.21488964679713</v>
      </c>
      <c r="AL166" s="20">
        <f t="shared" si="165"/>
        <v>1229.6837864015072</v>
      </c>
      <c r="AM166" s="59">
        <f t="shared" si="113"/>
        <v>1523.0171197348404</v>
      </c>
      <c r="AN166" s="59">
        <f ca="1">AVERAGE(OFFSET($AM$3,0,0,'Données projet'!$E$10+1,1))-AVERAGE(OFFSET($H$3,0,0,'Données projet'!$E$10+1,1))</f>
        <v>644.15138437063933</v>
      </c>
      <c r="AO166" s="59">
        <f t="shared" si="144"/>
        <v>289.3097279858207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50.771567402880144</v>
      </c>
      <c r="AV166" s="21">
        <f>EXP(-LN(2)/25)*AV165+(1-EXP(-LN(2)/25))/(LN(2)/25)*Calculateur!AQ166*Calculateur!AS166*VLOOKUP('Données projet'!$B$10,Paramètres!$A$1:$I$89,3,0)*0.475*44/12</f>
        <v>19.992234550731201</v>
      </c>
      <c r="AW166" s="21">
        <f>EXP(-LN(2)/2)*AW165+(1-EXP(-LN(2)/2))/(LN(2)/2)*AQ166*AT166*VLOOKUP('Données projet'!$B$10,Paramètres!$A$1:$I$89,3,0)*0.475*44/12</f>
        <v>7.7175523785056654E-6</v>
      </c>
      <c r="AX166" s="21">
        <f t="shared" si="166"/>
        <v>70.763809671163727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9.4880000000000049</v>
      </c>
      <c r="BD166" s="12">
        <f>IF('Données projet'!$A$88&gt;35,BD165+BC166-BL165,IF(A166&lt;'Données projet'!$A$88,$BA$205^A166,IF(A166='Données projet'!$A$88,'Données projet'!$B$88,BD165+BC166-BL165)))</f>
        <v>570.83200000000136</v>
      </c>
      <c r="BE166" s="13">
        <f>BD166*VLOOKUP('Données projet'!$B$11,Paramètres!$A$1:$I$89,3,0)*VLOOKUP('Données projet'!$B$11,Paramètres!$A$1:$I$89,5,0)</f>
        <v>516.48879360000115</v>
      </c>
      <c r="BF166" s="13">
        <f t="shared" si="167"/>
        <v>115.03041290761819</v>
      </c>
      <c r="BG166" s="20">
        <f t="shared" si="168"/>
        <v>1099.8959513341035</v>
      </c>
      <c r="BH166" s="59">
        <f t="shared" si="116"/>
        <v>1393.2292846674368</v>
      </c>
      <c r="BI166" s="59">
        <f ca="1">AVERAGE(OFFSET($BH$3,0,0,'Données projet'!$E$11+1,1))-AVERAGE(OFFSET($H$3,0,0,'Données projet'!$E$11+1,1))</f>
        <v>573.17174498173017</v>
      </c>
      <c r="BJ166" s="59">
        <f t="shared" si="146"/>
        <v>260.48854096157231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45.303860144108413</v>
      </c>
      <c r="BQ166" s="21">
        <f>EXP(-LN(2)/25)*BQ165+(1-EXP(-LN(2)/25))/(LN(2)/25)*Calculateur!BL166*Calculateur!BN166*VLOOKUP('Données projet'!$B$11,Paramètres!$A$1:$I$89,3,0)*0.475*44/12</f>
        <v>17.839224676037066</v>
      </c>
      <c r="BR166" s="21">
        <f>EXP(-LN(2)/2)*BR165+(1-EXP(-LN(2)/2))/(LN(2)/2)*BL166*BO166*VLOOKUP('Données projet'!$B$11,Paramètres!$A$1:$I$89,3,0)*0.475*44/12</f>
        <v>6.886431353128137E-6</v>
      </c>
      <c r="BS166" s="22">
        <f t="shared" si="169"/>
        <v>63.143091706576826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9.4880000000000049</v>
      </c>
      <c r="BY166" s="12">
        <f>IF('Données projet'!$A$114&gt;35,BY165+BX166-CG165,IF(A166&lt;'Données projet'!$A$114,$BV$205^A166,IF(A166='Données projet'!$A$114,'Données projet'!$B$114,BY165+BX166-CG165)))</f>
        <v>570.83200000000136</v>
      </c>
      <c r="BZ166" s="13">
        <f>BY166*VLOOKUP('Données projet'!$B$12,Paramètres!$A$1:$I$89,3,0)*VLOOKUP('Données projet'!$B$12,Paramètres!$A$1:$I$89,5,0)</f>
        <v>543.20373120000136</v>
      </c>
      <c r="CA166" s="13">
        <f t="shared" si="170"/>
        <v>120.27216973947687</v>
      </c>
      <c r="CB166" s="20">
        <f t="shared" si="171"/>
        <v>1155.5538608029244</v>
      </c>
      <c r="CC166" s="59">
        <f t="shared" si="119"/>
        <v>1448.8871941362577</v>
      </c>
      <c r="CD166" s="59">
        <f ca="1">AVERAGE(OFFSET($CC$3,0,0,'Données projet'!$E$12+1,1))-AVERAGE(OFFSET($H$3,0,0,'Données projet'!$E$12+1,1))</f>
        <v>603.61135046904178</v>
      </c>
      <c r="CE166" s="59">
        <f t="shared" si="148"/>
        <v>272.84936867513068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47.647163255010575</v>
      </c>
      <c r="CL166" s="21">
        <f>EXP(-LN(2)/25)*CL165+(1-EXP(-LN(2)/25))/(LN(2)/25)*Calculateur!CG166*Calculateur!CI166*VLOOKUP('Données projet'!$B$12,Paramètres!$A$1:$I$89,3,0)*0.475*44/12</f>
        <v>18.761943193763116</v>
      </c>
      <c r="CM166" s="21">
        <f>EXP(-LN(2)/2)*CM165+(1-EXP(-LN(2)/2))/(LN(2)/2)*CG166*CJ166*VLOOKUP('Données projet'!$B$12,Paramètres!$A$1:$I$89,3,0)*0.475*44/12</f>
        <v>7.2426260782899553E-6</v>
      </c>
      <c r="CN166" s="22">
        <f t="shared" si="172"/>
        <v>66.409113691399767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49.249200000000002</v>
      </c>
      <c r="D167" s="11">
        <f t="shared" si="140"/>
        <v>14.419691881931374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270.31354097241041</v>
      </c>
      <c r="H167" s="67">
        <f t="shared" si="110"/>
        <v>367.5566533610305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8.5265128291212022E-14</v>
      </c>
      <c r="O167" s="13">
        <f>N167*VLOOKUP('Données projet'!$B$9,Paramètres!$A$1:$I$89,3,0)*VLOOKUP('Données projet'!$B$9,Paramètres!$A$1:$I$89,5,0)</f>
        <v>8.9119112089974823E-14</v>
      </c>
      <c r="P167" s="13">
        <f t="shared" si="141"/>
        <v>1.3568952080113142E-12</v>
      </c>
      <c r="Q167" s="20">
        <f t="shared" si="162"/>
        <v>2.5184749408430782E-12</v>
      </c>
      <c r="R167" s="59">
        <f t="shared" si="109"/>
        <v>293.33333333333582</v>
      </c>
      <c r="S167" s="59">
        <f ca="1">AVERAGE(OFFSET($R$3,0,0,'Données projet'!$E$9+1,1))-AVERAGE(OFFSET($H$3,0,0,'Données projet'!$E$9+1,1))</f>
        <v>225.9892575177542</v>
      </c>
      <c r="T167" s="59">
        <f t="shared" si="142"/>
        <v>215.88467215650428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5.0112676025400713</v>
      </c>
      <c r="AA167" s="21">
        <f>EXP(-LN(2)/25)*AA166+(1-EXP(-LN(2)/25))/(LN(2)/25)*Calculateur!V167*Calculateur!X167*VLOOKUP('Données projet'!$B$9,Paramètres!$A$1:$I$89,3,0)*0.475*44/12</f>
        <v>7.7066542147631374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12.717921817303209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9.4880000000000049</v>
      </c>
      <c r="AH167" s="12">
        <f t="array" ref="AH167">INDEX(AG:AG,MIN(IF(ISNUMBER(AG167:AG363),ROW(AG167:AG363),"")))</f>
        <v>9.4880000000000049</v>
      </c>
      <c r="AI167" s="13">
        <f>IF('Données projet'!$A$62&gt;35,AI166+AH167-AQ166,IF(A167&lt;'Données projet'!$A$62,$AF$205^A167,IF(A167='Données projet'!$A$62,'Données projet'!$B$62,AI166+AH167-AQ166)))</f>
        <v>580.32000000000141</v>
      </c>
      <c r="AJ167" s="13">
        <f>AI167*VLOOKUP('Données projet'!$B$10,Paramètres!$A$1:$I$89,3,0)*VLOOKUP('Données projet'!$B$10,Paramètres!$A$1:$I$89,5,0)</f>
        <v>588.44448000000148</v>
      </c>
      <c r="AK167" s="13">
        <f t="shared" si="164"/>
        <v>129.08145101269025</v>
      </c>
      <c r="AL167" s="20">
        <f t="shared" si="165"/>
        <v>1249.6909965137713</v>
      </c>
      <c r="AM167" s="59">
        <f t="shared" si="113"/>
        <v>1543.0243298471046</v>
      </c>
      <c r="AN167" s="59">
        <f ca="1">AVERAGE(OFFSET($AM$3,0,0,'Données projet'!$E$10+1,1))-AVERAGE(OFFSET($H$3,0,0,'Données projet'!$E$10+1,1))</f>
        <v>644.15138437063933</v>
      </c>
      <c r="AO167" s="59">
        <f t="shared" si="144"/>
        <v>289.3097279858207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66.020000000000095</v>
      </c>
      <c r="AR167" s="16">
        <f>IF(ISNA(VLOOKUP(A167,'Données projet'!$A$61:$I$81,5,0)),0%,VLOOKUP(A167,'Données projet'!$A$61:$I$81,5,0)*VLOOKUP('Données projet'!$B$10,Paramètres!$A$1:$I$89,7,0))</f>
        <v>0.215</v>
      </c>
      <c r="AS167" s="16">
        <f>IF(ISNA(VLOOKUP(A167,'Données projet'!$A$61:$I$81,6,0)),0%,VLOOKUP(A167,'Données projet'!$A$61:$I$81,6,0)*VLOOKUP('Données projet'!$B$10,Paramètres!$A$1:$I$89,7,0))</f>
        <v>8.6000000000000007E-2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65.687025436827426</v>
      </c>
      <c r="AV167" s="21">
        <f>EXP(-LN(2)/25)*AV166+(1-EXP(-LN(2)/25))/(LN(2)/25)*Calculateur!AQ167*Calculateur!AS167*VLOOKUP('Données projet'!$B$10,Paramètres!$A$1:$I$89,3,0)*0.475*44/12</f>
        <v>25.784909688452114</v>
      </c>
      <c r="AW167" s="21">
        <f>EXP(-LN(2)/2)*AW166+(1-EXP(-LN(2)/2))/(LN(2)/2)*AQ167*AT167*VLOOKUP('Données projet'!$B$10,Paramètres!$A$1:$I$89,3,0)*0.475*44/12</f>
        <v>5.4571336210037249E-6</v>
      </c>
      <c r="AX167" s="21">
        <f t="shared" si="166"/>
        <v>91.471940582413168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580.32000000000005</v>
      </c>
      <c r="BB167" s="12">
        <f>VLOOKUP(A167,'Données projet'!$A$87:$I$107,9,0)</f>
        <v>9.4880000000000049</v>
      </c>
      <c r="BC167" s="12">
        <f t="array" ref="BC167">INDEX(BB:BB,MIN(IF(ISNUMBER(BB167:BB363),ROW(BB167:BB363),"")))</f>
        <v>9.4880000000000049</v>
      </c>
      <c r="BD167" s="12">
        <f>IF('Données projet'!$A$88&gt;35,BD166+BC167-BL166,IF(A167&lt;'Données projet'!$A$88,$BA$205^A167,IF(A167='Données projet'!$A$88,'Données projet'!$B$88,BD166+BC167-BL166)))</f>
        <v>580.32000000000141</v>
      </c>
      <c r="BE167" s="13">
        <f>BD167*VLOOKUP('Données projet'!$B$11,Paramètres!$A$1:$I$89,3,0)*VLOOKUP('Données projet'!$B$11,Paramètres!$A$1:$I$89,5,0)</f>
        <v>525.07353600000124</v>
      </c>
      <c r="BF167" s="13">
        <f t="shared" si="167"/>
        <v>116.71819745258949</v>
      </c>
      <c r="BG167" s="20">
        <f t="shared" si="168"/>
        <v>1117.7872690965953</v>
      </c>
      <c r="BH167" s="59">
        <f t="shared" si="116"/>
        <v>1411.1206024299286</v>
      </c>
      <c r="BI167" s="59">
        <f ca="1">AVERAGE(OFFSET($BH$3,0,0,'Données projet'!$E$11+1,1))-AVERAGE(OFFSET($H$3,0,0,'Données projet'!$E$11+1,1))</f>
        <v>573.17174498173017</v>
      </c>
      <c r="BJ167" s="59">
        <f t="shared" si="146"/>
        <v>260.48854096157231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66.020000000000095</v>
      </c>
      <c r="BM167" s="16">
        <f>IF(ISNA(VLOOKUP(A167,'Données projet'!$A$87:$I$107,5,0)),0%,VLOOKUP(A167,'Données projet'!$A$87:$I$107,5,0)*VLOOKUP('Données projet'!$B$11,Paramètres!$A$1:$I$89,7,0))</f>
        <v>0.215</v>
      </c>
      <c r="BN167" s="16">
        <f>IF(ISNA(VLOOKUP(A167,'Données projet'!$A$87:$I$107,6,0)),0%,VLOOKUP(A167,'Données projet'!$A$87:$I$107,6,0)*VLOOKUP('Données projet'!$B$11,Paramètres!$A$1:$I$89,7,0))</f>
        <v>8.6000000000000007E-2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58.613038082092139</v>
      </c>
      <c r="BQ167" s="21">
        <f>EXP(-LN(2)/25)*BQ166+(1-EXP(-LN(2)/25))/(LN(2)/25)*Calculateur!BL167*Calculateur!BN167*VLOOKUP('Données projet'!$B$11,Paramètres!$A$1:$I$89,3,0)*0.475*44/12</f>
        <v>23.008073260464958</v>
      </c>
      <c r="BR167" s="21">
        <f>EXP(-LN(2)/2)*BR166+(1-EXP(-LN(2)/2))/(LN(2)/2)*BL167*BO167*VLOOKUP('Données projet'!$B$11,Paramètres!$A$1:$I$89,3,0)*0.475*44/12</f>
        <v>4.8694423079725579E-6</v>
      </c>
      <c r="BS167" s="22">
        <f t="shared" si="169"/>
        <v>81.621116211999407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580.32000000000005</v>
      </c>
      <c r="BW167" s="12">
        <f>VLOOKUP(A167,'Données projet'!$A$113:$I$133,9,0)</f>
        <v>9.4880000000000049</v>
      </c>
      <c r="BX167" s="12">
        <f t="array" ref="BX167">INDEX(BW:BW,MIN(IF(ISNUMBER(BW167:BW363),ROW(BW167:BW363),"")))</f>
        <v>9.4880000000000049</v>
      </c>
      <c r="BY167" s="12">
        <f>IF('Données projet'!$A$114&gt;35,BY166+BX167-CG166,IF(A167&lt;'Données projet'!$A$114,$BV$205^A167,IF(A167='Données projet'!$A$114,'Données projet'!$B$114,BY166+BX167-CG166)))</f>
        <v>580.32000000000141</v>
      </c>
      <c r="BZ167" s="13">
        <f>BY167*VLOOKUP('Données projet'!$B$12,Paramètres!$A$1:$I$89,3,0)*VLOOKUP('Données projet'!$B$12,Paramètres!$A$1:$I$89,5,0)</f>
        <v>552.23251200000141</v>
      </c>
      <c r="CA167" s="13">
        <f t="shared" si="170"/>
        <v>122.03686399854614</v>
      </c>
      <c r="CB167" s="20">
        <f t="shared" si="171"/>
        <v>1174.3524965308034</v>
      </c>
      <c r="CC167" s="59">
        <f t="shared" si="119"/>
        <v>1467.6858298641366</v>
      </c>
      <c r="CD167" s="59">
        <f ca="1">AVERAGE(OFFSET($CC$3,0,0,'Données projet'!$E$12+1,1))-AVERAGE(OFFSET($H$3,0,0,'Données projet'!$E$12+1,1))</f>
        <v>603.61135046904178</v>
      </c>
      <c r="CE167" s="59">
        <f t="shared" si="148"/>
        <v>272.84936867513068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66.020000000000095</v>
      </c>
      <c r="CH167" s="16">
        <f>IF(ISNA(VLOOKUP(A167,'Données projet'!$A$113:$I$133,5,0)),0%,VLOOKUP(A167,'Données projet'!$A$113:$I$133,5,0)*VLOOKUP('Données projet'!$B$12,Paramètres!$A$1:$I$89,7,0))</f>
        <v>0.215</v>
      </c>
      <c r="CI167" s="16">
        <f>IF(ISNA(VLOOKUP(A167,'Données projet'!$A$113:$I$133,6,0)),0%,VLOOKUP(A167,'Données projet'!$A$113:$I$133,6,0)*VLOOKUP('Données projet'!$B$12,Paramètres!$A$1:$I$89,7,0))</f>
        <v>8.6000000000000007E-2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61.644746948407253</v>
      </c>
      <c r="CL167" s="21">
        <f>EXP(-LN(2)/25)*CL166+(1-EXP(-LN(2)/25))/(LN(2)/25)*Calculateur!CG167*Calculateur!CI167*VLOOKUP('Données projet'!$B$12,Paramètres!$A$1:$I$89,3,0)*0.475*44/12</f>
        <v>24.198146015316592</v>
      </c>
      <c r="CM167" s="21">
        <f>EXP(-LN(2)/2)*CM166+(1-EXP(-LN(2)/2))/(LN(2)/2)*CG167*CJ167*VLOOKUP('Données projet'!$B$12,Paramètres!$A$1:$I$89,3,0)*0.475*44/12</f>
        <v>5.1213100135573589E-6</v>
      </c>
      <c r="CN167" s="22">
        <f t="shared" si="172"/>
        <v>85.842898085033852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49.549500000000002</v>
      </c>
      <c r="D168" s="11">
        <f t="shared" si="140"/>
        <v>14.497354859904272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271.91822589643573</v>
      </c>
      <c r="H168" s="67">
        <f t="shared" si="110"/>
        <v>368.21493888099997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8.5265128291212022E-14</v>
      </c>
      <c r="O168" s="13">
        <f>N168*VLOOKUP('Données projet'!$B$9,Paramètres!$A$1:$I$89,3,0)*VLOOKUP('Données projet'!$B$9,Paramètres!$A$1:$I$89,5,0)</f>
        <v>8.9119112089974823E-14</v>
      </c>
      <c r="P168" s="13">
        <f t="shared" si="141"/>
        <v>1.3568952080113142E-12</v>
      </c>
      <c r="Q168" s="20">
        <f t="shared" si="162"/>
        <v>2.5184749408430782E-12</v>
      </c>
      <c r="R168" s="59">
        <f t="shared" si="109"/>
        <v>293.33333333333582</v>
      </c>
      <c r="S168" s="59">
        <f ca="1">AVERAGE(OFFSET($R$3,0,0,'Données projet'!$E$9+1,1))-AVERAGE(OFFSET($H$3,0,0,'Données projet'!$E$9+1,1))</f>
        <v>225.9892575177542</v>
      </c>
      <c r="T168" s="59">
        <f t="shared" si="142"/>
        <v>215.88467215650428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4.9129997014256865</v>
      </c>
      <c r="AA168" s="21">
        <f>EXP(-LN(2)/25)*AA167+(1-EXP(-LN(2)/25))/(LN(2)/25)*Calculateur!V168*Calculateur!X168*VLOOKUP('Données projet'!$B$9,Paramètres!$A$1:$I$89,3,0)*0.475*44/12</f>
        <v>7.4959153499851077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12.408915051410794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9.6220000000000034</v>
      </c>
      <c r="AI168" s="13">
        <f>IF('Données projet'!$A$62&gt;35,AI167+AH168-AQ167,IF(A168&lt;'Données projet'!$A$62,$AF$205^A168,IF(A168='Données projet'!$A$62,'Données projet'!$B$62,AI167+AH168-AQ167)))</f>
        <v>523.92200000000128</v>
      </c>
      <c r="AJ168" s="13">
        <f>AI168*VLOOKUP('Données projet'!$B$10,Paramètres!$A$1:$I$89,3,0)*VLOOKUP('Données projet'!$B$10,Paramètres!$A$1:$I$89,5,0)</f>
        <v>531.25690800000132</v>
      </c>
      <c r="AK168" s="13">
        <f t="shared" si="164"/>
        <v>117.93187429253524</v>
      </c>
      <c r="AL168" s="20">
        <f t="shared" si="165"/>
        <v>1130.6704624928343</v>
      </c>
      <c r="AM168" s="59">
        <f t="shared" si="113"/>
        <v>1424.0037958261676</v>
      </c>
      <c r="AN168" s="59">
        <f ca="1">AVERAGE(OFFSET($AM$3,0,0,'Données projet'!$E$10+1,1))-AVERAGE(OFFSET($H$3,0,0,'Données projet'!$E$10+1,1))</f>
        <v>644.15138437063933</v>
      </c>
      <c r="AO168" s="59">
        <f t="shared" si="144"/>
        <v>289.3097279858207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64.39894293314066</v>
      </c>
      <c r="AV168" s="21">
        <f>EXP(-LN(2)/25)*AV167+(1-EXP(-LN(2)/25))/(LN(2)/25)*Calculateur!AQ168*Calculateur!AS168*VLOOKUP('Données projet'!$B$10,Paramètres!$A$1:$I$89,3,0)*0.475*44/12</f>
        <v>25.079819977051923</v>
      </c>
      <c r="AW168" s="21">
        <f>EXP(-LN(2)/2)*AW167+(1-EXP(-LN(2)/2))/(LN(2)/2)*AQ168*AT168*VLOOKUP('Données projet'!$B$10,Paramètres!$A$1:$I$89,3,0)*0.475*44/12</f>
        <v>3.8587761892528327E-6</v>
      </c>
      <c r="AX168" s="21">
        <f t="shared" si="166"/>
        <v>89.478766768968782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9.6220000000000034</v>
      </c>
      <c r="BD168" s="12">
        <f>IF('Données projet'!$A$88&gt;35,BD167+BC168-BL167,IF(A168&lt;'Données projet'!$A$88,$BA$205^A168,IF(A168='Données projet'!$A$88,'Données projet'!$B$88,BD167+BC168-BL167)))</f>
        <v>523.92200000000128</v>
      </c>
      <c r="BE168" s="13">
        <f>BD168*VLOOKUP('Données projet'!$B$11,Paramètres!$A$1:$I$89,3,0)*VLOOKUP('Données projet'!$B$11,Paramètres!$A$1:$I$89,5,0)</f>
        <v>474.04462560000115</v>
      </c>
      <c r="BF168" s="13">
        <f t="shared" si="167"/>
        <v>106.63651269520395</v>
      </c>
      <c r="BG168" s="20">
        <f t="shared" si="168"/>
        <v>1011.3529825308154</v>
      </c>
      <c r="BH168" s="59">
        <f t="shared" si="116"/>
        <v>1304.6863158641488</v>
      </c>
      <c r="BI168" s="59">
        <f ca="1">AVERAGE(OFFSET($BH$3,0,0,'Données projet'!$E$11+1,1))-AVERAGE(OFFSET($H$3,0,0,'Données projet'!$E$11+1,1))</f>
        <v>573.17174498173017</v>
      </c>
      <c r="BJ168" s="59">
        <f t="shared" si="146"/>
        <v>260.48854096157231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57.463672155725483</v>
      </c>
      <c r="BQ168" s="21">
        <f>EXP(-LN(2)/25)*BQ167+(1-EXP(-LN(2)/25))/(LN(2)/25)*Calculateur!BL168*Calculateur!BN168*VLOOKUP('Données projet'!$B$11,Paramètres!$A$1:$I$89,3,0)*0.475*44/12</f>
        <v>22.378916287215556</v>
      </c>
      <c r="BR168" s="21">
        <f>EXP(-LN(2)/2)*BR167+(1-EXP(-LN(2)/2))/(LN(2)/2)*BL168*BO168*VLOOKUP('Données projet'!$B$11,Paramètres!$A$1:$I$89,3,0)*0.475*44/12</f>
        <v>3.4432156765640685E-6</v>
      </c>
      <c r="BS168" s="22">
        <f t="shared" si="169"/>
        <v>79.842591886156711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9.6220000000000034</v>
      </c>
      <c r="BY168" s="12">
        <f>IF('Données projet'!$A$114&gt;35,BY167+BX168-CG167,IF(A168&lt;'Données projet'!$A$114,$BV$205^A168,IF(A168='Données projet'!$A$114,'Données projet'!$B$114,BY167+BX168-CG167)))</f>
        <v>523.92200000000128</v>
      </c>
      <c r="BZ168" s="13">
        <f>BY168*VLOOKUP('Données projet'!$B$12,Paramètres!$A$1:$I$89,3,0)*VLOOKUP('Données projet'!$B$12,Paramètres!$A$1:$I$89,5,0)</f>
        <v>498.56417520000116</v>
      </c>
      <c r="CA168" s="13">
        <f t="shared" si="170"/>
        <v>111.49577256237113</v>
      </c>
      <c r="CB168" s="20">
        <f t="shared" si="171"/>
        <v>1062.5210756861318</v>
      </c>
      <c r="CC168" s="59">
        <f t="shared" si="119"/>
        <v>1355.854409019465</v>
      </c>
      <c r="CD168" s="59">
        <f ca="1">AVERAGE(OFFSET($CC$3,0,0,'Données projet'!$E$12+1,1))-AVERAGE(OFFSET($H$3,0,0,'Données projet'!$E$12+1,1))</f>
        <v>603.61135046904178</v>
      </c>
      <c r="CE168" s="59">
        <f t="shared" si="148"/>
        <v>272.84936867513068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60.435931060331974</v>
      </c>
      <c r="CL168" s="21">
        <f>EXP(-LN(2)/25)*CL167+(1-EXP(-LN(2)/25))/(LN(2)/25)*Calculateur!CG168*Calculateur!CI168*VLOOKUP('Données projet'!$B$12,Paramètres!$A$1:$I$89,3,0)*0.475*44/12</f>
        <v>23.536446440002567</v>
      </c>
      <c r="CM168" s="21">
        <f>EXP(-LN(2)/2)*CM167+(1-EXP(-LN(2)/2))/(LN(2)/2)*CG168*CJ168*VLOOKUP('Données projet'!$B$12,Paramètres!$A$1:$I$89,3,0)*0.475*44/12</f>
        <v>3.6213130391449785E-6</v>
      </c>
      <c r="CN168" s="22">
        <f t="shared" si="172"/>
        <v>83.972381121647587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49.849800000000002</v>
      </c>
      <c r="D169" s="11">
        <f t="shared" si="140"/>
        <v>14.574963069142246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273.52267829355134</v>
      </c>
      <c r="H169" s="67">
        <f t="shared" si="110"/>
        <v>368.87312901208941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8.5265128291212022E-14</v>
      </c>
      <c r="O169" s="13">
        <f>N169*VLOOKUP('Données projet'!$B$9,Paramètres!$A$1:$I$89,3,0)*VLOOKUP('Données projet'!$B$9,Paramètres!$A$1:$I$89,5,0)</f>
        <v>8.9119112089974823E-14</v>
      </c>
      <c r="P169" s="13">
        <f t="shared" si="141"/>
        <v>1.3568952080113142E-12</v>
      </c>
      <c r="Q169" s="20">
        <f t="shared" si="162"/>
        <v>2.5184749408430782E-12</v>
      </c>
      <c r="R169" s="59">
        <f t="shared" si="109"/>
        <v>293.33333333333582</v>
      </c>
      <c r="S169" s="59">
        <f ca="1">AVERAGE(OFFSET($R$3,0,0,'Données projet'!$E$9+1,1))-AVERAGE(OFFSET($H$3,0,0,'Données projet'!$E$9+1,1))</f>
        <v>225.9892575177542</v>
      </c>
      <c r="T169" s="59">
        <f t="shared" si="142"/>
        <v>215.88467215650428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4.8166587739146536</v>
      </c>
      <c r="AA169" s="21">
        <f>EXP(-LN(2)/25)*AA168+(1-EXP(-LN(2)/25))/(LN(2)/25)*Calculateur!V169*Calculateur!X169*VLOOKUP('Données projet'!$B$9,Paramètres!$A$1:$I$89,3,0)*0.475*44/12</f>
        <v>7.2909391505467092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12.107597924461363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9.6220000000000034</v>
      </c>
      <c r="AI169" s="13">
        <f>IF('Données projet'!$A$62&gt;35,AI168+AH169-AQ168,IF(A169&lt;'Données projet'!$A$62,$AF$205^A169,IF(A169='Données projet'!$A$62,'Données projet'!$B$62,AI168+AH169-AQ168)))</f>
        <v>533.54400000000123</v>
      </c>
      <c r="AJ169" s="13">
        <f>AI169*VLOOKUP('Données projet'!$B$10,Paramètres!$A$1:$I$89,3,0)*VLOOKUP('Données projet'!$B$10,Paramètres!$A$1:$I$89,5,0)</f>
        <v>541.01361600000132</v>
      </c>
      <c r="AK169" s="13">
        <f t="shared" si="164"/>
        <v>119.84359445909256</v>
      </c>
      <c r="AL169" s="20">
        <f t="shared" si="165"/>
        <v>1150.9929748829218</v>
      </c>
      <c r="AM169" s="59">
        <f t="shared" si="113"/>
        <v>1444.326308216255</v>
      </c>
      <c r="AN169" s="59">
        <f ca="1">AVERAGE(OFFSET($AM$3,0,0,'Données projet'!$E$10+1,1))-AVERAGE(OFFSET($H$3,0,0,'Données projet'!$E$10+1,1))</f>
        <v>644.15138437063933</v>
      </c>
      <c r="AO169" s="59">
        <f t="shared" si="144"/>
        <v>289.3097279858207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63.136118941698435</v>
      </c>
      <c r="AV169" s="21">
        <f>EXP(-LN(2)/25)*AV168+(1-EXP(-LN(2)/25))/(LN(2)/25)*Calculateur!AQ169*Calculateur!AS169*VLOOKUP('Données projet'!$B$10,Paramètres!$A$1:$I$89,3,0)*0.475*44/12</f>
        <v>24.394010980889025</v>
      </c>
      <c r="AW169" s="21">
        <f>EXP(-LN(2)/2)*AW168+(1-EXP(-LN(2)/2))/(LN(2)/2)*AQ169*AT169*VLOOKUP('Données projet'!$B$10,Paramètres!$A$1:$I$89,3,0)*0.475*44/12</f>
        <v>2.7285668105018625E-6</v>
      </c>
      <c r="AX169" s="21">
        <f t="shared" si="166"/>
        <v>87.530132651154275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9.6220000000000034</v>
      </c>
      <c r="BD169" s="12">
        <f>IF('Données projet'!$A$88&gt;35,BD168+BC169-BL168,IF(A169&lt;'Données projet'!$A$88,$BA$205^A169,IF(A169='Données projet'!$A$88,'Données projet'!$B$88,BD168+BC169-BL168)))</f>
        <v>533.54400000000123</v>
      </c>
      <c r="BE169" s="13">
        <f>BD169*VLOOKUP('Données projet'!$B$11,Paramètres!$A$1:$I$89,3,0)*VLOOKUP('Données projet'!$B$11,Paramètres!$A$1:$I$89,5,0)</f>
        <v>482.75061120000112</v>
      </c>
      <c r="BF169" s="13">
        <f t="shared" si="167"/>
        <v>108.36513078962237</v>
      </c>
      <c r="BG169" s="20">
        <f t="shared" si="168"/>
        <v>1029.5265839652609</v>
      </c>
      <c r="BH169" s="59">
        <f t="shared" si="116"/>
        <v>1322.8599172985942</v>
      </c>
      <c r="BI169" s="59">
        <f ca="1">AVERAGE(OFFSET($BH$3,0,0,'Données projet'!$E$11+1,1))-AVERAGE(OFFSET($H$3,0,0,'Données projet'!$E$11+1,1))</f>
        <v>573.17174498173017</v>
      </c>
      <c r="BJ169" s="59">
        <f t="shared" si="146"/>
        <v>260.48854096157231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56.336844594130881</v>
      </c>
      <c r="BQ169" s="21">
        <f>EXP(-LN(2)/25)*BQ168+(1-EXP(-LN(2)/25))/(LN(2)/25)*Calculateur!BL169*Calculateur!BN169*VLOOKUP('Données projet'!$B$11,Paramètres!$A$1:$I$89,3,0)*0.475*44/12</f>
        <v>21.766963644485589</v>
      </c>
      <c r="BR169" s="21">
        <f>EXP(-LN(2)/2)*BR168+(1-EXP(-LN(2)/2))/(LN(2)/2)*BL169*BO169*VLOOKUP('Données projet'!$B$11,Paramètres!$A$1:$I$89,3,0)*0.475*44/12</f>
        <v>2.434721153986279E-6</v>
      </c>
      <c r="BS169" s="22">
        <f t="shared" si="169"/>
        <v>78.10381067333762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9.6220000000000034</v>
      </c>
      <c r="BY169" s="12">
        <f>IF('Données projet'!$A$114&gt;35,BY168+BX169-CG168,IF(A169&lt;'Données projet'!$A$114,$BV$205^A169,IF(A169='Données projet'!$A$114,'Données projet'!$B$114,BY168+BX169-CG168)))</f>
        <v>533.54400000000123</v>
      </c>
      <c r="BZ169" s="13">
        <f>BY169*VLOOKUP('Données projet'!$B$12,Paramètres!$A$1:$I$89,3,0)*VLOOKUP('Données projet'!$B$12,Paramètres!$A$1:$I$89,5,0)</f>
        <v>507.72047040000115</v>
      </c>
      <c r="CA169" s="13">
        <f t="shared" si="170"/>
        <v>113.30316109216449</v>
      </c>
      <c r="CB169" s="20">
        <f t="shared" si="171"/>
        <v>1081.6161581821882</v>
      </c>
      <c r="CC169" s="59">
        <f t="shared" si="119"/>
        <v>1374.9494915155215</v>
      </c>
      <c r="CD169" s="59">
        <f ca="1">AVERAGE(OFFSET($CC$3,0,0,'Données projet'!$E$12+1,1))-AVERAGE(OFFSET($H$3,0,0,'Données projet'!$E$12+1,1))</f>
        <v>603.61135046904178</v>
      </c>
      <c r="CE169" s="59">
        <f t="shared" si="148"/>
        <v>272.84936867513068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59.25081931451696</v>
      </c>
      <c r="CL169" s="21">
        <f>EXP(-LN(2)/25)*CL168+(1-EXP(-LN(2)/25))/(LN(2)/25)*Calculateur!CG169*Calculateur!CI169*VLOOKUP('Données projet'!$B$12,Paramètres!$A$1:$I$89,3,0)*0.475*44/12</f>
        <v>22.892841074372772</v>
      </c>
      <c r="CM169" s="21">
        <f>EXP(-LN(2)/2)*CM168+(1-EXP(-LN(2)/2))/(LN(2)/2)*CG169*CJ169*VLOOKUP('Données projet'!$B$12,Paramètres!$A$1:$I$89,3,0)*0.475*44/12</f>
        <v>2.5606550067786799E-6</v>
      </c>
      <c r="CN169" s="22">
        <f t="shared" si="172"/>
        <v>82.143662949544733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50.150100000000002</v>
      </c>
      <c r="D170" s="11">
        <f t="shared" si="140"/>
        <v>14.65251687785689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275.12689972704158</v>
      </c>
      <c r="H170" s="67">
        <f t="shared" si="110"/>
        <v>369.53122439560076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8.5265128291212022E-14</v>
      </c>
      <c r="O170" s="13">
        <f>N170*VLOOKUP('Données projet'!$B$9,Paramètres!$A$1:$I$89,3,0)*VLOOKUP('Données projet'!$B$9,Paramètres!$A$1:$I$89,5,0)</f>
        <v>8.9119112089974823E-14</v>
      </c>
      <c r="P170" s="13">
        <f t="shared" si="141"/>
        <v>1.3568952080113142E-12</v>
      </c>
      <c r="Q170" s="20">
        <f t="shared" si="162"/>
        <v>2.5184749408430782E-12</v>
      </c>
      <c r="R170" s="59">
        <f t="shared" si="109"/>
        <v>293.33333333333582</v>
      </c>
      <c r="S170" s="59">
        <f ca="1">AVERAGE(OFFSET($R$3,0,0,'Données projet'!$E$9+1,1))-AVERAGE(OFFSET($H$3,0,0,'Données projet'!$E$9+1,1))</f>
        <v>225.9892575177542</v>
      </c>
      <c r="T170" s="59">
        <f t="shared" si="142"/>
        <v>215.88467215650428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4.7222070332299486</v>
      </c>
      <c r="AA170" s="21">
        <f>EXP(-LN(2)/25)*AA169+(1-EXP(-LN(2)/25))/(LN(2)/25)*Calculateur!V170*Calculateur!X170*VLOOKUP('Données projet'!$B$9,Paramètres!$A$1:$I$89,3,0)*0.475*44/12</f>
        <v>7.091568036061183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11.813775069291133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9.6220000000000034</v>
      </c>
      <c r="AI170" s="13">
        <f>IF('Données projet'!$A$62&gt;35,AI169+AH170-AQ169,IF(A170&lt;'Données projet'!$A$62,$AF$205^A170,IF(A170='Données projet'!$A$62,'Données projet'!$B$62,AI169+AH170-AQ169)))</f>
        <v>543.16600000000119</v>
      </c>
      <c r="AJ170" s="13">
        <f>AI170*VLOOKUP('Données projet'!$B$10,Paramètres!$A$1:$I$89,3,0)*VLOOKUP('Données projet'!$B$10,Paramètres!$A$1:$I$89,5,0)</f>
        <v>550.77032400000132</v>
      </c>
      <c r="AK170" s="13">
        <f t="shared" si="164"/>
        <v>121.75130557491971</v>
      </c>
      <c r="AL170" s="20">
        <f t="shared" si="165"/>
        <v>1171.3085048429873</v>
      </c>
      <c r="AM170" s="59">
        <f t="shared" si="113"/>
        <v>1464.6418381763206</v>
      </c>
      <c r="AN170" s="59">
        <f ca="1">AVERAGE(OFFSET($AM$3,0,0,'Données projet'!$E$10+1,1))-AVERAGE(OFFSET($H$3,0,0,'Données projet'!$E$10+1,1))</f>
        <v>644.15138437063933</v>
      </c>
      <c r="AO170" s="59">
        <f t="shared" si="144"/>
        <v>289.3097279858207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61.89805815848181</v>
      </c>
      <c r="AV170" s="21">
        <f>EXP(-LN(2)/25)*AV169+(1-EXP(-LN(2)/25))/(LN(2)/25)*Calculateur!AQ170*Calculateur!AS170*VLOOKUP('Données projet'!$B$10,Paramètres!$A$1:$I$89,3,0)*0.475*44/12</f>
        <v>23.726955467791331</v>
      </c>
      <c r="AW170" s="21">
        <f>EXP(-LN(2)/2)*AW169+(1-EXP(-LN(2)/2))/(LN(2)/2)*AQ170*AT170*VLOOKUP('Données projet'!$B$10,Paramètres!$A$1:$I$89,3,0)*0.475*44/12</f>
        <v>1.9293880946264163E-6</v>
      </c>
      <c r="AX170" s="21">
        <f t="shared" si="166"/>
        <v>85.625015555661236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9.6220000000000034</v>
      </c>
      <c r="BD170" s="12">
        <f>IF('Données projet'!$A$88&gt;35,BD169+BC170-BL169,IF(A170&lt;'Données projet'!$A$88,$BA$205^A170,IF(A170='Données projet'!$A$88,'Données projet'!$B$88,BD169+BC170-BL169)))</f>
        <v>543.16600000000119</v>
      </c>
      <c r="BE170" s="13">
        <f>BD170*VLOOKUP('Données projet'!$B$11,Paramètres!$A$1:$I$89,3,0)*VLOOKUP('Données projet'!$B$11,Paramètres!$A$1:$I$89,5,0)</f>
        <v>491.45659680000102</v>
      </c>
      <c r="BF170" s="13">
        <f t="shared" si="167"/>
        <v>110.09012381497753</v>
      </c>
      <c r="BG170" s="20">
        <f t="shared" si="168"/>
        <v>1047.6938717377543</v>
      </c>
      <c r="BH170" s="59">
        <f t="shared" si="116"/>
        <v>1341.0272050710876</v>
      </c>
      <c r="BI170" s="59">
        <f ca="1">AVERAGE(OFFSET($BH$3,0,0,'Données projet'!$E$11+1,1))-AVERAGE(OFFSET($H$3,0,0,'Données projet'!$E$11+1,1))</f>
        <v>573.17174498173017</v>
      </c>
      <c r="BJ170" s="59">
        <f t="shared" si="146"/>
        <v>260.48854096157231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55.232113433722205</v>
      </c>
      <c r="BQ170" s="21">
        <f>EXP(-LN(2)/25)*BQ169+(1-EXP(-LN(2)/25))/(LN(2)/25)*Calculateur!BL170*Calculateur!BN170*VLOOKUP('Données projet'!$B$11,Paramètres!$A$1:$I$89,3,0)*0.475*44/12</f>
        <v>21.171744878952261</v>
      </c>
      <c r="BR170" s="21">
        <f>EXP(-LN(2)/2)*BR169+(1-EXP(-LN(2)/2))/(LN(2)/2)*BL170*BO170*VLOOKUP('Données projet'!$B$11,Paramètres!$A$1:$I$89,3,0)*0.475*44/12</f>
        <v>1.7216078382820342E-6</v>
      </c>
      <c r="BS170" s="22">
        <f t="shared" si="169"/>
        <v>76.403860034282303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9.6220000000000034</v>
      </c>
      <c r="BY170" s="12">
        <f>IF('Données projet'!$A$114&gt;35,BY169+BX170-CG169,IF(A170&lt;'Données projet'!$A$114,$BV$205^A170,IF(A170='Données projet'!$A$114,'Données projet'!$B$114,BY169+BX170-CG169)))</f>
        <v>543.16600000000119</v>
      </c>
      <c r="BZ170" s="13">
        <f>BY170*VLOOKUP('Données projet'!$B$12,Paramètres!$A$1:$I$89,3,0)*VLOOKUP('Données projet'!$B$12,Paramètres!$A$1:$I$89,5,0)</f>
        <v>516.87676560000114</v>
      </c>
      <c r="CA170" s="13">
        <f t="shared" si="170"/>
        <v>115.10675936414104</v>
      </c>
      <c r="CB170" s="20">
        <f t="shared" si="171"/>
        <v>1100.7046393125474</v>
      </c>
      <c r="CC170" s="59">
        <f t="shared" si="119"/>
        <v>1394.0379726458807</v>
      </c>
      <c r="CD170" s="59">
        <f ca="1">AVERAGE(OFFSET($CC$3,0,0,'Données projet'!$E$12+1,1))-AVERAGE(OFFSET($H$3,0,0,'Données projet'!$E$12+1,1))</f>
        <v>603.61135046904178</v>
      </c>
      <c r="CE170" s="59">
        <f t="shared" si="148"/>
        <v>272.84936867513068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58.088946887190595</v>
      </c>
      <c r="CL170" s="21">
        <f>EXP(-LN(2)/25)*CL169+(1-EXP(-LN(2)/25))/(LN(2)/25)*Calculateur!CG170*Calculateur!CI170*VLOOKUP('Données projet'!$B$12,Paramètres!$A$1:$I$89,3,0)*0.475*44/12</f>
        <v>22.266835131311858</v>
      </c>
      <c r="CM170" s="21">
        <f>EXP(-LN(2)/2)*CM169+(1-EXP(-LN(2)/2))/(LN(2)/2)*CG170*CJ170*VLOOKUP('Données projet'!$B$12,Paramètres!$A$1:$I$89,3,0)*0.475*44/12</f>
        <v>1.8106565195724895E-6</v>
      </c>
      <c r="CN170" s="22">
        <f t="shared" si="172"/>
        <v>80.355783829158966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50.450400000000002</v>
      </c>
      <c r="D171" s="11">
        <f t="shared" si="140"/>
        <v>14.730016649594965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276.73089174038569</v>
      </c>
      <c r="H171" s="67">
        <f t="shared" si="110"/>
        <v>370.18922566471127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8.5265128291212022E-14</v>
      </c>
      <c r="O171" s="13">
        <f>N171*VLOOKUP('Données projet'!$B$9,Paramètres!$A$1:$I$89,3,0)*VLOOKUP('Données projet'!$B$9,Paramètres!$A$1:$I$89,5,0)</f>
        <v>8.9119112089974823E-14</v>
      </c>
      <c r="P171" s="13">
        <f t="shared" si="141"/>
        <v>1.3568952080113142E-12</v>
      </c>
      <c r="Q171" s="20">
        <f t="shared" si="162"/>
        <v>2.5184749408430782E-12</v>
      </c>
      <c r="R171" s="59">
        <f t="shared" si="109"/>
        <v>293.33333333333582</v>
      </c>
      <c r="S171" s="59">
        <f ca="1">AVERAGE(OFFSET($R$3,0,0,'Données projet'!$E$9+1,1))-AVERAGE(OFFSET($H$3,0,0,'Données projet'!$E$9+1,1))</f>
        <v>225.9892575177542</v>
      </c>
      <c r="T171" s="59">
        <f t="shared" si="142"/>
        <v>215.88467215650428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4.6296074335701975</v>
      </c>
      <c r="AA171" s="21">
        <f>EXP(-LN(2)/25)*AA170+(1-EXP(-LN(2)/25))/(LN(2)/25)*Calculateur!V171*Calculateur!X171*VLOOKUP('Données projet'!$B$9,Paramètres!$A$1:$I$89,3,0)*0.475*44/12</f>
        <v>6.8976487351857347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11.527256168755933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9.6220000000000034</v>
      </c>
      <c r="AI171" s="13">
        <f>IF('Données projet'!$A$62&gt;35,AI170+AH171-AQ170,IF(A171&lt;'Données projet'!$A$62,$AF$205^A171,IF(A171='Données projet'!$A$62,'Données projet'!$B$62,AI170+AH171-AQ170)))</f>
        <v>552.78800000000115</v>
      </c>
      <c r="AJ171" s="13">
        <f>AI171*VLOOKUP('Données projet'!$B$10,Paramètres!$A$1:$I$89,3,0)*VLOOKUP('Données projet'!$B$10,Paramètres!$A$1:$I$89,5,0)</f>
        <v>560.52703200000121</v>
      </c>
      <c r="AK171" s="13">
        <f t="shared" si="164"/>
        <v>123.65508685225305</v>
      </c>
      <c r="AL171" s="20">
        <f t="shared" si="165"/>
        <v>1191.6171903343427</v>
      </c>
      <c r="AM171" s="59">
        <f t="shared" si="113"/>
        <v>1484.950523667676</v>
      </c>
      <c r="AN171" s="59">
        <f ca="1">AVERAGE(OFFSET($AM$3,0,0,'Données projet'!$E$10+1,1))-AVERAGE(OFFSET($H$3,0,0,'Données projet'!$E$10+1,1))</f>
        <v>644.15138437063933</v>
      </c>
      <c r="AO171" s="59">
        <f t="shared" si="144"/>
        <v>289.3097279858207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60.684274992081555</v>
      </c>
      <c r="AV171" s="21">
        <f>EXP(-LN(2)/25)*AV170+(1-EXP(-LN(2)/25))/(LN(2)/25)*Calculateur!AQ171*Calculateur!AS171*VLOOKUP('Données projet'!$B$10,Paramètres!$A$1:$I$89,3,0)*0.475*44/12</f>
        <v>23.078140622778218</v>
      </c>
      <c r="AW171" s="21">
        <f>EXP(-LN(2)/2)*AW170+(1-EXP(-LN(2)/2))/(LN(2)/2)*AQ171*AT171*VLOOKUP('Données projet'!$B$10,Paramètres!$A$1:$I$89,3,0)*0.475*44/12</f>
        <v>1.3642834052509312E-6</v>
      </c>
      <c r="AX171" s="21">
        <f t="shared" si="166"/>
        <v>83.762416979143183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9.6220000000000034</v>
      </c>
      <c r="BD171" s="12">
        <f>IF('Données projet'!$A$88&gt;35,BD170+BC171-BL170,IF(A171&lt;'Données projet'!$A$88,$BA$205^A171,IF(A171='Données projet'!$A$88,'Données projet'!$B$88,BD170+BC171-BL170)))</f>
        <v>552.78800000000115</v>
      </c>
      <c r="BE171" s="13">
        <f>BD171*VLOOKUP('Données projet'!$B$11,Paramètres!$A$1:$I$89,3,0)*VLOOKUP('Données projet'!$B$11,Paramètres!$A$1:$I$89,5,0)</f>
        <v>500.16258240000104</v>
      </c>
      <c r="BF171" s="13">
        <f t="shared" si="167"/>
        <v>111.81156339666074</v>
      </c>
      <c r="BG171" s="20">
        <f t="shared" si="168"/>
        <v>1065.8549705958526</v>
      </c>
      <c r="BH171" s="59">
        <f t="shared" si="116"/>
        <v>1359.1883039291858</v>
      </c>
      <c r="BI171" s="59">
        <f ca="1">AVERAGE(OFFSET($BH$3,0,0,'Données projet'!$E$11+1,1))-AVERAGE(OFFSET($H$3,0,0,'Données projet'!$E$11+1,1))</f>
        <v>573.17174498173017</v>
      </c>
      <c r="BJ171" s="59">
        <f t="shared" si="146"/>
        <v>260.48854096157231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54.149045377549669</v>
      </c>
      <c r="BQ171" s="21">
        <f>EXP(-LN(2)/25)*BQ170+(1-EXP(-LN(2)/25))/(LN(2)/25)*Calculateur!BL171*Calculateur!BN171*VLOOKUP('Données projet'!$B$11,Paramètres!$A$1:$I$89,3,0)*0.475*44/12</f>
        <v>20.592802401863636</v>
      </c>
      <c r="BR171" s="21">
        <f>EXP(-LN(2)/2)*BR170+(1-EXP(-LN(2)/2))/(LN(2)/2)*BL171*BO171*VLOOKUP('Données projet'!$B$11,Paramètres!$A$1:$I$89,3,0)*0.475*44/12</f>
        <v>1.2173605769931395E-6</v>
      </c>
      <c r="BS171" s="22">
        <f t="shared" si="169"/>
        <v>74.741848996773882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9.6220000000000034</v>
      </c>
      <c r="BY171" s="12">
        <f>IF('Données projet'!$A$114&gt;35,BY170+BX171-CG170,IF(A171&lt;'Données projet'!$A$114,$BV$205^A171,IF(A171='Données projet'!$A$114,'Données projet'!$B$114,BY170+BX171-CG170)))</f>
        <v>552.78800000000115</v>
      </c>
      <c r="BZ171" s="13">
        <f>BY171*VLOOKUP('Données projet'!$B$12,Paramètres!$A$1:$I$89,3,0)*VLOOKUP('Données projet'!$B$12,Paramètres!$A$1:$I$89,5,0)</f>
        <v>526.03306080000118</v>
      </c>
      <c r="CA171" s="13">
        <f t="shared" si="170"/>
        <v>116.90664226754956</v>
      </c>
      <c r="CB171" s="20">
        <f t="shared" si="171"/>
        <v>1119.7866495093174</v>
      </c>
      <c r="CC171" s="59">
        <f t="shared" si="119"/>
        <v>1413.1199828426506</v>
      </c>
      <c r="CD171" s="59">
        <f ca="1">AVERAGE(OFFSET($CC$3,0,0,'Données projet'!$E$12+1,1))-AVERAGE(OFFSET($H$3,0,0,'Données projet'!$E$12+1,1))</f>
        <v>603.61135046904178</v>
      </c>
      <c r="CE171" s="59">
        <f t="shared" si="148"/>
        <v>272.84936867513068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56.949858069491889</v>
      </c>
      <c r="CL171" s="21">
        <f>EXP(-LN(2)/25)*CL170+(1-EXP(-LN(2)/25))/(LN(2)/25)*Calculateur!CG171*Calculateur!CI171*VLOOKUP('Données projet'!$B$12,Paramètres!$A$1:$I$89,3,0)*0.475*44/12</f>
        <v>21.657947353684168</v>
      </c>
      <c r="CM171" s="21">
        <f>EXP(-LN(2)/2)*CM170+(1-EXP(-LN(2)/2))/(LN(2)/2)*CG171*CJ171*VLOOKUP('Données projet'!$B$12,Paramètres!$A$1:$I$89,3,0)*0.475*44/12</f>
        <v>1.2803275033893401E-6</v>
      </c>
      <c r="CN171" s="22">
        <f t="shared" si="172"/>
        <v>78.60780670350357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50.750700000000002</v>
      </c>
      <c r="D172" s="11">
        <f t="shared" si="140"/>
        <v>14.807462743324953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278.33465585762531</v>
      </c>
      <c r="H172" s="67">
        <f t="shared" si="110"/>
        <v>370.84713344462432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8.5265128291212022E-14</v>
      </c>
      <c r="O172" s="13">
        <f>N172*VLOOKUP('Données projet'!$B$9,Paramètres!$A$1:$I$89,3,0)*VLOOKUP('Données projet'!$B$9,Paramètres!$A$1:$I$89,5,0)</f>
        <v>8.9119112089974823E-14</v>
      </c>
      <c r="P172" s="13">
        <f t="shared" si="141"/>
        <v>1.3568952080113142E-12</v>
      </c>
      <c r="Q172" s="20">
        <f t="shared" si="162"/>
        <v>2.5184749408430782E-12</v>
      </c>
      <c r="R172" s="59">
        <f t="shared" si="109"/>
        <v>293.33333333333582</v>
      </c>
      <c r="S172" s="59">
        <f ca="1">AVERAGE(OFFSET($R$3,0,0,'Données projet'!$E$9+1,1))-AVERAGE(OFFSET($H$3,0,0,'Données projet'!$E$9+1,1))</f>
        <v>225.9892575177542</v>
      </c>
      <c r="T172" s="59">
        <f t="shared" si="142"/>
        <v>215.88467215650428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4.5388236555795949</v>
      </c>
      <c r="AA172" s="21">
        <f>EXP(-LN(2)/25)*AA171+(1-EXP(-LN(2)/25))/(LN(2)/25)*Calculateur!V172*Calculateur!X172*VLOOKUP('Données projet'!$B$9,Paramètres!$A$1:$I$89,3,0)*0.475*44/12</f>
        <v>6.7090321677904985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11.247855823370093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9.6220000000000034</v>
      </c>
      <c r="AI172" s="13">
        <f>IF('Données projet'!$A$62&gt;35,AI171+AH172-AQ171,IF(A172&lt;'Données projet'!$A$62,$AF$205^A172,IF(A172='Données projet'!$A$62,'Données projet'!$B$62,AI171+AH172-AQ171)))</f>
        <v>562.41000000000111</v>
      </c>
      <c r="AJ172" s="13">
        <f>AI172*VLOOKUP('Données projet'!$B$10,Paramètres!$A$1:$I$89,3,0)*VLOOKUP('Données projet'!$B$10,Paramètres!$A$1:$I$89,5,0)</f>
        <v>570.28374000000122</v>
      </c>
      <c r="AK172" s="13">
        <f t="shared" si="164"/>
        <v>125.55501458776541</v>
      </c>
      <c r="AL172" s="20">
        <f t="shared" si="165"/>
        <v>1211.9191642403603</v>
      </c>
      <c r="AM172" s="59">
        <f t="shared" si="113"/>
        <v>1505.2524975736935</v>
      </c>
      <c r="AN172" s="59">
        <f ca="1">AVERAGE(OFFSET($AM$3,0,0,'Données projet'!$E$10+1,1))-AVERAGE(OFFSET($H$3,0,0,'Données projet'!$E$10+1,1))</f>
        <v>644.15138437063933</v>
      </c>
      <c r="AO172" s="59">
        <f t="shared" si="144"/>
        <v>289.3097279858207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59.494293373239778</v>
      </c>
      <c r="AV172" s="21">
        <f>EXP(-LN(2)/25)*AV171+(1-EXP(-LN(2)/25))/(LN(2)/25)*Calculateur!AQ172*Calculateur!AS172*VLOOKUP('Données projet'!$B$10,Paramètres!$A$1:$I$89,3,0)*0.475*44/12</f>
        <v>22.447067653821676</v>
      </c>
      <c r="AW172" s="21">
        <f>EXP(-LN(2)/2)*AW171+(1-EXP(-LN(2)/2))/(LN(2)/2)*AQ172*AT172*VLOOKUP('Données projet'!$B$10,Paramètres!$A$1:$I$89,3,0)*0.475*44/12</f>
        <v>9.6469404731320817E-7</v>
      </c>
      <c r="AX172" s="21">
        <f t="shared" si="166"/>
        <v>81.9413619917555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9.6220000000000034</v>
      </c>
      <c r="BD172" s="12">
        <f>IF('Données projet'!$A$88&gt;35,BD171+BC172-BL171,IF(A172&lt;'Données projet'!$A$88,$BA$205^A172,IF(A172='Données projet'!$A$88,'Données projet'!$B$88,BD171+BC172-BL171)))</f>
        <v>562.41000000000111</v>
      </c>
      <c r="BE172" s="13">
        <f>BD172*VLOOKUP('Données projet'!$B$11,Paramètres!$A$1:$I$89,3,0)*VLOOKUP('Données projet'!$B$11,Paramètres!$A$1:$I$89,5,0)</f>
        <v>508.86856800000095</v>
      </c>
      <c r="BF172" s="13">
        <f t="shared" si="167"/>
        <v>113.52951852374844</v>
      </c>
      <c r="BG172" s="20">
        <f t="shared" si="168"/>
        <v>1084.0100006955302</v>
      </c>
      <c r="BH172" s="59">
        <f t="shared" si="116"/>
        <v>1377.3433340288634</v>
      </c>
      <c r="BI172" s="59">
        <f ca="1">AVERAGE(OFFSET($BH$3,0,0,'Données projet'!$E$11+1,1))-AVERAGE(OFFSET($H$3,0,0,'Données projet'!$E$11+1,1))</f>
        <v>573.17174498173017</v>
      </c>
      <c r="BJ172" s="59">
        <f t="shared" si="146"/>
        <v>260.48854096157231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53.087215625352393</v>
      </c>
      <c r="BQ172" s="21">
        <f>EXP(-LN(2)/25)*BQ171+(1-EXP(-LN(2)/25))/(LN(2)/25)*Calculateur!BL172*Calculateur!BN172*VLOOKUP('Données projet'!$B$11,Paramètres!$A$1:$I$89,3,0)*0.475*44/12</f>
        <v>20.029691137256261</v>
      </c>
      <c r="BR172" s="21">
        <f>EXP(-LN(2)/2)*BR171+(1-EXP(-LN(2)/2))/(LN(2)/2)*BL172*BO172*VLOOKUP('Données projet'!$B$11,Paramètres!$A$1:$I$89,3,0)*0.475*44/12</f>
        <v>8.6080391914101712E-7</v>
      </c>
      <c r="BS172" s="22">
        <f t="shared" si="169"/>
        <v>73.116907623412573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9.6220000000000034</v>
      </c>
      <c r="BY172" s="12">
        <f>IF('Données projet'!$A$114&gt;35,BY171+BX172-CG171,IF(A172&lt;'Données projet'!$A$114,$BV$205^A172,IF(A172='Données projet'!$A$114,'Données projet'!$B$114,BY171+BX172-CG171)))</f>
        <v>562.41000000000111</v>
      </c>
      <c r="BZ172" s="13">
        <f>BY172*VLOOKUP('Données projet'!$B$12,Paramètres!$A$1:$I$89,3,0)*VLOOKUP('Données projet'!$B$12,Paramètres!$A$1:$I$89,5,0)</f>
        <v>535.189356000001</v>
      </c>
      <c r="CA172" s="13">
        <f t="shared" si="170"/>
        <v>118.70288193519161</v>
      </c>
      <c r="CB172" s="20">
        <f t="shared" si="171"/>
        <v>1138.8623144037938</v>
      </c>
      <c r="CC172" s="59">
        <f t="shared" si="119"/>
        <v>1432.195647737127</v>
      </c>
      <c r="CD172" s="59">
        <f ca="1">AVERAGE(OFFSET($CC$3,0,0,'Données projet'!$E$12+1,1))-AVERAGE(OFFSET($H$3,0,0,'Données projet'!$E$12+1,1))</f>
        <v>603.61135046904178</v>
      </c>
      <c r="CE172" s="59">
        <f t="shared" si="148"/>
        <v>272.84936867513068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55.833106088732684</v>
      </c>
      <c r="CL172" s="21">
        <f>EXP(-LN(2)/25)*CL171+(1-EXP(-LN(2)/25))/(LN(2)/25)*Calculateur!CG172*Calculateur!CI172*VLOOKUP('Données projet'!$B$12,Paramètres!$A$1:$I$89,3,0)*0.475*44/12</f>
        <v>21.065709644355724</v>
      </c>
      <c r="CM172" s="21">
        <f>EXP(-LN(2)/2)*CM171+(1-EXP(-LN(2)/2))/(LN(2)/2)*CG172*CJ172*VLOOKUP('Données projet'!$B$12,Paramètres!$A$1:$I$89,3,0)*0.475*44/12</f>
        <v>9.0532825978624484E-7</v>
      </c>
      <c r="CN172" s="22">
        <f t="shared" si="172"/>
        <v>76.898816638416676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51.051000000000002</v>
      </c>
      <c r="D173" s="11">
        <f t="shared" si="140"/>
        <v>14.884855513521359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279.93819358372235</v>
      </c>
      <c r="H173" s="67">
        <f t="shared" si="110"/>
        <v>371.50494835271638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8.5265128291212022E-14</v>
      </c>
      <c r="O173" s="13">
        <f>N173*VLOOKUP('Données projet'!$B$9,Paramètres!$A$1:$I$89,3,0)*VLOOKUP('Données projet'!$B$9,Paramètres!$A$1:$I$89,5,0)</f>
        <v>8.9119112089974823E-14</v>
      </c>
      <c r="P173" s="13">
        <f t="shared" si="141"/>
        <v>1.3568952080113142E-12</v>
      </c>
      <c r="Q173" s="20">
        <f t="shared" si="162"/>
        <v>2.5184749408430782E-12</v>
      </c>
      <c r="R173" s="59">
        <f t="shared" si="109"/>
        <v>293.33333333333582</v>
      </c>
      <c r="S173" s="59">
        <f ca="1">AVERAGE(OFFSET($R$3,0,0,'Données projet'!$E$9+1,1))-AVERAGE(OFFSET($H$3,0,0,'Données projet'!$E$9+1,1))</f>
        <v>225.9892575177542</v>
      </c>
      <c r="T173" s="59">
        <f t="shared" si="142"/>
        <v>215.88467215650428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4.4498200921027511</v>
      </c>
      <c r="AA173" s="21">
        <f>EXP(-LN(2)/25)*AA172+(1-EXP(-LN(2)/25))/(LN(2)/25)*Calculateur!V173*Calculateur!X173*VLOOKUP('Données projet'!$B$9,Paramètres!$A$1:$I$89,3,0)*0.475*44/12</f>
        <v>6.5255733303495997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10.975393422452351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9.6220000000000034</v>
      </c>
      <c r="AI173" s="13">
        <f>IF('Données projet'!$A$62&gt;35,AI172+AH173-AQ172,IF(A173&lt;'Données projet'!$A$62,$AF$205^A173,IF(A173='Données projet'!$A$62,'Données projet'!$B$62,AI172+AH173-AQ172)))</f>
        <v>572.03200000000106</v>
      </c>
      <c r="AJ173" s="13">
        <f>AI173*VLOOKUP('Données projet'!$B$10,Paramètres!$A$1:$I$89,3,0)*VLOOKUP('Données projet'!$B$10,Paramètres!$A$1:$I$89,5,0)</f>
        <v>580.04044800000111</v>
      </c>
      <c r="AK173" s="13">
        <f t="shared" si="164"/>
        <v>127.45116231789045</v>
      </c>
      <c r="AL173" s="20">
        <f t="shared" si="165"/>
        <v>1232.2145546369943</v>
      </c>
      <c r="AM173" s="59">
        <f t="shared" si="113"/>
        <v>1525.5478879703276</v>
      </c>
      <c r="AN173" s="59">
        <f ca="1">AVERAGE(OFFSET($AM$3,0,0,'Données projet'!$E$10+1,1))-AVERAGE(OFFSET($H$3,0,0,'Données projet'!$E$10+1,1))</f>
        <v>644.15138437063933</v>
      </c>
      <c r="AO173" s="59">
        <f t="shared" si="144"/>
        <v>289.3097279858207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58.327646568126369</v>
      </c>
      <c r="AV173" s="21">
        <f>EXP(-LN(2)/25)*AV172+(1-EXP(-LN(2)/25))/(LN(2)/25)*Calculateur!AQ173*Calculateur!AS173*VLOOKUP('Données projet'!$B$10,Paramètres!$A$1:$I$89,3,0)*0.475*44/12</f>
        <v>21.833251408387937</v>
      </c>
      <c r="AW173" s="21">
        <f>EXP(-LN(2)/2)*AW172+(1-EXP(-LN(2)/2))/(LN(2)/2)*AQ173*AT173*VLOOKUP('Données projet'!$B$10,Paramètres!$A$1:$I$89,3,0)*0.475*44/12</f>
        <v>6.8214170262546562E-7</v>
      </c>
      <c r="AX173" s="21">
        <f t="shared" si="166"/>
        <v>80.160898658656009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9.6220000000000034</v>
      </c>
      <c r="BD173" s="12">
        <f>IF('Données projet'!$A$88&gt;35,BD172+BC173-BL172,IF(A173&lt;'Données projet'!$A$88,$BA$205^A173,IF(A173='Données projet'!$A$88,'Données projet'!$B$88,BD172+BC173-BL172)))</f>
        <v>572.03200000000106</v>
      </c>
      <c r="BE173" s="13">
        <f>BD173*VLOOKUP('Données projet'!$B$11,Paramètres!$A$1:$I$89,3,0)*VLOOKUP('Données projet'!$B$11,Paramètres!$A$1:$I$89,5,0)</f>
        <v>517.57455360000097</v>
      </c>
      <c r="BF173" s="13">
        <f t="shared" si="167"/>
        <v>115.24405568945055</v>
      </c>
      <c r="BG173" s="20">
        <f t="shared" si="168"/>
        <v>1102.1590778457946</v>
      </c>
      <c r="BH173" s="59">
        <f t="shared" si="116"/>
        <v>1395.4924111791279</v>
      </c>
      <c r="BI173" s="59">
        <f ca="1">AVERAGE(OFFSET($BH$3,0,0,'Données projet'!$E$11+1,1))-AVERAGE(OFFSET($H$3,0,0,'Données projet'!$E$11+1,1))</f>
        <v>573.17174498173017</v>
      </c>
      <c r="BJ173" s="59">
        <f t="shared" si="146"/>
        <v>260.48854096157231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52.046207706943505</v>
      </c>
      <c r="BQ173" s="21">
        <f>EXP(-LN(2)/25)*BQ172+(1-EXP(-LN(2)/25))/(LN(2)/25)*Calculateur!BL173*Calculateur!BN173*VLOOKUP('Données projet'!$B$11,Paramètres!$A$1:$I$89,3,0)*0.475*44/12</f>
        <v>19.481978179792311</v>
      </c>
      <c r="BR173" s="21">
        <f>EXP(-LN(2)/2)*BR172+(1-EXP(-LN(2)/2))/(LN(2)/2)*BL173*BO173*VLOOKUP('Données projet'!$B$11,Paramètres!$A$1:$I$89,3,0)*0.475*44/12</f>
        <v>6.0868028849656974E-7</v>
      </c>
      <c r="BS173" s="22">
        <f t="shared" si="169"/>
        <v>71.528186495416108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9.6220000000000034</v>
      </c>
      <c r="BY173" s="12">
        <f>IF('Données projet'!$A$114&gt;35,BY172+BX173-CG172,IF(A173&lt;'Données projet'!$A$114,$BV$205^A173,IF(A173='Données projet'!$A$114,'Données projet'!$B$114,BY172+BX173-CG172)))</f>
        <v>572.03200000000106</v>
      </c>
      <c r="BZ173" s="13">
        <f>BY173*VLOOKUP('Données projet'!$B$12,Paramètres!$A$1:$I$89,3,0)*VLOOKUP('Données projet'!$B$12,Paramètres!$A$1:$I$89,5,0)</f>
        <v>544.34565120000104</v>
      </c>
      <c r="CA173" s="13">
        <f t="shared" si="170"/>
        <v>120.49554789026885</v>
      </c>
      <c r="CB173" s="20">
        <f t="shared" si="171"/>
        <v>1157.9317550822202</v>
      </c>
      <c r="CC173" s="59">
        <f t="shared" si="119"/>
        <v>1451.2650884155535</v>
      </c>
      <c r="CD173" s="59">
        <f ca="1">AVERAGE(OFFSET($CC$3,0,0,'Données projet'!$E$12+1,1))-AVERAGE(OFFSET($H$3,0,0,'Données projet'!$E$12+1,1))</f>
        <v>603.61135046904178</v>
      </c>
      <c r="CE173" s="59">
        <f t="shared" si="148"/>
        <v>272.84936867513068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54.738252933164716</v>
      </c>
      <c r="CL173" s="21">
        <f>EXP(-LN(2)/25)*CL172+(1-EXP(-LN(2)/25))/(LN(2)/25)*Calculateur!CG173*Calculateur!CI173*VLOOKUP('Données projet'!$B$12,Paramètres!$A$1:$I$89,3,0)*0.475*44/12</f>
        <v>20.489666706333292</v>
      </c>
      <c r="CM173" s="21">
        <f>EXP(-LN(2)/2)*CM172+(1-EXP(-LN(2)/2))/(LN(2)/2)*CG173*CJ173*VLOOKUP('Données projet'!$B$12,Paramètres!$A$1:$I$89,3,0)*0.475*44/12</f>
        <v>6.4016375169467007E-7</v>
      </c>
      <c r="CN173" s="22">
        <f t="shared" si="172"/>
        <v>75.22792027966176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51.351300000000002</v>
      </c>
      <c r="D174" s="11">
        <f t="shared" si="140"/>
        <v>14.962195310247186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281.54150640490917</v>
      </c>
      <c r="H174" s="67">
        <f t="shared" si="110"/>
        <v>372.16267099868054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8.5265128291212022E-14</v>
      </c>
      <c r="O174" s="13">
        <f>N174*VLOOKUP('Données projet'!$B$9,Paramètres!$A$1:$I$89,3,0)*VLOOKUP('Données projet'!$B$9,Paramètres!$A$1:$I$89,5,0)</f>
        <v>8.9119112089974823E-14</v>
      </c>
      <c r="P174" s="13">
        <f t="shared" si="141"/>
        <v>1.3568952080113142E-12</v>
      </c>
      <c r="Q174" s="20">
        <f t="shared" si="162"/>
        <v>2.5184749408430782E-12</v>
      </c>
      <c r="R174" s="59">
        <f t="shared" si="109"/>
        <v>293.33333333333582</v>
      </c>
      <c r="S174" s="59">
        <f ca="1">AVERAGE(OFFSET($R$3,0,0,'Données projet'!$E$9+1,1))-AVERAGE(OFFSET($H$3,0,0,'Données projet'!$E$9+1,1))</f>
        <v>225.9892575177542</v>
      </c>
      <c r="T174" s="59">
        <f t="shared" si="142"/>
        <v>215.88467215650428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4.3625618342188748</v>
      </c>
      <c r="AA174" s="21">
        <f>EXP(-LN(2)/25)*AA173+(1-EXP(-LN(2)/25))/(LN(2)/25)*Calculateur!V174*Calculateur!X174*VLOOKUP('Données projet'!$B$9,Paramètres!$A$1:$I$89,3,0)*0.475*44/12</f>
        <v>6.3471311844662033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10.709693018685078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9.6220000000000034</v>
      </c>
      <c r="AI174" s="13">
        <f>IF('Données projet'!$A$62&gt;35,AI173+AH174-AQ173,IF(A174&lt;'Données projet'!$A$62,$AF$205^A174,IF(A174='Données projet'!$A$62,'Données projet'!$B$62,AI173+AH174-AQ173)))</f>
        <v>581.65400000000102</v>
      </c>
      <c r="AJ174" s="13">
        <f>AI174*VLOOKUP('Données projet'!$B$10,Paramètres!$A$1:$I$89,3,0)*VLOOKUP('Données projet'!$B$10,Paramètres!$A$1:$I$89,5,0)</f>
        <v>589.79715600000111</v>
      </c>
      <c r="AK174" s="13">
        <f t="shared" si="164"/>
        <v>129.34360096340086</v>
      </c>
      <c r="AL174" s="20">
        <f t="shared" si="165"/>
        <v>1252.5034850445916</v>
      </c>
      <c r="AM174" s="59">
        <f t="shared" si="113"/>
        <v>1545.8368183779248</v>
      </c>
      <c r="AN174" s="59">
        <f ca="1">AVERAGE(OFFSET($AM$3,0,0,'Données projet'!$E$10+1,1))-AVERAGE(OFFSET($H$3,0,0,'Données projet'!$E$10+1,1))</f>
        <v>644.15138437063933</v>
      </c>
      <c r="AO174" s="59">
        <f t="shared" si="144"/>
        <v>289.3097279858207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57.183876995276947</v>
      </c>
      <c r="AV174" s="21">
        <f>EXP(-LN(2)/25)*AV173+(1-EXP(-LN(2)/25))/(LN(2)/25)*Calculateur!AQ174*Calculateur!AS174*VLOOKUP('Données projet'!$B$10,Paramètres!$A$1:$I$89,3,0)*0.475*44/12</f>
        <v>21.23622000046478</v>
      </c>
      <c r="AW174" s="21">
        <f>EXP(-LN(2)/2)*AW173+(1-EXP(-LN(2)/2))/(LN(2)/2)*AQ174*AT174*VLOOKUP('Données projet'!$B$10,Paramètres!$A$1:$I$89,3,0)*0.475*44/12</f>
        <v>4.8234702365660409E-7</v>
      </c>
      <c r="AX174" s="21">
        <f t="shared" si="166"/>
        <v>78.420097478088749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9.6220000000000034</v>
      </c>
      <c r="BD174" s="12">
        <f>IF('Données projet'!$A$88&gt;35,BD173+BC174-BL173,IF(A174&lt;'Données projet'!$A$88,$BA$205^A174,IF(A174='Données projet'!$A$88,'Données projet'!$B$88,BD173+BC174-BL173)))</f>
        <v>581.65400000000102</v>
      </c>
      <c r="BE174" s="13">
        <f>BD174*VLOOKUP('Données projet'!$B$11,Paramètres!$A$1:$I$89,3,0)*VLOOKUP('Données projet'!$B$11,Paramètres!$A$1:$I$89,5,0)</f>
        <v>526.28053920000093</v>
      </c>
      <c r="BF174" s="13">
        <f t="shared" si="167"/>
        <v>116.95523902184036</v>
      </c>
      <c r="BG174" s="20">
        <f t="shared" si="168"/>
        <v>1120.3023137363737</v>
      </c>
      <c r="BH174" s="59">
        <f t="shared" si="116"/>
        <v>1413.6356470697069</v>
      </c>
      <c r="BI174" s="59">
        <f ca="1">AVERAGE(OFFSET($BH$3,0,0,'Données projet'!$E$11+1,1))-AVERAGE(OFFSET($H$3,0,0,'Données projet'!$E$11+1,1))</f>
        <v>573.17174498173017</v>
      </c>
      <c r="BJ174" s="59">
        <f t="shared" si="146"/>
        <v>260.48854096157231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51.025613318862483</v>
      </c>
      <c r="BQ174" s="21">
        <f>EXP(-LN(2)/25)*BQ173+(1-EXP(-LN(2)/25))/(LN(2)/25)*Calculateur!BL174*Calculateur!BN174*VLOOKUP('Données projet'!$B$11,Paramètres!$A$1:$I$89,3,0)*0.475*44/12</f>
        <v>18.949242461953183</v>
      </c>
      <c r="BR174" s="21">
        <f>EXP(-LN(2)/2)*BR173+(1-EXP(-LN(2)/2))/(LN(2)/2)*BL174*BO174*VLOOKUP('Données projet'!$B$11,Paramètres!$A$1:$I$89,3,0)*0.475*44/12</f>
        <v>4.3040195957050856E-7</v>
      </c>
      <c r="BS174" s="22">
        <f t="shared" si="169"/>
        <v>69.974856211217613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9.6220000000000034</v>
      </c>
      <c r="BY174" s="12">
        <f>IF('Données projet'!$A$114&gt;35,BY173+BX174-CG173,IF(A174&lt;'Données projet'!$A$114,$BV$205^A174,IF(A174='Données projet'!$A$114,'Données projet'!$B$114,BY173+BX174-CG173)))</f>
        <v>581.65400000000102</v>
      </c>
      <c r="BZ174" s="13">
        <f>BY174*VLOOKUP('Données projet'!$B$12,Paramètres!$A$1:$I$89,3,0)*VLOOKUP('Données projet'!$B$12,Paramètres!$A$1:$I$89,5,0)</f>
        <v>553.50194640000097</v>
      </c>
      <c r="CA174" s="13">
        <f t="shared" si="170"/>
        <v>122.28470718307115</v>
      </c>
      <c r="CB174" s="20">
        <f t="shared" si="171"/>
        <v>1176.9950883238507</v>
      </c>
      <c r="CC174" s="59">
        <f t="shared" si="119"/>
        <v>1470.328421657184</v>
      </c>
      <c r="CD174" s="59">
        <f ca="1">AVERAGE(OFFSET($CC$3,0,0,'Données projet'!$E$12+1,1))-AVERAGE(OFFSET($H$3,0,0,'Données projet'!$E$12+1,1))</f>
        <v>603.61135046904178</v>
      </c>
      <c r="CE174" s="59">
        <f t="shared" si="148"/>
        <v>272.84936867513068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53.664869180182947</v>
      </c>
      <c r="CL174" s="21">
        <f>EXP(-LN(2)/25)*CL173+(1-EXP(-LN(2)/25))/(LN(2)/25)*Calculateur!CG174*Calculateur!CI174*VLOOKUP('Données projet'!$B$12,Paramètres!$A$1:$I$89,3,0)*0.475*44/12</f>
        <v>19.929375692743864</v>
      </c>
      <c r="CM174" s="21">
        <f>EXP(-LN(2)/2)*CM173+(1-EXP(-LN(2)/2))/(LN(2)/2)*CG174*CJ174*VLOOKUP('Données projet'!$B$12,Paramètres!$A$1:$I$89,3,0)*0.475*44/12</f>
        <v>4.5266412989312242E-7</v>
      </c>
      <c r="CN174" s="22">
        <f t="shared" si="172"/>
        <v>73.594245325590933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51.651600000000002</v>
      </c>
      <c r="D175" s="11">
        <f t="shared" si="140"/>
        <v>15.039482479234188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283.14459578902932</v>
      </c>
      <c r="H175" s="67">
        <f t="shared" si="110"/>
        <v>372.82030198466623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8.5265128291212022E-14</v>
      </c>
      <c r="O175" s="13">
        <f>N175*VLOOKUP('Données projet'!$B$9,Paramètres!$A$1:$I$89,3,0)*VLOOKUP('Données projet'!$B$9,Paramètres!$A$1:$I$89,5,0)</f>
        <v>8.9119112089974823E-14</v>
      </c>
      <c r="P175" s="13">
        <f t="shared" si="141"/>
        <v>1.3568952080113142E-12</v>
      </c>
      <c r="Q175" s="20">
        <f t="shared" si="162"/>
        <v>2.5184749408430782E-12</v>
      </c>
      <c r="R175" s="59">
        <f t="shared" si="109"/>
        <v>293.33333333333582</v>
      </c>
      <c r="S175" s="59">
        <f ca="1">AVERAGE(OFFSET($R$3,0,0,'Données projet'!$E$9+1,1))-AVERAGE(OFFSET($H$3,0,0,'Données projet'!$E$9+1,1))</f>
        <v>225.9892575177542</v>
      </c>
      <c r="T175" s="59">
        <f t="shared" si="142"/>
        <v>215.88467215650428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4.2770146575498194</v>
      </c>
      <c r="AA175" s="21">
        <f>EXP(-LN(2)/25)*AA174+(1-EXP(-LN(2)/25))/(LN(2)/25)*Calculateur!V175*Calculateur!X175*VLOOKUP('Données projet'!$B$9,Paramètres!$A$1:$I$89,3,0)*0.475*44/12</f>
        <v>6.1735685484458527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10.450583205995672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9.6220000000000034</v>
      </c>
      <c r="AI175" s="13">
        <f>IF('Données projet'!$A$62&gt;35,AI174+AH175-AQ174,IF(A175&lt;'Données projet'!$A$62,$AF$205^A175,IF(A175='Données projet'!$A$62,'Données projet'!$B$62,AI174+AH175-AQ174)))</f>
        <v>591.27600000000098</v>
      </c>
      <c r="AJ175" s="13">
        <f>AI175*VLOOKUP('Données projet'!$B$10,Paramètres!$A$1:$I$89,3,0)*VLOOKUP('Données projet'!$B$10,Paramètres!$A$1:$I$89,5,0)</f>
        <v>599.553864000001</v>
      </c>
      <c r="AK175" s="13">
        <f t="shared" si="164"/>
        <v>131.23239896414796</v>
      </c>
      <c r="AL175" s="20">
        <f t="shared" si="165"/>
        <v>1272.7860746625593</v>
      </c>
      <c r="AM175" s="59">
        <f t="shared" si="113"/>
        <v>1566.1194079958925</v>
      </c>
      <c r="AN175" s="59">
        <f ca="1">AVERAGE(OFFSET($AM$3,0,0,'Données projet'!$E$10+1,1))-AVERAGE(OFFSET($H$3,0,0,'Données projet'!$E$10+1,1))</f>
        <v>644.15138437063933</v>
      </c>
      <c r="AO175" s="59">
        <f t="shared" si="144"/>
        <v>289.3097279858207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56.062536046120549</v>
      </c>
      <c r="AV175" s="21">
        <f>EXP(-LN(2)/25)*AV174+(1-EXP(-LN(2)/25))/(LN(2)/25)*Calculateur!AQ175*Calculateur!AS175*VLOOKUP('Données projet'!$B$10,Paramètres!$A$1:$I$89,3,0)*0.475*44/12</f>
        <v>20.655514447787798</v>
      </c>
      <c r="AW175" s="21">
        <f>EXP(-LN(2)/2)*AW174+(1-EXP(-LN(2)/2))/(LN(2)/2)*AQ175*AT175*VLOOKUP('Données projet'!$B$10,Paramètres!$A$1:$I$89,3,0)*0.475*44/12</f>
        <v>3.4107085131273281E-7</v>
      </c>
      <c r="AX175" s="21">
        <f t="shared" si="166"/>
        <v>76.718050834979195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9.6220000000000034</v>
      </c>
      <c r="BD175" s="12">
        <f>IF('Données projet'!$A$88&gt;35,BD174+BC175-BL174,IF(A175&lt;'Données projet'!$A$88,$BA$205^A175,IF(A175='Données projet'!$A$88,'Données projet'!$B$88,BD174+BC175-BL174)))</f>
        <v>591.27600000000098</v>
      </c>
      <c r="BE175" s="13">
        <f>BD175*VLOOKUP('Données projet'!$B$11,Paramètres!$A$1:$I$89,3,0)*VLOOKUP('Données projet'!$B$11,Paramètres!$A$1:$I$89,5,0)</f>
        <v>534.98652480000089</v>
      </c>
      <c r="BF175" s="13">
        <f t="shared" si="167"/>
        <v>118.66313040568902</v>
      </c>
      <c r="BG175" s="20">
        <f t="shared" si="168"/>
        <v>1138.4398161499098</v>
      </c>
      <c r="BH175" s="59">
        <f t="shared" si="116"/>
        <v>1431.7731494832431</v>
      </c>
      <c r="BI175" s="59">
        <f ca="1">AVERAGE(OFFSET($BH$3,0,0,'Données projet'!$E$11+1,1))-AVERAGE(OFFSET($H$3,0,0,'Données projet'!$E$11+1,1))</f>
        <v>573.17174498173017</v>
      </c>
      <c r="BJ175" s="59">
        <f t="shared" si="146"/>
        <v>260.48854096157231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50.025032164230616</v>
      </c>
      <c r="BQ175" s="21">
        <f>EXP(-LN(2)/25)*BQ174+(1-EXP(-LN(2)/25))/(LN(2)/25)*Calculateur!BL175*Calculateur!BN175*VLOOKUP('Données projet'!$B$11,Paramètres!$A$1:$I$89,3,0)*0.475*44/12</f>
        <v>18.431074430333723</v>
      </c>
      <c r="BR175" s="21">
        <f>EXP(-LN(2)/2)*BR174+(1-EXP(-LN(2)/2))/(LN(2)/2)*BL175*BO175*VLOOKUP('Données projet'!$B$11,Paramètres!$A$1:$I$89,3,0)*0.475*44/12</f>
        <v>3.0434014424828487E-7</v>
      </c>
      <c r="BS175" s="22">
        <f t="shared" si="169"/>
        <v>68.456106898904494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9.6220000000000034</v>
      </c>
      <c r="BY175" s="12">
        <f>IF('Données projet'!$A$114&gt;35,BY174+BX175-CG174,IF(A175&lt;'Données projet'!$A$114,$BV$205^A175,IF(A175='Données projet'!$A$114,'Données projet'!$B$114,BY174+BX175-CG174)))</f>
        <v>591.27600000000098</v>
      </c>
      <c r="BZ175" s="13">
        <f>BY175*VLOOKUP('Données projet'!$B$12,Paramètres!$A$1:$I$89,3,0)*VLOOKUP('Données projet'!$B$12,Paramètres!$A$1:$I$89,5,0)</f>
        <v>562.65824160000091</v>
      </c>
      <c r="CA175" s="13">
        <f t="shared" si="170"/>
        <v>124.07042451836233</v>
      </c>
      <c r="CB175" s="20">
        <f t="shared" si="171"/>
        <v>1196.052426822816</v>
      </c>
      <c r="CC175" s="59">
        <f t="shared" si="119"/>
        <v>1489.3857601561492</v>
      </c>
      <c r="CD175" s="59">
        <f ca="1">AVERAGE(OFFSET($CC$3,0,0,'Données projet'!$E$12+1,1))-AVERAGE(OFFSET($H$3,0,0,'Données projet'!$E$12+1,1))</f>
        <v>603.61135046904178</v>
      </c>
      <c r="CE175" s="59">
        <f t="shared" si="148"/>
        <v>272.84936867513068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52.612533827897707</v>
      </c>
      <c r="CL175" s="21">
        <f>EXP(-LN(2)/25)*CL174+(1-EXP(-LN(2)/25))/(LN(2)/25)*Calculateur!CG175*Calculateur!CI175*VLOOKUP('Données projet'!$B$12,Paramètres!$A$1:$I$89,3,0)*0.475*44/12</f>
        <v>19.384405866385464</v>
      </c>
      <c r="CM175" s="21">
        <f>EXP(-LN(2)/2)*CM174+(1-EXP(-LN(2)/2))/(LN(2)/2)*CG175*CJ175*VLOOKUP('Données projet'!$B$12,Paramètres!$A$1:$I$89,3,0)*0.475*44/12</f>
        <v>3.2008187584733504E-7</v>
      </c>
      <c r="CN175" s="22">
        <f t="shared" si="172"/>
        <v>71.996940014365052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51.951900000000002</v>
      </c>
      <c r="D176" s="11">
        <f t="shared" si="140"/>
        <v>15.116717361961427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284.74746318587137</v>
      </c>
      <c r="H176" s="67">
        <f t="shared" si="110"/>
        <v>373.4778419054162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8.5265128291212022E-14</v>
      </c>
      <c r="O176" s="13">
        <f>N176*VLOOKUP('Données projet'!$B$9,Paramètres!$A$1:$I$89,3,0)*VLOOKUP('Données projet'!$B$9,Paramètres!$A$1:$I$89,5,0)</f>
        <v>8.9119112089974823E-14</v>
      </c>
      <c r="P176" s="13">
        <f t="shared" si="141"/>
        <v>1.3568952080113142E-12</v>
      </c>
      <c r="Q176" s="20">
        <f t="shared" si="162"/>
        <v>2.5184749408430782E-12</v>
      </c>
      <c r="R176" s="59">
        <f t="shared" si="109"/>
        <v>293.33333333333582</v>
      </c>
      <c r="S176" s="59">
        <f ca="1">AVERAGE(OFFSET($R$3,0,0,'Données projet'!$E$9+1,1))-AVERAGE(OFFSET($H$3,0,0,'Données projet'!$E$9+1,1))</f>
        <v>225.9892575177542</v>
      </c>
      <c r="T176" s="59">
        <f t="shared" si="142"/>
        <v>215.88467215650428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4.1931450088366189</v>
      </c>
      <c r="AA176" s="21">
        <f>EXP(-LN(2)/25)*AA175+(1-EXP(-LN(2)/25))/(LN(2)/25)*Calculateur!V176*Calculateur!X176*VLOOKUP('Données projet'!$B$9,Paramètres!$A$1:$I$89,3,0)*0.475*44/12</f>
        <v>6.0047519918347412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10.197897000671361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9.6220000000000034</v>
      </c>
      <c r="AI176" s="13">
        <f>IF('Données projet'!$A$62&gt;35,AI175+AH176-AQ175,IF(A176&lt;'Données projet'!$A$62,$AF$205^A176,IF(A176='Données projet'!$A$62,'Données projet'!$B$62,AI175+AH176-AQ175)))</f>
        <v>600.89800000000093</v>
      </c>
      <c r="AJ176" s="13">
        <f>AI176*VLOOKUP('Données projet'!$B$10,Paramètres!$A$1:$I$89,3,0)*VLOOKUP('Données projet'!$B$10,Paramètres!$A$1:$I$89,5,0)</f>
        <v>609.310572000001</v>
      </c>
      <c r="AK176" s="13">
        <f t="shared" si="164"/>
        <v>133.11762240478217</v>
      </c>
      <c r="AL176" s="20">
        <f t="shared" si="165"/>
        <v>1293.0624385883307</v>
      </c>
      <c r="AM176" s="59">
        <f t="shared" si="113"/>
        <v>1586.3957719216639</v>
      </c>
      <c r="AN176" s="59">
        <f ca="1">AVERAGE(OFFSET($AM$3,0,0,'Données projet'!$E$10+1,1))-AVERAGE(OFFSET($H$3,0,0,'Données projet'!$E$10+1,1))</f>
        <v>644.15138437063933</v>
      </c>
      <c r="AO176" s="59">
        <f t="shared" si="144"/>
        <v>289.3097279858207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54.963183909026661</v>
      </c>
      <c r="AV176" s="21">
        <f>EXP(-LN(2)/25)*AV175+(1-EXP(-LN(2)/25))/(LN(2)/25)*Calculateur!AQ176*Calculateur!AS176*VLOOKUP('Données projet'!$B$10,Paramètres!$A$1:$I$89,3,0)*0.475*44/12</f>
        <v>20.090688318986746</v>
      </c>
      <c r="AW176" s="21">
        <f>EXP(-LN(2)/2)*AW175+(1-EXP(-LN(2)/2))/(LN(2)/2)*AQ176*AT176*VLOOKUP('Données projet'!$B$10,Paramètres!$A$1:$I$89,3,0)*0.475*44/12</f>
        <v>2.4117351182830204E-7</v>
      </c>
      <c r="AX176" s="21">
        <f t="shared" si="166"/>
        <v>75.053872469186913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9.6220000000000034</v>
      </c>
      <c r="BD176" s="12">
        <f>IF('Données projet'!$A$88&gt;35,BD175+BC176-BL175,IF(A176&lt;'Données projet'!$A$88,$BA$205^A176,IF(A176='Données projet'!$A$88,'Données projet'!$B$88,BD175+BC176-BL175)))</f>
        <v>600.89800000000093</v>
      </c>
      <c r="BE176" s="13">
        <f>BD176*VLOOKUP('Données projet'!$B$11,Paramètres!$A$1:$I$89,3,0)*VLOOKUP('Données projet'!$B$11,Paramètres!$A$1:$I$89,5,0)</f>
        <v>543.69251040000086</v>
      </c>
      <c r="BF176" s="13">
        <f t="shared" si="167"/>
        <v>120.36778959614513</v>
      </c>
      <c r="BG176" s="20">
        <f t="shared" si="168"/>
        <v>1156.5716891599543</v>
      </c>
      <c r="BH176" s="59">
        <f t="shared" si="116"/>
        <v>1449.9050224932876</v>
      </c>
      <c r="BI176" s="59">
        <f ca="1">AVERAGE(OFFSET($BH$3,0,0,'Données projet'!$E$11+1,1))-AVERAGE(OFFSET($H$3,0,0,'Données projet'!$E$11+1,1))</f>
        <v>573.17174498173017</v>
      </c>
      <c r="BJ176" s="59">
        <f t="shared" si="146"/>
        <v>260.48854096157231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49.044071795746838</v>
      </c>
      <c r="BQ176" s="21">
        <f>EXP(-LN(2)/25)*BQ175+(1-EXP(-LN(2)/25))/(LN(2)/25)*Calculateur!BL176*Calculateur!BN176*VLOOKUP('Données projet'!$B$11,Paramètres!$A$1:$I$89,3,0)*0.475*44/12</f>
        <v>17.927075730788168</v>
      </c>
      <c r="BR176" s="21">
        <f>EXP(-LN(2)/2)*BR175+(1-EXP(-LN(2)/2))/(LN(2)/2)*BL176*BO176*VLOOKUP('Données projet'!$B$11,Paramètres!$A$1:$I$89,3,0)*0.475*44/12</f>
        <v>2.1520097978525428E-7</v>
      </c>
      <c r="BS176" s="22">
        <f t="shared" si="169"/>
        <v>66.97114774173599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9.6220000000000034</v>
      </c>
      <c r="BY176" s="12">
        <f>IF('Données projet'!$A$114&gt;35,BY175+BX176-CG175,IF(A176&lt;'Données projet'!$A$114,$BV$205^A176,IF(A176='Données projet'!$A$114,'Données projet'!$B$114,BY175+BX176-CG175)))</f>
        <v>600.89800000000093</v>
      </c>
      <c r="BZ176" s="13">
        <f>BY176*VLOOKUP('Données projet'!$B$12,Paramètres!$A$1:$I$89,3,0)*VLOOKUP('Données projet'!$B$12,Paramètres!$A$1:$I$89,5,0)</f>
        <v>571.81453680000084</v>
      </c>
      <c r="CA176" s="13">
        <f t="shared" si="170"/>
        <v>125.85276237424009</v>
      </c>
      <c r="CB176" s="20">
        <f t="shared" si="171"/>
        <v>1215.1038793951363</v>
      </c>
      <c r="CC176" s="59">
        <f t="shared" si="119"/>
        <v>1508.4372127284696</v>
      </c>
      <c r="CD176" s="59">
        <f ca="1">AVERAGE(OFFSET($CC$3,0,0,'Données projet'!$E$12+1,1))-AVERAGE(OFFSET($H$3,0,0,'Données projet'!$E$12+1,1))</f>
        <v>603.61135046904178</v>
      </c>
      <c r="CE176" s="59">
        <f t="shared" si="148"/>
        <v>272.84936867513068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51.580834130009599</v>
      </c>
      <c r="CL176" s="21">
        <f>EXP(-LN(2)/25)*CL175+(1-EXP(-LN(2)/25))/(LN(2)/25)*Calculateur!CG176*Calculateur!CI176*VLOOKUP('Données projet'!$B$12,Paramètres!$A$1:$I$89,3,0)*0.475*44/12</f>
        <v>18.854338268587554</v>
      </c>
      <c r="CM176" s="21">
        <f>EXP(-LN(2)/2)*CM175+(1-EXP(-LN(2)/2))/(LN(2)/2)*CG176*CJ176*VLOOKUP('Données projet'!$B$12,Paramètres!$A$1:$I$89,3,0)*0.475*44/12</f>
        <v>2.2633206494656121E-7</v>
      </c>
      <c r="CN176" s="22">
        <f t="shared" si="172"/>
        <v>70.435172624929223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52.252200000000002</v>
      </c>
      <c r="D177" s="11">
        <f t="shared" si="140"/>
        <v>15.193900295731783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286.35011002749286</v>
      </c>
      <c r="H177" s="67">
        <f t="shared" si="110"/>
        <v>374.13529134839956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8.5265128291212022E-14</v>
      </c>
      <c r="O177" s="13">
        <f>N177*VLOOKUP('Données projet'!$B$9,Paramètres!$A$1:$I$89,3,0)*VLOOKUP('Données projet'!$B$9,Paramètres!$A$1:$I$89,5,0)</f>
        <v>8.9119112089974823E-14</v>
      </c>
      <c r="P177" s="13">
        <f t="shared" si="141"/>
        <v>1.3568952080113142E-12</v>
      </c>
      <c r="Q177" s="20">
        <f t="shared" si="162"/>
        <v>2.5184749408430782E-12</v>
      </c>
      <c r="R177" s="59">
        <f t="shared" si="109"/>
        <v>293.33333333333582</v>
      </c>
      <c r="S177" s="59">
        <f ca="1">AVERAGE(OFFSET($R$3,0,0,'Données projet'!$E$9+1,1))-AVERAGE(OFFSET($H$3,0,0,'Données projet'!$E$9+1,1))</f>
        <v>225.9892575177542</v>
      </c>
      <c r="T177" s="59">
        <f t="shared" si="142"/>
        <v>215.88467215650428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4.1109199927792499</v>
      </c>
      <c r="AA177" s="21">
        <f>EXP(-LN(2)/25)*AA176+(1-EXP(-LN(2)/25))/(LN(2)/25)*Calculateur!V177*Calculateur!X177*VLOOKUP('Données projet'!$B$9,Paramètres!$A$1:$I$89,3,0)*0.475*44/12</f>
        <v>5.8405517328418366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9.9514717256210865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9.6220000000000034</v>
      </c>
      <c r="AH177" s="12">
        <f t="array" ref="AH177">INDEX(AG:AG,MIN(IF(ISNUMBER(AG177:AG373),ROW(AG177:AG373),"")))</f>
        <v>9.6220000000000034</v>
      </c>
      <c r="AI177" s="13">
        <f>IF('Données projet'!$A$62&gt;35,AI176+AH177-AQ176,IF(A177&lt;'Données projet'!$A$62,$AF$205^A177,IF(A177='Données projet'!$A$62,'Données projet'!$B$62,AI176+AH177-AQ176)))</f>
        <v>610.52000000000089</v>
      </c>
      <c r="AJ177" s="13">
        <f>AI177*VLOOKUP('Données projet'!$B$10,Paramètres!$A$1:$I$89,3,0)*VLOOKUP('Données projet'!$B$10,Paramètres!$A$1:$I$89,5,0)</f>
        <v>619.06728000000089</v>
      </c>
      <c r="AK177" s="13">
        <f t="shared" si="164"/>
        <v>134.99933513219278</v>
      </c>
      <c r="AL177" s="20">
        <f t="shared" si="165"/>
        <v>1313.332688021904</v>
      </c>
      <c r="AM177" s="59">
        <f t="shared" si="113"/>
        <v>1606.6660213552373</v>
      </c>
      <c r="AN177" s="59">
        <f ca="1">AVERAGE(OFFSET($AM$3,0,0,'Données projet'!$E$10+1,1))-AVERAGE(OFFSET($H$3,0,0,'Données projet'!$E$10+1,1))</f>
        <v>644.15138437063933</v>
      </c>
      <c r="AO177" s="59">
        <f t="shared" si="144"/>
        <v>289.3097279858207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240</v>
      </c>
      <c r="AR177" s="16">
        <f>IF(ISNA(VLOOKUP(A177,'Données projet'!$A$61:$I$81,5,0)),0%,VLOOKUP(A177,'Données projet'!$A$61:$I$81,5,0)*VLOOKUP('Données projet'!$B$10,Paramètres!$A$1:$I$89,7,0))</f>
        <v>0.19350000000000001</v>
      </c>
      <c r="AS177" s="16">
        <f>IF(ISNA(VLOOKUP(A177,'Données projet'!$A$61:$I$81,6,0)),0%,VLOOKUP(A177,'Données projet'!$A$61:$I$81,6,0)*VLOOKUP('Données projet'!$B$10,Paramètres!$A$1:$I$89,7,0))</f>
        <v>2.1500000000000002E-2</v>
      </c>
      <c r="AT177" s="16">
        <f>IF(ISNA(VLOOKUP(A177,'Données projet'!$A$61:$I$81,7,0)),0%,VLOOKUP(A177,'Données projet'!$A$61:$I$81,7,0))</f>
        <v>0.05</v>
      </c>
      <c r="AU177" s="21">
        <f>EXP(-LN(2)/35)*AU176+(1-EXP(-LN(2)/35))/(LN(2)/35)*AQ177*AR177*VLOOKUP('Données projet'!$B$10,Paramètres!$A$1:$I$89,3,0)*0.475*44/12</f>
        <v>105.94216644426993</v>
      </c>
      <c r="AV177" s="21">
        <f>EXP(-LN(2)/25)*AV176+(1-EXP(-LN(2)/25))/(LN(2)/25)*Calculateur!AQ177*Calculateur!AS177*VLOOKUP('Données projet'!$B$10,Paramètres!$A$1:$I$89,3,0)*0.475*44/12</f>
        <v>25.30261957716338</v>
      </c>
      <c r="AW177" s="21">
        <f>EXP(-LN(2)/2)*AW176+(1-EXP(-LN(2)/2))/(LN(2)/2)*AQ177*AT177*VLOOKUP('Données projet'!$B$10,Paramètres!$A$1:$I$89,3,0)*0.475*44/12</f>
        <v>11.480835667453793</v>
      </c>
      <c r="AX177" s="21">
        <f t="shared" si="166"/>
        <v>142.72562168888709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610.52</v>
      </c>
      <c r="BB177" s="12">
        <f>VLOOKUP(A177,'Données projet'!$A$87:$I$107,9,0)</f>
        <v>9.6220000000000034</v>
      </c>
      <c r="BC177" s="12">
        <f t="array" ref="BC177">INDEX(BB:BB,MIN(IF(ISNUMBER(BB177:BB373),ROW(BB177:BB373),"")))</f>
        <v>9.6220000000000034</v>
      </c>
      <c r="BD177" s="12">
        <f>IF('Données projet'!$A$88&gt;35,BD176+BC177-BL176,IF(A177&lt;'Données projet'!$A$88,$BA$205^A177,IF(A177='Données projet'!$A$88,'Données projet'!$B$88,BD176+BC177-BL176)))</f>
        <v>610.52000000000089</v>
      </c>
      <c r="BE177" s="13">
        <f>BD177*VLOOKUP('Données projet'!$B$11,Paramètres!$A$1:$I$89,3,0)*VLOOKUP('Données projet'!$B$11,Paramètres!$A$1:$I$89,5,0)</f>
        <v>552.3984960000007</v>
      </c>
      <c r="BF177" s="13">
        <f t="shared" si="167"/>
        <v>122.06927432492597</v>
      </c>
      <c r="BG177" s="20">
        <f t="shared" si="168"/>
        <v>1174.698033315914</v>
      </c>
      <c r="BH177" s="59">
        <f t="shared" si="116"/>
        <v>1468.0313666492473</v>
      </c>
      <c r="BI177" s="59">
        <f ca="1">AVERAGE(OFFSET($BH$3,0,0,'Données projet'!$E$11+1,1))-AVERAGE(OFFSET($H$3,0,0,'Données projet'!$E$11+1,1))</f>
        <v>573.17174498173017</v>
      </c>
      <c r="BJ177" s="59">
        <f t="shared" si="146"/>
        <v>260.48854096157231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240</v>
      </c>
      <c r="BM177" s="16">
        <f>IF(ISNA(VLOOKUP(A177,'Données projet'!$A$87:$I$107,5,0)),0%,VLOOKUP(A177,'Données projet'!$A$87:$I$107,5,0)*VLOOKUP('Données projet'!$B$11,Paramètres!$A$1:$I$89,7,0))</f>
        <v>0.19350000000000001</v>
      </c>
      <c r="BN177" s="16">
        <f>IF(ISNA(VLOOKUP(A177,'Données projet'!$A$87:$I$107,6,0)),0%,VLOOKUP(A177,'Données projet'!$A$87:$I$107,6,0)*VLOOKUP('Données projet'!$B$11,Paramètres!$A$1:$I$89,7,0))</f>
        <v>2.1500000000000002E-2</v>
      </c>
      <c r="BO177" s="16">
        <f>IF(ISNA(VLOOKUP(A177,'Données projet'!$A$87:$I$107,7,0)),0%,VLOOKUP(A177,'Données projet'!$A$87:$I$107,7,0))</f>
        <v>0.05</v>
      </c>
      <c r="BP177" s="21">
        <f>EXP(-LN(2)/35)*BP176+(1-EXP(-LN(2)/35))/(LN(2)/35)*BL177*BM177*VLOOKUP('Données projet'!$B$11,Paramètres!$A$1:$I$89,3,0)*0.475*44/12</f>
        <v>94.533010057963907</v>
      </c>
      <c r="BQ177" s="21">
        <f>EXP(-LN(2)/25)*BQ176+(1-EXP(-LN(2)/25))/(LN(2)/25)*Calculateur!BL177*Calculateur!BN177*VLOOKUP('Données projet'!$B$11,Paramètres!$A$1:$I$89,3,0)*0.475*44/12</f>
        <v>22.577722084238086</v>
      </c>
      <c r="BR177" s="21">
        <f>EXP(-LN(2)/2)*BR176+(1-EXP(-LN(2)/2))/(LN(2)/2)*BL177*BO177*VLOOKUP('Données projet'!$B$11,Paramètres!$A$1:$I$89,3,0)*0.475*44/12</f>
        <v>10.244437980189536</v>
      </c>
      <c r="BS177" s="22">
        <f t="shared" si="169"/>
        <v>127.35517012239153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610.52</v>
      </c>
      <c r="BW177" s="12">
        <f>VLOOKUP(A177,'Données projet'!$A$113:$I$133,9,0)</f>
        <v>9.6220000000000034</v>
      </c>
      <c r="BX177" s="12">
        <f t="array" ref="BX177">INDEX(BW:BW,MIN(IF(ISNUMBER(BW177:BW373),ROW(BW177:BW373),"")))</f>
        <v>9.6220000000000034</v>
      </c>
      <c r="BY177" s="12">
        <f>IF('Données projet'!$A$114&gt;35,BY176+BX177-CG176,IF(A177&lt;'Données projet'!$A$114,$BV$205^A177,IF(A177='Données projet'!$A$114,'Données projet'!$B$114,BY176+BX177-CG176)))</f>
        <v>610.52000000000089</v>
      </c>
      <c r="BZ177" s="13">
        <f>BY177*VLOOKUP('Données projet'!$B$12,Paramètres!$A$1:$I$89,3,0)*VLOOKUP('Données projet'!$B$12,Paramètres!$A$1:$I$89,5,0)</f>
        <v>580.97083200000088</v>
      </c>
      <c r="CA177" s="13">
        <f t="shared" si="170"/>
        <v>127.63178111316617</v>
      </c>
      <c r="CB177" s="20">
        <f t="shared" si="171"/>
        <v>1234.1495511720993</v>
      </c>
      <c r="CC177" s="59">
        <f t="shared" si="119"/>
        <v>1527.4828845054326</v>
      </c>
      <c r="CD177" s="59">
        <f ca="1">AVERAGE(OFFSET($CC$3,0,0,'Données projet'!$E$12+1,1))-AVERAGE(OFFSET($H$3,0,0,'Données projet'!$E$12+1,1))</f>
        <v>603.61135046904178</v>
      </c>
      <c r="CE177" s="59">
        <f t="shared" si="148"/>
        <v>272.84936867513068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240</v>
      </c>
      <c r="CH177" s="16">
        <f>IF(ISNA(VLOOKUP(A177,'Données projet'!$A$113:$I$133,5,0)),0%,VLOOKUP(A177,'Données projet'!$A$113:$I$133,5,0)*VLOOKUP('Données projet'!$B$12,Paramètres!$A$1:$I$89,7,0))</f>
        <v>0.19350000000000001</v>
      </c>
      <c r="CI177" s="16">
        <f>IF(ISNA(VLOOKUP(A177,'Données projet'!$A$113:$I$133,6,0)),0%,VLOOKUP(A177,'Données projet'!$A$113:$I$133,6,0)*VLOOKUP('Données projet'!$B$12,Paramètres!$A$1:$I$89,7,0))</f>
        <v>2.1500000000000002E-2</v>
      </c>
      <c r="CJ177" s="16">
        <f>IF(ISNA(VLOOKUP(A177,'Données projet'!$A$113:$I$133,7,0)),0%,VLOOKUP(A177,'Données projet'!$A$113:$I$133,7,0))</f>
        <v>0.05</v>
      </c>
      <c r="CK177" s="21">
        <f>EXP(-LN(2)/35)*CK176+(1-EXP(-LN(2)/35))/(LN(2)/35)*CG177*CH177*VLOOKUP('Données projet'!$B$12,Paramètres!$A$1:$I$89,3,0)*0.475*44/12</f>
        <v>99.422648509237902</v>
      </c>
      <c r="CL177" s="21">
        <f>EXP(-LN(2)/25)*CL176+(1-EXP(-LN(2)/25))/(LN(2)/25)*Calculateur!CG177*Calculateur!CI177*VLOOKUP('Données projet'!$B$12,Paramètres!$A$1:$I$89,3,0)*0.475*44/12</f>
        <v>23.745535295491777</v>
      </c>
      <c r="CM177" s="21">
        <f>EXP(-LN(2)/2)*CM176+(1-EXP(-LN(2)/2))/(LN(2)/2)*CG177*CJ177*VLOOKUP('Données projet'!$B$12,Paramètres!$A$1:$I$89,3,0)*0.475*44/12</f>
        <v>10.77432270330279</v>
      </c>
      <c r="CN177" s="22">
        <f t="shared" si="172"/>
        <v>133.94250650803247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52.552500000000002</v>
      </c>
      <c r="D178" s="11">
        <f t="shared" si="140"/>
        <v>15.271031613746745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287.95253772853891</v>
      </c>
      <c r="H178" s="67">
        <f t="shared" si="110"/>
        <v>374.79265089394227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8.5265128291212022E-14</v>
      </c>
      <c r="O178" s="13">
        <f>N178*VLOOKUP('Données projet'!$B$9,Paramètres!$A$1:$I$89,3,0)*VLOOKUP('Données projet'!$B$9,Paramètres!$A$1:$I$89,5,0)</f>
        <v>8.9119112089974823E-14</v>
      </c>
      <c r="P178" s="13">
        <f t="shared" si="141"/>
        <v>1.3568952080113142E-12</v>
      </c>
      <c r="Q178" s="20">
        <f t="shared" si="162"/>
        <v>2.5184749408430782E-12</v>
      </c>
      <c r="R178" s="59">
        <f t="shared" si="109"/>
        <v>293.33333333333582</v>
      </c>
      <c r="S178" s="59">
        <f ca="1">AVERAGE(OFFSET($R$3,0,0,'Données projet'!$E$9+1,1))-AVERAGE(OFFSET($H$3,0,0,'Données projet'!$E$9+1,1))</f>
        <v>225.9892575177542</v>
      </c>
      <c r="T178" s="59">
        <f t="shared" si="142"/>
        <v>215.88467215650428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4.0303073591344578</v>
      </c>
      <c r="AA178" s="21">
        <f>EXP(-LN(2)/25)*AA177+(1-EXP(-LN(2)/25))/(LN(2)/25)*Calculateur!V178*Calculateur!X178*VLOOKUP('Données projet'!$B$9,Paramètres!$A$1:$I$89,3,0)*0.475*44/12</f>
        <v>5.6808415385660096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9.7111488977004683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6.140000000000005</v>
      </c>
      <c r="AI178" s="13">
        <f>IF('Données projet'!$A$62&gt;35,AI177+AH178-AQ177,IF(A178&lt;'Données projet'!$A$62,$AF$205^A178,IF(A178='Données projet'!$A$62,'Données projet'!$B$62,AI177+AH178-AQ177)))</f>
        <v>376.66000000000088</v>
      </c>
      <c r="AJ178" s="13">
        <f>AI178*VLOOKUP('Données projet'!$B$10,Paramètres!$A$1:$I$89,3,0)*VLOOKUP('Données projet'!$B$10,Paramètres!$A$1:$I$89,5,0)</f>
        <v>381.93324000000092</v>
      </c>
      <c r="AK178" s="13">
        <f t="shared" si="164"/>
        <v>88.104112736615605</v>
      </c>
      <c r="AL178" s="20">
        <f t="shared" si="165"/>
        <v>818.64838934960699</v>
      </c>
      <c r="AM178" s="59">
        <f t="shared" si="113"/>
        <v>1111.9817226829402</v>
      </c>
      <c r="AN178" s="59">
        <f ca="1">AVERAGE(OFFSET($AM$3,0,0,'Données projet'!$E$10+1,1))-AVERAGE(OFFSET($H$3,0,0,'Données projet'!$E$10+1,1))</f>
        <v>644.15138437063933</v>
      </c>
      <c r="AO178" s="59">
        <f t="shared" si="144"/>
        <v>289.3097279858207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103.8647051786388</v>
      </c>
      <c r="AV178" s="21">
        <f>EXP(-LN(2)/25)*AV177+(1-EXP(-LN(2)/25))/(LN(2)/25)*Calculateur!AQ178*Calculateur!AS178*VLOOKUP('Données projet'!$B$10,Paramètres!$A$1:$I$89,3,0)*0.475*44/12</f>
        <v>24.610718114218916</v>
      </c>
      <c r="AW178" s="21">
        <f>EXP(-LN(2)/2)*AW177+(1-EXP(-LN(2)/2))/(LN(2)/2)*AQ178*AT178*VLOOKUP('Données projet'!$B$10,Paramètres!$A$1:$I$89,3,0)*0.475*44/12</f>
        <v>8.1181767541449599</v>
      </c>
      <c r="AX178" s="21">
        <f t="shared" si="166"/>
        <v>136.5936000470027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6.140000000000005</v>
      </c>
      <c r="BD178" s="12">
        <f>IF('Données projet'!$A$88&gt;35,BD177+BC178-BL177,IF(A178&lt;'Données projet'!$A$88,$BA$205^A178,IF(A178='Données projet'!$A$88,'Données projet'!$B$88,BD177+BC178-BL177)))</f>
        <v>376.66000000000088</v>
      </c>
      <c r="BE178" s="13">
        <f>BD178*VLOOKUP('Données projet'!$B$11,Paramètres!$A$1:$I$89,3,0)*VLOOKUP('Données projet'!$B$11,Paramètres!$A$1:$I$89,5,0)</f>
        <v>340.80196800000078</v>
      </c>
      <c r="BF178" s="13">
        <f t="shared" si="167"/>
        <v>79.665615362245418</v>
      </c>
      <c r="BG178" s="20">
        <f t="shared" si="168"/>
        <v>732.31437435591215</v>
      </c>
      <c r="BH178" s="59">
        <f t="shared" si="116"/>
        <v>1025.6477076892454</v>
      </c>
      <c r="BI178" s="59">
        <f ca="1">AVERAGE(OFFSET($BH$3,0,0,'Données projet'!$E$11+1,1))-AVERAGE(OFFSET($H$3,0,0,'Données projet'!$E$11+1,1))</f>
        <v>573.17174498173017</v>
      </c>
      <c r="BJ178" s="59">
        <f t="shared" si="146"/>
        <v>260.48854096157231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92.679275390169977</v>
      </c>
      <c r="BQ178" s="21">
        <f>EXP(-LN(2)/25)*BQ177+(1-EXP(-LN(2)/25))/(LN(2)/25)*Calculateur!BL178*Calculateur!BN178*VLOOKUP('Données projet'!$B$11,Paramètres!$A$1:$I$89,3,0)*0.475*44/12</f>
        <v>21.960333086533794</v>
      </c>
      <c r="BR178" s="21">
        <f>EXP(-LN(2)/2)*BR177+(1-EXP(-LN(2)/2))/(LN(2)/2)*BL178*BO178*VLOOKUP('Données projet'!$B$11,Paramètres!$A$1:$I$89,3,0)*0.475*44/12</f>
        <v>7.2439115652370401</v>
      </c>
      <c r="BS178" s="22">
        <f t="shared" si="169"/>
        <v>121.88352004194081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6.140000000000005</v>
      </c>
      <c r="BY178" s="12">
        <f>IF('Données projet'!$A$114&gt;35,BY177+BX178-CG177,IF(A178&lt;'Données projet'!$A$114,$BV$205^A178,IF(A178='Données projet'!$A$114,'Données projet'!$B$114,BY177+BX178-CG177)))</f>
        <v>376.66000000000088</v>
      </c>
      <c r="BZ178" s="13">
        <f>BY178*VLOOKUP('Données projet'!$B$12,Paramètres!$A$1:$I$89,3,0)*VLOOKUP('Données projet'!$B$12,Paramètres!$A$1:$I$89,5,0)</f>
        <v>358.42965600000082</v>
      </c>
      <c r="CA178" s="13">
        <f t="shared" si="170"/>
        <v>83.295853427413832</v>
      </c>
      <c r="CB178" s="20">
        <f t="shared" si="171"/>
        <v>769.33859558608037</v>
      </c>
      <c r="CC178" s="59">
        <f t="shared" si="119"/>
        <v>1062.6719289194136</v>
      </c>
      <c r="CD178" s="59">
        <f ca="1">AVERAGE(OFFSET($CC$3,0,0,'Données projet'!$E$12+1,1))-AVERAGE(OFFSET($H$3,0,0,'Données projet'!$E$12+1,1))</f>
        <v>603.61135046904178</v>
      </c>
      <c r="CE178" s="59">
        <f t="shared" si="148"/>
        <v>272.84936867513068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97.473031013799456</v>
      </c>
      <c r="CL178" s="21">
        <f>EXP(-LN(2)/25)*CL177+(1-EXP(-LN(2)/25))/(LN(2)/25)*Calculateur!CG178*Calculateur!CI178*VLOOKUP('Données projet'!$B$12,Paramètres!$A$1:$I$89,3,0)*0.475*44/12</f>
        <v>23.096212384113123</v>
      </c>
      <c r="CM178" s="21">
        <f>EXP(-LN(2)/2)*CM177+(1-EXP(-LN(2)/2))/(LN(2)/2)*CG178*CJ178*VLOOKUP('Données projet'!$B$12,Paramètres!$A$1:$I$89,3,0)*0.475*44/12</f>
        <v>7.6185966461975774</v>
      </c>
      <c r="CN178" s="22">
        <f t="shared" si="172"/>
        <v>128.18784004411015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52.852800000000002</v>
      </c>
      <c r="D179" s="11">
        <f t="shared" si="140"/>
        <v>15.348111645179451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289.55474768655137</v>
      </c>
      <c r="H179" s="67">
        <f t="shared" si="110"/>
        <v>375.44992111535424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8.5265128291212022E-14</v>
      </c>
      <c r="O179" s="13">
        <f>N179*VLOOKUP('Données projet'!$B$9,Paramètres!$A$1:$I$89,3,0)*VLOOKUP('Données projet'!$B$9,Paramètres!$A$1:$I$89,5,0)</f>
        <v>8.9119112089974823E-14</v>
      </c>
      <c r="P179" s="13">
        <f t="shared" si="141"/>
        <v>1.3568952080113142E-12</v>
      </c>
      <c r="Q179" s="20">
        <f t="shared" si="162"/>
        <v>2.5184749408430782E-12</v>
      </c>
      <c r="R179" s="59">
        <f t="shared" si="109"/>
        <v>293.33333333333582</v>
      </c>
      <c r="S179" s="59">
        <f ca="1">AVERAGE(OFFSET($R$3,0,0,'Données projet'!$E$9+1,1))-AVERAGE(OFFSET($H$3,0,0,'Données projet'!$E$9+1,1))</f>
        <v>225.9892575177542</v>
      </c>
      <c r="T179" s="59">
        <f t="shared" si="142"/>
        <v>215.88467215650428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3.9512754900665885</v>
      </c>
      <c r="AA179" s="21">
        <f>EXP(-LN(2)/25)*AA178+(1-EXP(-LN(2)/25))/(LN(2)/25)*Calculateur!V179*Calculateur!X179*VLOOKUP('Données projet'!$B$9,Paramètres!$A$1:$I$89,3,0)*0.475*44/12</f>
        <v>5.5254986279514489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9.4767741180180369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6.140000000000005</v>
      </c>
      <c r="AI179" s="13">
        <f>IF('Données projet'!$A$62&gt;35,AI178+AH179-AQ178,IF(A179&lt;'Données projet'!$A$62,$AF$205^A179,IF(A179='Données projet'!$A$62,'Données projet'!$B$62,AI178+AH179-AQ178)))</f>
        <v>382.80000000000086</v>
      </c>
      <c r="AJ179" s="13">
        <f>AI179*VLOOKUP('Données projet'!$B$10,Paramètres!$A$1:$I$89,3,0)*VLOOKUP('Données projet'!$B$10,Paramètres!$A$1:$I$89,5,0)</f>
        <v>388.15920000000091</v>
      </c>
      <c r="AK179" s="13">
        <f t="shared" si="164"/>
        <v>89.37194271202209</v>
      </c>
      <c r="AL179" s="20">
        <f t="shared" si="165"/>
        <v>831.70007355677342</v>
      </c>
      <c r="AM179" s="59">
        <f t="shared" si="113"/>
        <v>1125.0334068901068</v>
      </c>
      <c r="AN179" s="59">
        <f ca="1">AVERAGE(OFFSET($AM$3,0,0,'Données projet'!$E$10+1,1))-AVERAGE(OFFSET($H$3,0,0,'Données projet'!$E$10+1,1))</f>
        <v>644.15138437063933</v>
      </c>
      <c r="AO179" s="59">
        <f t="shared" si="144"/>
        <v>289.3097279858207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101.82798166130044</v>
      </c>
      <c r="AV179" s="21">
        <f>EXP(-LN(2)/25)*AV178+(1-EXP(-LN(2)/25))/(LN(2)/25)*Calculateur!AQ179*Calculateur!AS179*VLOOKUP('Données projet'!$B$10,Paramètres!$A$1:$I$89,3,0)*0.475*44/12</f>
        <v>23.937736733164183</v>
      </c>
      <c r="AW179" s="21">
        <f>EXP(-LN(2)/2)*AW178+(1-EXP(-LN(2)/2))/(LN(2)/2)*AQ179*AT179*VLOOKUP('Données projet'!$B$10,Paramètres!$A$1:$I$89,3,0)*0.475*44/12</f>
        <v>5.7404178337268972</v>
      </c>
      <c r="AX179" s="21">
        <f t="shared" si="166"/>
        <v>131.50613622819154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6.140000000000005</v>
      </c>
      <c r="BD179" s="12">
        <f>IF('Données projet'!$A$88&gt;35,BD178+BC179-BL178,IF(A179&lt;'Données projet'!$A$88,$BA$205^A179,IF(A179='Données projet'!$A$88,'Données projet'!$B$88,BD178+BC179-BL178)))</f>
        <v>382.80000000000086</v>
      </c>
      <c r="BE179" s="13">
        <f>BD179*VLOOKUP('Données projet'!$B$11,Paramètres!$A$1:$I$89,3,0)*VLOOKUP('Données projet'!$B$11,Paramètres!$A$1:$I$89,5,0)</f>
        <v>346.35744000000079</v>
      </c>
      <c r="BF179" s="13">
        <f t="shared" si="167"/>
        <v>80.812014230904367</v>
      </c>
      <c r="BG179" s="20">
        <f t="shared" si="168"/>
        <v>743.98679945215974</v>
      </c>
      <c r="BH179" s="59">
        <f t="shared" si="116"/>
        <v>1037.3201327854931</v>
      </c>
      <c r="BI179" s="59">
        <f ca="1">AVERAGE(OFFSET($BH$3,0,0,'Données projet'!$E$11+1,1))-AVERAGE(OFFSET($H$3,0,0,'Données projet'!$E$11+1,1))</f>
        <v>573.17174498173017</v>
      </c>
      <c r="BJ179" s="59">
        <f t="shared" si="146"/>
        <v>260.48854096157231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90.861891328544985</v>
      </c>
      <c r="BQ179" s="21">
        <f>EXP(-LN(2)/25)*BQ178+(1-EXP(-LN(2)/25))/(LN(2)/25)*Calculateur!BL179*Calculateur!BN179*VLOOKUP('Données projet'!$B$11,Paramètres!$A$1:$I$89,3,0)*0.475*44/12</f>
        <v>21.359826623438803</v>
      </c>
      <c r="BR179" s="21">
        <f>EXP(-LN(2)/2)*BR178+(1-EXP(-LN(2)/2))/(LN(2)/2)*BL179*BO179*VLOOKUP('Données projet'!$B$11,Paramètres!$A$1:$I$89,3,0)*0.475*44/12</f>
        <v>5.122218990094769</v>
      </c>
      <c r="BS179" s="22">
        <f t="shared" si="169"/>
        <v>117.34393694207856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6.140000000000005</v>
      </c>
      <c r="BY179" s="12">
        <f>IF('Données projet'!$A$114&gt;35,BY178+BX179-CG178,IF(A179&lt;'Données projet'!$A$114,$BV$205^A179,IF(A179='Données projet'!$A$114,'Données projet'!$B$114,BY178+BX179-CG178)))</f>
        <v>382.80000000000086</v>
      </c>
      <c r="BZ179" s="13">
        <f>BY179*VLOOKUP('Données projet'!$B$12,Paramètres!$A$1:$I$89,3,0)*VLOOKUP('Données projet'!$B$12,Paramètres!$A$1:$I$89,5,0)</f>
        <v>364.27248000000083</v>
      </c>
      <c r="CA179" s="13">
        <f t="shared" si="170"/>
        <v>84.494491907753954</v>
      </c>
      <c r="CB179" s="20">
        <f t="shared" si="171"/>
        <v>781.60247607267286</v>
      </c>
      <c r="CC179" s="59">
        <f t="shared" si="119"/>
        <v>1074.9358094060062</v>
      </c>
      <c r="CD179" s="59">
        <f ca="1">AVERAGE(OFFSET($CC$3,0,0,'Données projet'!$E$12+1,1))-AVERAGE(OFFSET($H$3,0,0,'Données projet'!$E$12+1,1))</f>
        <v>603.61135046904178</v>
      </c>
      <c r="CE179" s="59">
        <f t="shared" si="148"/>
        <v>272.84936867513068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95.561644328297305</v>
      </c>
      <c r="CL179" s="21">
        <f>EXP(-LN(2)/25)*CL178+(1-EXP(-LN(2)/25))/(LN(2)/25)*Calculateur!CG179*Calculateur!CI179*VLOOKUP('Données projet'!$B$12,Paramètres!$A$1:$I$89,3,0)*0.475*44/12</f>
        <v>22.464645241892526</v>
      </c>
      <c r="CM179" s="21">
        <f>EXP(-LN(2)/2)*CM178+(1-EXP(-LN(2)/2))/(LN(2)/2)*CG179*CJ179*VLOOKUP('Données projet'!$B$12,Paramètres!$A$1:$I$89,3,0)*0.475*44/12</f>
        <v>5.3871613516513959</v>
      </c>
      <c r="CN179" s="22">
        <f t="shared" si="172"/>
        <v>123.41345092184123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53.153100000000002</v>
      </c>
      <c r="D180" s="11">
        <f t="shared" si="140"/>
        <v>15.425140715245973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291.15674128227244</v>
      </c>
      <c r="H180" s="67">
        <f t="shared" si="110"/>
        <v>376.10710257905345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8.5265128291212022E-14</v>
      </c>
      <c r="O180" s="13">
        <f>N180*VLOOKUP('Données projet'!$B$9,Paramètres!$A$1:$I$89,3,0)*VLOOKUP('Données projet'!$B$9,Paramètres!$A$1:$I$89,5,0)</f>
        <v>8.9119112089974823E-14</v>
      </c>
      <c r="P180" s="13">
        <f t="shared" si="141"/>
        <v>1.3568952080113142E-12</v>
      </c>
      <c r="Q180" s="20">
        <f t="shared" si="162"/>
        <v>2.5184749408430782E-12</v>
      </c>
      <c r="R180" s="59">
        <f t="shared" si="109"/>
        <v>293.33333333333582</v>
      </c>
      <c r="S180" s="59">
        <f ca="1">AVERAGE(OFFSET($R$3,0,0,'Données projet'!$E$9+1,1))-AVERAGE(OFFSET($H$3,0,0,'Données projet'!$E$9+1,1))</f>
        <v>225.9892575177542</v>
      </c>
      <c r="T180" s="59">
        <f t="shared" si="142"/>
        <v>215.88467215650428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3.8737933877464599</v>
      </c>
      <c r="AA180" s="21">
        <f>EXP(-LN(2)/25)*AA179+(1-EXP(-LN(2)/25))/(LN(2)/25)*Calculateur!V180*Calculateur!X180*VLOOKUP('Données projet'!$B$9,Paramètres!$A$1:$I$89,3,0)*0.475*44/12</f>
        <v>5.3744035773967722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9.248196965143233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6.140000000000005</v>
      </c>
      <c r="AH180" s="12">
        <f t="array" ref="AH180">INDEX(AG:AG,MIN(IF(ISNUMBER(AG180:AG376),ROW(AG180:AG376),"")))</f>
        <v>6.140000000000005</v>
      </c>
      <c r="AI180" s="13">
        <f>IF('Données projet'!$A$62&gt;35,AI179+AH180-AQ179,IF(A180&lt;'Données projet'!$A$62,$AF$205^A180,IF(A180='Données projet'!$A$62,'Données projet'!$B$62,AI179+AH180-AQ179)))</f>
        <v>388.94000000000085</v>
      </c>
      <c r="AJ180" s="13">
        <f>AI180*VLOOKUP('Données projet'!$B$10,Paramètres!$A$1:$I$89,3,0)*VLOOKUP('Données projet'!$B$10,Paramètres!$A$1:$I$89,5,0)</f>
        <v>394.38516000000089</v>
      </c>
      <c r="AK180" s="13">
        <f t="shared" si="164"/>
        <v>90.637407722136572</v>
      </c>
      <c r="AL180" s="20">
        <f t="shared" si="165"/>
        <v>844.74763878272279</v>
      </c>
      <c r="AM180" s="59">
        <f t="shared" si="113"/>
        <v>1138.080972116056</v>
      </c>
      <c r="AN180" s="59">
        <f ca="1">AVERAGE(OFFSET($AM$3,0,0,'Données projet'!$E$10+1,1))-AVERAGE(OFFSET($H$3,0,0,'Données projet'!$E$10+1,1))</f>
        <v>644.15138437063933</v>
      </c>
      <c r="AO180" s="59">
        <f t="shared" si="144"/>
        <v>289.3097279858207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128.66000000000003</v>
      </c>
      <c r="AR180" s="16">
        <f>IF(ISNA(VLOOKUP(A180,'Données projet'!$A$61:$I$81,5,0)),0%,VLOOKUP(A180,'Données projet'!$A$61:$I$81,5,0)*VLOOKUP('Données projet'!$B$10,Paramètres!$A$1:$I$89,7,0))</f>
        <v>0.19350000000000001</v>
      </c>
      <c r="AS180" s="16">
        <f>IF(ISNA(VLOOKUP(A180,'Données projet'!$A$61:$I$81,6,0)),0%,VLOOKUP(A180,'Données projet'!$A$61:$I$81,6,0)*VLOOKUP('Données projet'!$B$10,Paramètres!$A$1:$I$89,7,0))</f>
        <v>2.1500000000000002E-2</v>
      </c>
      <c r="AT180" s="16">
        <f>IF(ISNA(VLOOKUP(A180,'Données projet'!$A$61:$I$81,7,0)),0%,VLOOKUP(A180,'Données projet'!$A$61:$I$81,7,0))</f>
        <v>0.05</v>
      </c>
      <c r="AU180" s="21">
        <f>EXP(-LN(2)/35)*AU179+(1-EXP(-LN(2)/35))/(LN(2)/35)*AQ180*AR180*VLOOKUP('Données projet'!$B$10,Paramètres!$A$1:$I$89,3,0)*0.475*44/12</f>
        <v>127.73796761205486</v>
      </c>
      <c r="AV180" s="21">
        <f>EXP(-LN(2)/25)*AV179+(1-EXP(-LN(2)/25))/(LN(2)/25)*Calculateur!AQ180*Calculateur!AS180*VLOOKUP('Données projet'!$B$10,Paramètres!$A$1:$I$89,3,0)*0.475*44/12</f>
        <v>26.371701504829375</v>
      </c>
      <c r="AW180" s="21">
        <f>EXP(-LN(2)/2)*AW179+(1-EXP(-LN(2)/2))/(LN(2)/2)*AQ180*AT180*VLOOKUP('Données projet'!$B$10,Paramètres!$A$1:$I$89,3,0)*0.475*44/12</f>
        <v>10.213772939712136</v>
      </c>
      <c r="AX180" s="21">
        <f t="shared" si="166"/>
        <v>164.32344205659635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388.94</v>
      </c>
      <c r="BB180" s="12">
        <f>VLOOKUP(A180,'Données projet'!$A$87:$I$107,9,0)</f>
        <v>6.140000000000005</v>
      </c>
      <c r="BC180" s="12">
        <f t="array" ref="BC180">INDEX(BB:BB,MIN(IF(ISNUMBER(BB180:BB376),ROW(BB180:BB376),"")))</f>
        <v>6.140000000000005</v>
      </c>
      <c r="BD180" s="12">
        <f>IF('Données projet'!$A$88&gt;35,BD179+BC180-BL179,IF(A180&lt;'Données projet'!$A$88,$BA$205^A180,IF(A180='Données projet'!$A$88,'Données projet'!$B$88,BD179+BC180-BL179)))</f>
        <v>388.94000000000085</v>
      </c>
      <c r="BE180" s="13">
        <f>BD180*VLOOKUP('Données projet'!$B$11,Paramètres!$A$1:$I$89,3,0)*VLOOKUP('Données projet'!$B$11,Paramètres!$A$1:$I$89,5,0)</f>
        <v>351.91291200000074</v>
      </c>
      <c r="BF180" s="13">
        <f t="shared" si="167"/>
        <v>81.956274647572329</v>
      </c>
      <c r="BG180" s="20">
        <f t="shared" si="168"/>
        <v>755.65550007785635</v>
      </c>
      <c r="BH180" s="59">
        <f t="shared" si="116"/>
        <v>1048.9888334111897</v>
      </c>
      <c r="BI180" s="59">
        <f ca="1">AVERAGE(OFFSET($BH$3,0,0,'Données projet'!$E$11+1,1))-AVERAGE(OFFSET($H$3,0,0,'Données projet'!$E$11+1,1))</f>
        <v>573.17174498173017</v>
      </c>
      <c r="BJ180" s="59">
        <f t="shared" si="146"/>
        <v>260.48854096157231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128.66000000000003</v>
      </c>
      <c r="BM180" s="16">
        <f>IF(ISNA(VLOOKUP(A180,'Données projet'!$A$87:$I$107,5,0)),0%,VLOOKUP(A180,'Données projet'!$A$87:$I$107,5,0)*VLOOKUP('Données projet'!$B$11,Paramètres!$A$1:$I$89,7,0))</f>
        <v>0.19350000000000001</v>
      </c>
      <c r="BN180" s="16">
        <f>IF(ISNA(VLOOKUP(A180,'Données projet'!$A$87:$I$107,6,0)),0%,VLOOKUP(A180,'Données projet'!$A$87:$I$107,6,0)*VLOOKUP('Données projet'!$B$11,Paramètres!$A$1:$I$89,7,0))</f>
        <v>2.1500000000000002E-2</v>
      </c>
      <c r="BO180" s="16">
        <f>IF(ISNA(VLOOKUP(A180,'Données projet'!$A$87:$I$107,7,0)),0%,VLOOKUP(A180,'Données projet'!$A$87:$I$107,7,0))</f>
        <v>0.05</v>
      </c>
      <c r="BP180" s="21">
        <f>EXP(-LN(2)/35)*BP179+(1-EXP(-LN(2)/35))/(LN(2)/35)*BL180*BM180*VLOOKUP('Données projet'!$B$11,Paramètres!$A$1:$I$89,3,0)*0.475*44/12</f>
        <v>113.98157109998739</v>
      </c>
      <c r="BQ180" s="21">
        <f>EXP(-LN(2)/25)*BQ179+(1-EXP(-LN(2)/25))/(LN(2)/25)*Calculateur!BL180*Calculateur!BN180*VLOOKUP('Données projet'!$B$11,Paramètres!$A$1:$I$89,3,0)*0.475*44/12</f>
        <v>23.531672112001587</v>
      </c>
      <c r="BR180" s="21">
        <f>EXP(-LN(2)/2)*BR179+(1-EXP(-LN(2)/2))/(LN(2)/2)*BL180*BO180*VLOOKUP('Données projet'!$B$11,Paramètres!$A$1:$I$89,3,0)*0.475*44/12</f>
        <v>9.1138281615892875</v>
      </c>
      <c r="BS180" s="22">
        <f t="shared" si="169"/>
        <v>146.62707137357827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388.94</v>
      </c>
      <c r="BW180" s="12">
        <f>VLOOKUP(A180,'Données projet'!$A$113:$I$133,9,0)</f>
        <v>6.140000000000005</v>
      </c>
      <c r="BX180" s="12">
        <f t="array" ref="BX180">INDEX(BW:BW,MIN(IF(ISNUMBER(BW180:BW376),ROW(BW180:BW376),"")))</f>
        <v>6.140000000000005</v>
      </c>
      <c r="BY180" s="12">
        <f>IF('Données projet'!$A$114&gt;35,BY179+BX180-CG179,IF(A180&lt;'Données projet'!$A$114,$BV$205^A180,IF(A180='Données projet'!$A$114,'Données projet'!$B$114,BY179+BX180-CG179)))</f>
        <v>388.94000000000085</v>
      </c>
      <c r="BZ180" s="13">
        <f>BY180*VLOOKUP('Données projet'!$B$12,Paramètres!$A$1:$I$89,3,0)*VLOOKUP('Données projet'!$B$12,Paramètres!$A$1:$I$89,5,0)</f>
        <v>370.11530400000083</v>
      </c>
      <c r="CA180" s="13">
        <f t="shared" si="170"/>
        <v>85.690894490175097</v>
      </c>
      <c r="CB180" s="20">
        <f t="shared" si="171"/>
        <v>793.86246237038984</v>
      </c>
      <c r="CC180" s="59">
        <f t="shared" si="119"/>
        <v>1087.1957957037232</v>
      </c>
      <c r="CD180" s="59">
        <f ca="1">AVERAGE(OFFSET($CC$3,0,0,'Données projet'!$E$12+1,1))-AVERAGE(OFFSET($H$3,0,0,'Données projet'!$E$12+1,1))</f>
        <v>603.61135046904178</v>
      </c>
      <c r="CE180" s="59">
        <f t="shared" si="148"/>
        <v>272.84936867513068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128.66000000000003</v>
      </c>
      <c r="CH180" s="16">
        <f>IF(ISNA(VLOOKUP(A180,'Données projet'!$A$113:$I$133,5,0)),0%,VLOOKUP(A180,'Données projet'!$A$113:$I$133,5,0)*VLOOKUP('Données projet'!$B$12,Paramètres!$A$1:$I$89,7,0))</f>
        <v>0.19350000000000001</v>
      </c>
      <c r="CI180" s="16">
        <f>IF(ISNA(VLOOKUP(A180,'Données projet'!$A$113:$I$133,6,0)),0%,VLOOKUP(A180,'Données projet'!$A$113:$I$133,6,0)*VLOOKUP('Données projet'!$B$12,Paramètres!$A$1:$I$89,7,0))</f>
        <v>2.1500000000000002E-2</v>
      </c>
      <c r="CJ180" s="16">
        <f>IF(ISNA(VLOOKUP(A180,'Données projet'!$A$113:$I$133,7,0)),0%,VLOOKUP(A180,'Données projet'!$A$113:$I$133,7,0))</f>
        <v>0.05</v>
      </c>
      <c r="CK180" s="21">
        <f>EXP(-LN(2)/35)*CK179+(1-EXP(-LN(2)/35))/(LN(2)/35)*CG180*CH180*VLOOKUP('Données projet'!$B$12,Paramètres!$A$1:$I$89,3,0)*0.475*44/12</f>
        <v>119.87716960515914</v>
      </c>
      <c r="CL180" s="21">
        <f>EXP(-LN(2)/25)*CL179+(1-EXP(-LN(2)/25))/(LN(2)/25)*Calculateur!CG180*Calculateur!CI180*VLOOKUP('Données projet'!$B$12,Paramètres!$A$1:$I$89,3,0)*0.475*44/12</f>
        <v>24.748827566070627</v>
      </c>
      <c r="CM180" s="21">
        <f>EXP(-LN(2)/2)*CM179+(1-EXP(-LN(2)/2))/(LN(2)/2)*CG180*CJ180*VLOOKUP('Données projet'!$B$12,Paramètres!$A$1:$I$89,3,0)*0.475*44/12</f>
        <v>9.5852330664990806</v>
      </c>
      <c r="CN180" s="22">
        <f t="shared" si="172"/>
        <v>154.21123023772884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53.453400000000002</v>
      </c>
      <c r="D181" s="11">
        <f t="shared" si="140"/>
        <v>15.502119145274978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292.75851987993934</v>
      </c>
      <c r="H181" s="67">
        <f t="shared" si="110"/>
        <v>376.76419584468726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8.5265128291212022E-14</v>
      </c>
      <c r="O181" s="13">
        <f>N181*VLOOKUP('Données projet'!$B$9,Paramètres!$A$1:$I$89,3,0)*VLOOKUP('Données projet'!$B$9,Paramètres!$A$1:$I$89,5,0)</f>
        <v>8.9119112089974823E-14</v>
      </c>
      <c r="P181" s="13">
        <f t="shared" si="141"/>
        <v>1.3568952080113142E-12</v>
      </c>
      <c r="Q181" s="20">
        <f t="shared" si="162"/>
        <v>2.5184749408430782E-12</v>
      </c>
      <c r="R181" s="59">
        <f t="shared" si="109"/>
        <v>293.33333333333582</v>
      </c>
      <c r="S181" s="59">
        <f ca="1">AVERAGE(OFFSET($R$3,0,0,'Données projet'!$E$9+1,1))-AVERAGE(OFFSET($H$3,0,0,'Données projet'!$E$9+1,1))</f>
        <v>225.9892575177542</v>
      </c>
      <c r="T181" s="59">
        <f t="shared" si="142"/>
        <v>215.88467215650428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3.7978306621934133</v>
      </c>
      <c r="AA181" s="21">
        <f>EXP(-LN(2)/25)*AA180+(1-EXP(-LN(2)/25))/(LN(2)/25)*Calculateur!V181*Calculateur!X181*VLOOKUP('Données projet'!$B$9,Paramètres!$A$1:$I$89,3,0)*0.475*44/12</f>
        <v>5.2274402289452571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9.0252708911386712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3.76000000000001</v>
      </c>
      <c r="AI181" s="13">
        <f>IF('Données projet'!$A$62&gt;35,AI180+AH181-AQ180,IF(A181&lt;'Données projet'!$A$62,$AF$205^A181,IF(A181='Données projet'!$A$62,'Données projet'!$B$62,AI180+AH181-AQ180)))</f>
        <v>264.04000000000082</v>
      </c>
      <c r="AJ181" s="13">
        <f>AI181*VLOOKUP('Données projet'!$B$10,Paramètres!$A$1:$I$89,3,0)*VLOOKUP('Données projet'!$B$10,Paramètres!$A$1:$I$89,5,0)</f>
        <v>267.73656000000085</v>
      </c>
      <c r="AK181" s="13">
        <f t="shared" si="164"/>
        <v>64.368675094258279</v>
      </c>
      <c r="AL181" s="20">
        <f t="shared" si="165"/>
        <v>578.41661778916796</v>
      </c>
      <c r="AM181" s="59">
        <f t="shared" si="113"/>
        <v>871.74995112250122</v>
      </c>
      <c r="AN181" s="59">
        <f ca="1">AVERAGE(OFFSET($AM$3,0,0,'Données projet'!$E$10+1,1))-AVERAGE(OFFSET($H$3,0,0,'Données projet'!$E$10+1,1))</f>
        <v>644.15138437063933</v>
      </c>
      <c r="AO181" s="59">
        <f t="shared" si="144"/>
        <v>289.3097279858207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125.23310397964948</v>
      </c>
      <c r="AV181" s="21">
        <f>EXP(-LN(2)/25)*AV180+(1-EXP(-LN(2)/25))/(LN(2)/25)*Calculateur!AQ181*Calculateur!AS181*VLOOKUP('Données projet'!$B$10,Paramètres!$A$1:$I$89,3,0)*0.475*44/12</f>
        <v>25.650565940352308</v>
      </c>
      <c r="AW181" s="21">
        <f>EXP(-LN(2)/2)*AW180+(1-EXP(-LN(2)/2))/(LN(2)/2)*AQ181*AT181*VLOOKUP('Données projet'!$B$10,Paramètres!$A$1:$I$89,3,0)*0.475*44/12</f>
        <v>7.2222281071701104</v>
      </c>
      <c r="AX181" s="21">
        <f t="shared" si="166"/>
        <v>158.10589802717192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3.76000000000001</v>
      </c>
      <c r="BD181" s="12">
        <f>IF('Données projet'!$A$88&gt;35,BD180+BC181-BL180,IF(A181&lt;'Données projet'!$A$88,$BA$205^A181,IF(A181='Données projet'!$A$88,'Données projet'!$B$88,BD180+BC181-BL180)))</f>
        <v>264.04000000000082</v>
      </c>
      <c r="BE181" s="13">
        <f>BD181*VLOOKUP('Données projet'!$B$11,Paramètres!$A$1:$I$89,3,0)*VLOOKUP('Données projet'!$B$11,Paramètres!$A$1:$I$89,5,0)</f>
        <v>238.90339200000074</v>
      </c>
      <c r="BF181" s="13">
        <f t="shared" si="167"/>
        <v>58.203527078995975</v>
      </c>
      <c r="BG181" s="20">
        <f t="shared" si="168"/>
        <v>517.46121739591933</v>
      </c>
      <c r="BH181" s="59">
        <f t="shared" si="116"/>
        <v>810.79455072925271</v>
      </c>
      <c r="BI181" s="59">
        <f ca="1">AVERAGE(OFFSET($BH$3,0,0,'Données projet'!$E$11+1,1))-AVERAGE(OFFSET($H$3,0,0,'Données projet'!$E$11+1,1))</f>
        <v>573.17174498173017</v>
      </c>
      <c r="BJ181" s="59">
        <f t="shared" si="146"/>
        <v>260.48854096157231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111.74646201261029</v>
      </c>
      <c r="BQ181" s="21">
        <f>EXP(-LN(2)/25)*BQ180+(1-EXP(-LN(2)/25))/(LN(2)/25)*Calculateur!BL181*Calculateur!BN181*VLOOKUP('Données projet'!$B$11,Paramètres!$A$1:$I$89,3,0)*0.475*44/12</f>
        <v>22.88819730062205</v>
      </c>
      <c r="BR181" s="21">
        <f>EXP(-LN(2)/2)*BR180+(1-EXP(-LN(2)/2))/(LN(2)/2)*BL181*BO181*VLOOKUP('Données projet'!$B$11,Paramètres!$A$1:$I$89,3,0)*0.475*44/12</f>
        <v>6.4444496956287116</v>
      </c>
      <c r="BS181" s="22">
        <f t="shared" si="169"/>
        <v>141.07910900886105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3.76000000000001</v>
      </c>
      <c r="BY181" s="12">
        <f>IF('Données projet'!$A$114&gt;35,BY180+BX181-CG180,IF(A181&lt;'Données projet'!$A$114,$BV$205^A181,IF(A181='Données projet'!$A$114,'Données projet'!$B$114,BY180+BX181-CG180)))</f>
        <v>264.04000000000082</v>
      </c>
      <c r="BZ181" s="13">
        <f>BY181*VLOOKUP('Données projet'!$B$12,Paramètres!$A$1:$I$89,3,0)*VLOOKUP('Données projet'!$B$12,Paramètres!$A$1:$I$89,5,0)</f>
        <v>251.26046400000078</v>
      </c>
      <c r="CA181" s="13">
        <f t="shared" si="170"/>
        <v>60.855771194207591</v>
      </c>
      <c r="CB181" s="20">
        <f t="shared" si="171"/>
        <v>543.60244296324618</v>
      </c>
      <c r="CC181" s="59">
        <f t="shared" si="119"/>
        <v>836.93577629657943</v>
      </c>
      <c r="CD181" s="59">
        <f ca="1">AVERAGE(OFFSET($CC$3,0,0,'Données projet'!$E$12+1,1))-AVERAGE(OFFSET($H$3,0,0,'Données projet'!$E$12+1,1))</f>
        <v>603.61135046904178</v>
      </c>
      <c r="CE181" s="59">
        <f t="shared" si="148"/>
        <v>272.84936867513068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117.52645142705563</v>
      </c>
      <c r="CL181" s="21">
        <f>EXP(-LN(2)/25)*CL180+(1-EXP(-LN(2)/25))/(LN(2)/25)*Calculateur!CG181*Calculateur!CI181*VLOOKUP('Données projet'!$B$12,Paramètres!$A$1:$I$89,3,0)*0.475*44/12</f>
        <v>24.072069574792149</v>
      </c>
      <c r="CM181" s="21">
        <f>EXP(-LN(2)/2)*CM180+(1-EXP(-LN(2)/2))/(LN(2)/2)*CG181*CJ181*VLOOKUP('Données projet'!$B$12,Paramètres!$A$1:$I$89,3,0)*0.475*44/12</f>
        <v>6.7777833005750256</v>
      </c>
      <c r="CN181" s="22">
        <f t="shared" si="172"/>
        <v>148.37630430242282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53.753700000000002</v>
      </c>
      <c r="D182" s="11">
        <f t="shared" si="140"/>
        <v>15.579047252775743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294.36008482757427</v>
      </c>
      <c r="H182" s="67">
        <f t="shared" si="110"/>
        <v>377.4212014652511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8.5265128291212022E-14</v>
      </c>
      <c r="O182" s="13">
        <f>N182*VLOOKUP('Données projet'!$B$9,Paramètres!$A$1:$I$89,3,0)*VLOOKUP('Données projet'!$B$9,Paramètres!$A$1:$I$89,5,0)</f>
        <v>8.9119112089974823E-14</v>
      </c>
      <c r="P182" s="13">
        <f t="shared" si="141"/>
        <v>1.3568952080113142E-12</v>
      </c>
      <c r="Q182" s="20">
        <f t="shared" si="162"/>
        <v>2.5184749408430782E-12</v>
      </c>
      <c r="R182" s="59">
        <f t="shared" si="109"/>
        <v>293.33333333333582</v>
      </c>
      <c r="S182" s="59">
        <f ca="1">AVERAGE(OFFSET($R$3,0,0,'Données projet'!$E$9+1,1))-AVERAGE(OFFSET($H$3,0,0,'Données projet'!$E$9+1,1))</f>
        <v>225.9892575177542</v>
      </c>
      <c r="T182" s="59">
        <f t="shared" si="142"/>
        <v>215.88467215650428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3.723357519355774</v>
      </c>
      <c r="AA182" s="21">
        <f>EXP(-LN(2)/25)*AA181+(1-EXP(-LN(2)/25))/(LN(2)/25)*Calculateur!V182*Calculateur!X182*VLOOKUP('Données projet'!$B$9,Paramètres!$A$1:$I$89,3,0)*0.475*44/12</f>
        <v>5.0844956009856146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8.8078531203413881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3.76000000000001</v>
      </c>
      <c r="AI182" s="13">
        <f>IF('Données projet'!$A$62&gt;35,AI181+AH182-AQ181,IF(A182&lt;'Données projet'!$A$62,$AF$205^A182,IF(A182='Données projet'!$A$62,'Données projet'!$B$62,AI181+AH182-AQ181)))</f>
        <v>267.80000000000081</v>
      </c>
      <c r="AJ182" s="13">
        <f>AI182*VLOOKUP('Données projet'!$B$10,Paramètres!$A$1:$I$89,3,0)*VLOOKUP('Données projet'!$B$10,Paramètres!$A$1:$I$89,5,0)</f>
        <v>271.54920000000084</v>
      </c>
      <c r="AK182" s="13">
        <f t="shared" si="164"/>
        <v>65.177939068610073</v>
      </c>
      <c r="AL182" s="20">
        <f t="shared" si="165"/>
        <v>586.46643387783058</v>
      </c>
      <c r="AM182" s="59">
        <f t="shared" si="113"/>
        <v>879.79976721116395</v>
      </c>
      <c r="AN182" s="59">
        <f ca="1">AVERAGE(OFFSET($AM$3,0,0,'Données projet'!$E$10+1,1))-AVERAGE(OFFSET($H$3,0,0,'Données projet'!$E$10+1,1))</f>
        <v>644.15138437063933</v>
      </c>
      <c r="AO182" s="59">
        <f t="shared" si="144"/>
        <v>289.3097279858207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122.77735919525963</v>
      </c>
      <c r="AV182" s="21">
        <f>EXP(-LN(2)/25)*AV181+(1-EXP(-LN(2)/25))/(LN(2)/25)*Calculateur!AQ182*Calculateur!AS182*VLOOKUP('Données projet'!$B$10,Paramètres!$A$1:$I$89,3,0)*0.475*44/12</f>
        <v>24.949149865808735</v>
      </c>
      <c r="AW182" s="21">
        <f>EXP(-LN(2)/2)*AW181+(1-EXP(-LN(2)/2))/(LN(2)/2)*AQ182*AT182*VLOOKUP('Données projet'!$B$10,Paramètres!$A$1:$I$89,3,0)*0.475*44/12</f>
        <v>5.106886469856069</v>
      </c>
      <c r="AX182" s="21">
        <f t="shared" si="166"/>
        <v>152.83339553092446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3.76000000000001</v>
      </c>
      <c r="BD182" s="12">
        <f>IF('Données projet'!$A$88&gt;35,BD181+BC182-BL181,IF(A182&lt;'Données projet'!$A$88,$BA$205^A182,IF(A182='Données projet'!$A$88,'Données projet'!$B$88,BD181+BC182-BL181)))</f>
        <v>267.80000000000081</v>
      </c>
      <c r="BE182" s="13">
        <f>BD182*VLOOKUP('Données projet'!$B$11,Paramètres!$A$1:$I$89,3,0)*VLOOKUP('Données projet'!$B$11,Paramètres!$A$1:$I$89,5,0)</f>
        <v>242.30544000000074</v>
      </c>
      <c r="BF182" s="13">
        <f t="shared" si="167"/>
        <v>58.935280802002858</v>
      </c>
      <c r="BG182" s="20">
        <f t="shared" si="168"/>
        <v>524.66092206348958</v>
      </c>
      <c r="BH182" s="59">
        <f t="shared" si="116"/>
        <v>817.99425539682284</v>
      </c>
      <c r="BI182" s="59">
        <f ca="1">AVERAGE(OFFSET($BH$3,0,0,'Données projet'!$E$11+1,1))-AVERAGE(OFFSET($H$3,0,0,'Données projet'!$E$11+1,1))</f>
        <v>573.17174498173017</v>
      </c>
      <c r="BJ182" s="59">
        <f t="shared" si="146"/>
        <v>260.48854096157231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109.55518205115473</v>
      </c>
      <c r="BQ182" s="21">
        <f>EXP(-LN(2)/25)*BQ181+(1-EXP(-LN(2)/25))/(LN(2)/25)*Calculateur!BL182*Calculateur!BN182*VLOOKUP('Données projet'!$B$11,Paramètres!$A$1:$I$89,3,0)*0.475*44/12</f>
        <v>22.262318341798554</v>
      </c>
      <c r="BR182" s="21">
        <f>EXP(-LN(2)/2)*BR181+(1-EXP(-LN(2)/2))/(LN(2)/2)*BL182*BO182*VLOOKUP('Données projet'!$B$11,Paramètres!$A$1:$I$89,3,0)*0.475*44/12</f>
        <v>4.5569140807946447</v>
      </c>
      <c r="BS182" s="22">
        <f t="shared" si="169"/>
        <v>136.37441447374795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3.76000000000001</v>
      </c>
      <c r="BY182" s="12">
        <f>IF('Données projet'!$A$114&gt;35,BY181+BX182-CG181,IF(A182&lt;'Données projet'!$A$114,$BV$205^A182,IF(A182='Données projet'!$A$114,'Données projet'!$B$114,BY181+BX182-CG181)))</f>
        <v>267.80000000000081</v>
      </c>
      <c r="BZ182" s="13">
        <f>BY182*VLOOKUP('Données projet'!$B$12,Paramètres!$A$1:$I$89,3,0)*VLOOKUP('Données projet'!$B$12,Paramètres!$A$1:$I$89,5,0)</f>
        <v>254.83848000000077</v>
      </c>
      <c r="CA182" s="13">
        <f t="shared" si="170"/>
        <v>61.620869795145929</v>
      </c>
      <c r="CB182" s="20">
        <f t="shared" si="171"/>
        <v>551.16670089321383</v>
      </c>
      <c r="CC182" s="59">
        <f t="shared" si="119"/>
        <v>844.50003422654709</v>
      </c>
      <c r="CD182" s="59">
        <f ca="1">AVERAGE(OFFSET($CC$3,0,0,'Données projet'!$E$12+1,1))-AVERAGE(OFFSET($H$3,0,0,'Données projet'!$E$12+1,1))</f>
        <v>603.61135046904178</v>
      </c>
      <c r="CE182" s="59">
        <f t="shared" si="148"/>
        <v>272.84936867513068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115.22182939862823</v>
      </c>
      <c r="CL182" s="21">
        <f>EXP(-LN(2)/25)*CL181+(1-EXP(-LN(2)/25))/(LN(2)/25)*Calculateur!CG182*Calculateur!CI182*VLOOKUP('Données projet'!$B$12,Paramètres!$A$1:$I$89,3,0)*0.475*44/12</f>
        <v>23.413817566374338</v>
      </c>
      <c r="CM182" s="21">
        <f>EXP(-LN(2)/2)*CM181+(1-EXP(-LN(2)/2))/(LN(2)/2)*CG182*CJ182*VLOOKUP('Données projet'!$B$12,Paramètres!$A$1:$I$89,3,0)*0.475*44/12</f>
        <v>4.7926165332495412</v>
      </c>
      <c r="CN182" s="22">
        <f t="shared" si="172"/>
        <v>143.42826349825211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54.054000000000002</v>
      </c>
      <c r="D183" s="11">
        <f t="shared" si="140"/>
        <v>15.655925351504667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295.96143745726545</v>
      </c>
      <c r="H183" s="67">
        <f t="shared" si="110"/>
        <v>378.07811998720393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8.5265128291212022E-14</v>
      </c>
      <c r="O183" s="13">
        <f>N183*VLOOKUP('Données projet'!$B$9,Paramètres!$A$1:$I$89,3,0)*VLOOKUP('Données projet'!$B$9,Paramètres!$A$1:$I$89,5,0)</f>
        <v>8.9119112089974823E-14</v>
      </c>
      <c r="P183" s="13">
        <f t="shared" si="141"/>
        <v>1.3568952080113142E-12</v>
      </c>
      <c r="Q183" s="20">
        <f t="shared" si="162"/>
        <v>2.5184749408430782E-12</v>
      </c>
      <c r="R183" s="59">
        <f t="shared" si="109"/>
        <v>293.33333333333582</v>
      </c>
      <c r="S183" s="59">
        <f ca="1">AVERAGE(OFFSET($R$3,0,0,'Données projet'!$E$9+1,1))-AVERAGE(OFFSET($H$3,0,0,'Données projet'!$E$9+1,1))</f>
        <v>225.9892575177542</v>
      </c>
      <c r="T183" s="59">
        <f t="shared" si="142"/>
        <v>215.88467215650428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3.6503447494250492</v>
      </c>
      <c r="AA183" s="21">
        <f>EXP(-LN(2)/25)*AA182+(1-EXP(-LN(2)/25))/(LN(2)/25)*Calculateur!V183*Calculateur!X183*VLOOKUP('Données projet'!$B$9,Paramètres!$A$1:$I$89,3,0)*0.475*44/12</f>
        <v>4.9454598013946605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8.5958045508197092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3.76000000000001</v>
      </c>
      <c r="AH183" s="12">
        <f t="array" ref="AH183">INDEX(AG:AG,MIN(IF(ISNUMBER(AG183:AG379),ROW(AG183:AG379),"")))</f>
        <v>3.76000000000001</v>
      </c>
      <c r="AI183" s="13">
        <f>IF('Données projet'!$A$62&gt;35,AI182+AH183-AQ182,IF(A183&lt;'Données projet'!$A$62,$AF$205^A183,IF(A183='Données projet'!$A$62,'Données projet'!$B$62,AI182+AH183-AQ182)))</f>
        <v>271.5600000000008</v>
      </c>
      <c r="AJ183" s="13">
        <f>AI183*VLOOKUP('Données projet'!$B$10,Paramètres!$A$1:$I$89,3,0)*VLOOKUP('Données projet'!$B$10,Paramètres!$A$1:$I$89,5,0)</f>
        <v>275.36184000000083</v>
      </c>
      <c r="AK183" s="13">
        <f t="shared" si="164"/>
        <v>65.985881501741488</v>
      </c>
      <c r="AL183" s="20">
        <f t="shared" si="165"/>
        <v>594.51394828220111</v>
      </c>
      <c r="AM183" s="59">
        <f t="shared" si="113"/>
        <v>887.84728161553448</v>
      </c>
      <c r="AN183" s="59">
        <f ca="1">AVERAGE(OFFSET($AM$3,0,0,'Données projet'!$E$10+1,1))-AVERAGE(OFFSET($H$3,0,0,'Données projet'!$E$10+1,1))</f>
        <v>644.15138437063933</v>
      </c>
      <c r="AO183" s="59">
        <f t="shared" si="144"/>
        <v>289.3097279858207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86.97</v>
      </c>
      <c r="AR183" s="16">
        <f>IF(ISNA(VLOOKUP(A183,'Données projet'!$A$61:$I$81,5,0)),0%,VLOOKUP(A183,'Données projet'!$A$61:$I$81,5,0)*VLOOKUP('Données projet'!$B$10,Paramètres!$A$1:$I$89,7,0))</f>
        <v>0.19350000000000001</v>
      </c>
      <c r="AS183" s="16">
        <f>IF(ISNA(VLOOKUP(A183,'Données projet'!$A$61:$I$81,6,0)),0%,VLOOKUP(A183,'Données projet'!$A$61:$I$81,6,0)*VLOOKUP('Données projet'!$B$10,Paramètres!$A$1:$I$89,7,0))</f>
        <v>2.1500000000000002E-2</v>
      </c>
      <c r="AT183" s="16">
        <f>IF(ISNA(VLOOKUP(A183,'Données projet'!$A$61:$I$81,7,0)),0%,VLOOKUP(A183,'Données projet'!$A$61:$I$81,7,0))</f>
        <v>0.05</v>
      </c>
      <c r="AU183" s="21">
        <f>EXP(-LN(2)/35)*AU182+(1-EXP(-LN(2)/35))/(LN(2)/35)*AQ183*AR183*VLOOKUP('Données projet'!$B$10,Paramètres!$A$1:$I$89,3,0)*0.475*44/12</f>
        <v>139.23384465081122</v>
      </c>
      <c r="AV183" s="21">
        <f>EXP(-LN(2)/25)*AV182+(1-EXP(-LN(2)/25))/(LN(2)/25)*Calculateur!AQ183*Calculateur!AS183*VLOOKUP('Données projet'!$B$10,Paramètres!$A$1:$I$89,3,0)*0.475*44/12</f>
        <v>26.35466955439481</v>
      </c>
      <c r="AW183" s="21">
        <f>EXP(-LN(2)/2)*AW182+(1-EXP(-LN(2)/2))/(LN(2)/2)*AQ183*AT183*VLOOKUP('Données projet'!$B$10,Paramètres!$A$1:$I$89,3,0)*0.475*44/12</f>
        <v>7.771481816780847</v>
      </c>
      <c r="AX183" s="21">
        <f t="shared" si="166"/>
        <v>173.35999602198686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271.56</v>
      </c>
      <c r="BB183" s="12">
        <f>VLOOKUP(A183,'Données projet'!$A$87:$I$107,9,0)</f>
        <v>3.76000000000001</v>
      </c>
      <c r="BC183" s="12">
        <f t="array" ref="BC183">INDEX(BB:BB,MIN(IF(ISNUMBER(BB183:BB379),ROW(BB183:BB379),"")))</f>
        <v>3.76000000000001</v>
      </c>
      <c r="BD183" s="12">
        <f>IF('Données projet'!$A$88&gt;35,BD182+BC183-BL182,IF(A183&lt;'Données projet'!$A$88,$BA$205^A183,IF(A183='Données projet'!$A$88,'Données projet'!$B$88,BD182+BC183-BL182)))</f>
        <v>271.5600000000008</v>
      </c>
      <c r="BE183" s="13">
        <f>BD183*VLOOKUP('Données projet'!$B$11,Paramètres!$A$1:$I$89,3,0)*VLOOKUP('Données projet'!$B$11,Paramètres!$A$1:$I$89,5,0)</f>
        <v>245.70748800000069</v>
      </c>
      <c r="BF183" s="13">
        <f t="shared" si="167"/>
        <v>59.665839559289225</v>
      </c>
      <c r="BG183" s="20">
        <f t="shared" si="168"/>
        <v>531.85854549909652</v>
      </c>
      <c r="BH183" s="59">
        <f t="shared" si="116"/>
        <v>825.19187883242989</v>
      </c>
      <c r="BI183" s="59">
        <f ca="1">AVERAGE(OFFSET($BH$3,0,0,'Données projet'!$E$11+1,1))-AVERAGE(OFFSET($H$3,0,0,'Données projet'!$E$11+1,1))</f>
        <v>573.17174498173017</v>
      </c>
      <c r="BJ183" s="59">
        <f t="shared" si="146"/>
        <v>260.48854096157231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86.97</v>
      </c>
      <c r="BM183" s="16">
        <f>IF(ISNA(VLOOKUP(A183,'Données projet'!$A$87:$I$107,5,0)),0%,VLOOKUP(A183,'Données projet'!$A$87:$I$107,5,0)*VLOOKUP('Données projet'!$B$11,Paramètres!$A$1:$I$89,7,0))</f>
        <v>0.19350000000000001</v>
      </c>
      <c r="BN183" s="16">
        <f>IF(ISNA(VLOOKUP(A183,'Données projet'!$A$87:$I$107,6,0)),0%,VLOOKUP(A183,'Données projet'!$A$87:$I$107,6,0)*VLOOKUP('Données projet'!$B$11,Paramètres!$A$1:$I$89,7,0))</f>
        <v>2.1500000000000002E-2</v>
      </c>
      <c r="BO183" s="16">
        <f>IF(ISNA(VLOOKUP(A183,'Données projet'!$A$87:$I$107,7,0)),0%,VLOOKUP(A183,'Données projet'!$A$87:$I$107,7,0))</f>
        <v>0.05</v>
      </c>
      <c r="BP183" s="21">
        <f>EXP(-LN(2)/35)*BP182+(1-EXP(-LN(2)/35))/(LN(2)/35)*BL183*BM183*VLOOKUP('Données projet'!$B$11,Paramètres!$A$1:$I$89,3,0)*0.475*44/12</f>
        <v>124.23943061149308</v>
      </c>
      <c r="BQ183" s="21">
        <f>EXP(-LN(2)/25)*BQ182+(1-EXP(-LN(2)/25))/(LN(2)/25)*Calculateur!BL183*Calculateur!BN183*VLOOKUP('Données projet'!$B$11,Paramètres!$A$1:$I$89,3,0)*0.475*44/12</f>
        <v>23.516474371613818</v>
      </c>
      <c r="BR183" s="21">
        <f>EXP(-LN(2)/2)*BR182+(1-EXP(-LN(2)/2))/(LN(2)/2)*BL183*BO183*VLOOKUP('Données projet'!$B$11,Paramètres!$A$1:$I$89,3,0)*0.475*44/12</f>
        <v>6.9345530057429094</v>
      </c>
      <c r="BS183" s="22">
        <f t="shared" si="169"/>
        <v>154.6904579888498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271.56</v>
      </c>
      <c r="BW183" s="12">
        <f>VLOOKUP(A183,'Données projet'!$A$113:$I$133,9,0)</f>
        <v>3.76000000000001</v>
      </c>
      <c r="BX183" s="12">
        <f t="array" ref="BX183">INDEX(BW:BW,MIN(IF(ISNUMBER(BW183:BW379),ROW(BW183:BW379),"")))</f>
        <v>3.76000000000001</v>
      </c>
      <c r="BY183" s="12">
        <f>IF('Données projet'!$A$114&gt;35,BY182+BX183-CG182,IF(A183&lt;'Données projet'!$A$114,$BV$205^A183,IF(A183='Données projet'!$A$114,'Données projet'!$B$114,BY182+BX183-CG182)))</f>
        <v>271.5600000000008</v>
      </c>
      <c r="BZ183" s="13">
        <f>BY183*VLOOKUP('Données projet'!$B$12,Paramètres!$A$1:$I$89,3,0)*VLOOKUP('Données projet'!$B$12,Paramètres!$A$1:$I$89,5,0)</f>
        <v>258.41649600000079</v>
      </c>
      <c r="CA183" s="13">
        <f t="shared" si="170"/>
        <v>62.384718977636233</v>
      </c>
      <c r="CB183" s="20">
        <f t="shared" si="171"/>
        <v>558.72878275271785</v>
      </c>
      <c r="CC183" s="59">
        <f t="shared" si="119"/>
        <v>852.06211608605122</v>
      </c>
      <c r="CD183" s="59">
        <f ca="1">AVERAGE(OFFSET($CC$3,0,0,'Données projet'!$E$12+1,1))-AVERAGE(OFFSET($H$3,0,0,'Données projet'!$E$12+1,1))</f>
        <v>603.61135046904178</v>
      </c>
      <c r="CE183" s="59">
        <f t="shared" si="148"/>
        <v>272.84936867513068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86.97</v>
      </c>
      <c r="CH183" s="16">
        <f>IF(ISNA(VLOOKUP(A183,'Données projet'!$A$113:$I$133,5,0)),0%,VLOOKUP(A183,'Données projet'!$A$113:$I$133,5,0)*VLOOKUP('Données projet'!$B$12,Paramètres!$A$1:$I$89,7,0))</f>
        <v>0.19350000000000001</v>
      </c>
      <c r="CI183" s="16">
        <f>IF(ISNA(VLOOKUP(A183,'Données projet'!$A$113:$I$133,6,0)),0%,VLOOKUP(A183,'Données projet'!$A$113:$I$133,6,0)*VLOOKUP('Données projet'!$B$12,Paramètres!$A$1:$I$89,7,0))</f>
        <v>2.1500000000000002E-2</v>
      </c>
      <c r="CJ183" s="16">
        <f>IF(ISNA(VLOOKUP(A183,'Données projet'!$A$113:$I$133,7,0)),0%,VLOOKUP(A183,'Données projet'!$A$113:$I$133,7,0))</f>
        <v>0.05</v>
      </c>
      <c r="CK183" s="21">
        <f>EXP(-LN(2)/35)*CK182+(1-EXP(-LN(2)/35))/(LN(2)/35)*CG183*CH183*VLOOKUP('Données projet'!$B$12,Paramètres!$A$1:$I$89,3,0)*0.475*44/12</f>
        <v>130.66560805691512</v>
      </c>
      <c r="CL183" s="21">
        <f>EXP(-LN(2)/25)*CL182+(1-EXP(-LN(2)/25))/(LN(2)/25)*Calculateur!CG183*Calculateur!CI183*VLOOKUP('Données projet'!$B$12,Paramètres!$A$1:$I$89,3,0)*0.475*44/12</f>
        <v>24.732843735662808</v>
      </c>
      <c r="CM183" s="21">
        <f>EXP(-LN(2)/2)*CM182+(1-EXP(-LN(2)/2))/(LN(2)/2)*CG183*CJ183*VLOOKUP('Données projet'!$B$12,Paramètres!$A$1:$I$89,3,0)*0.475*44/12</f>
        <v>7.2932367819020261</v>
      </c>
      <c r="CN183" s="22">
        <f t="shared" si="172"/>
        <v>162.69168857447997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54.354300000000002</v>
      </c>
      <c r="D184" s="11">
        <f t="shared" si="140"/>
        <v>15.732753751530185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297.56257908544404</v>
      </c>
      <c r="H184" s="67">
        <f t="shared" si="110"/>
        <v>378.73495195058177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8.5265128291212022E-14</v>
      </c>
      <c r="O184" s="13">
        <f>N184*VLOOKUP('Données projet'!$B$9,Paramètres!$A$1:$I$89,3,0)*VLOOKUP('Données projet'!$B$9,Paramètres!$A$1:$I$89,5,0)</f>
        <v>8.9119112089974823E-14</v>
      </c>
      <c r="P184" s="13">
        <f t="shared" si="141"/>
        <v>1.3568952080113142E-12</v>
      </c>
      <c r="Q184" s="20">
        <f t="shared" si="162"/>
        <v>2.5184749408430782E-12</v>
      </c>
      <c r="R184" s="59">
        <f t="shared" si="109"/>
        <v>293.33333333333582</v>
      </c>
      <c r="S184" s="59">
        <f ca="1">AVERAGE(OFFSET($R$3,0,0,'Données projet'!$E$9+1,1))-AVERAGE(OFFSET($H$3,0,0,'Données projet'!$E$9+1,1))</f>
        <v>225.9892575177542</v>
      </c>
      <c r="T184" s="59">
        <f t="shared" si="142"/>
        <v>215.88467215650428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3.5787637153792735</v>
      </c>
      <c r="AA184" s="21">
        <f>EXP(-LN(2)/25)*AA183+(1-EXP(-LN(2)/25))/(LN(2)/25)*Calculateur!V184*Calculateur!X184*VLOOKUP('Données projet'!$B$9,Paramètres!$A$1:$I$89,3,0)*0.475*44/12</f>
        <v>4.8102259430550953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8.3889896584343688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2.2933333333333317</v>
      </c>
      <c r="AI184" s="13">
        <f>IF('Données projet'!$A$62&gt;35,AI183+AH184-AQ183,IF(A184&lt;'Données projet'!$A$62,$AF$205^A184,IF(A184='Données projet'!$A$62,'Données projet'!$B$62,AI183+AH184-AQ183)))</f>
        <v>186.88333333333415</v>
      </c>
      <c r="AJ184" s="13">
        <f>AI184*VLOOKUP('Données projet'!$B$10,Paramètres!$A$1:$I$89,3,0)*VLOOKUP('Données projet'!$B$10,Paramètres!$A$1:$I$89,5,0)</f>
        <v>189.49970000000084</v>
      </c>
      <c r="AK184" s="13">
        <f t="shared" si="164"/>
        <v>47.42932665712091</v>
      </c>
      <c r="AL184" s="20">
        <f t="shared" si="165"/>
        <v>412.651388094487</v>
      </c>
      <c r="AM184" s="59">
        <f t="shared" si="113"/>
        <v>705.98472142782032</v>
      </c>
      <c r="AN184" s="59">
        <f ca="1">AVERAGE(OFFSET($AM$3,0,0,'Données projet'!$E$10+1,1))-AVERAGE(OFFSET($H$3,0,0,'Données projet'!$E$10+1,1))</f>
        <v>644.15138437063933</v>
      </c>
      <c r="AO184" s="59">
        <f t="shared" si="144"/>
        <v>289.3097279858207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136.50355388146846</v>
      </c>
      <c r="AV184" s="21">
        <f>EXP(-LN(2)/25)*AV183+(1-EXP(-LN(2)/25))/(LN(2)/25)*Calculateur!AQ184*Calculateur!AS184*VLOOKUP('Données projet'!$B$10,Paramètres!$A$1:$I$89,3,0)*0.475*44/12</f>
        <v>25.633999729498047</v>
      </c>
      <c r="AW184" s="21">
        <f>EXP(-LN(2)/2)*AW183+(1-EXP(-LN(2)/2))/(LN(2)/2)*AQ184*AT184*VLOOKUP('Données projet'!$B$10,Paramètres!$A$1:$I$89,3,0)*0.475*44/12</f>
        <v>5.4952674925136877</v>
      </c>
      <c r="AX184" s="21">
        <f t="shared" si="166"/>
        <v>167.63282110348018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2.2933333333333317</v>
      </c>
      <c r="BD184" s="12">
        <f>IF('Données projet'!$A$88&gt;35,BD183+BC184-BL183,IF(A184&lt;'Données projet'!$A$88,$BA$205^A184,IF(A184='Données projet'!$A$88,'Données projet'!$B$88,BD183+BC184-BL183)))</f>
        <v>186.88333333333415</v>
      </c>
      <c r="BE184" s="13">
        <f>BD184*VLOOKUP('Données projet'!$B$11,Paramètres!$A$1:$I$89,3,0)*VLOOKUP('Données projet'!$B$11,Paramètres!$A$1:$I$89,5,0)</f>
        <v>169.09204000000074</v>
      </c>
      <c r="BF184" s="13">
        <f t="shared" si="167"/>
        <v>42.886607412438856</v>
      </c>
      <c r="BG184" s="20">
        <f t="shared" si="168"/>
        <v>369.1961442433323</v>
      </c>
      <c r="BH184" s="59">
        <f t="shared" si="116"/>
        <v>662.52947757666561</v>
      </c>
      <c r="BI184" s="59">
        <f ca="1">AVERAGE(OFFSET($BH$3,0,0,'Données projet'!$E$11+1,1))-AVERAGE(OFFSET($H$3,0,0,'Données projet'!$E$11+1,1))</f>
        <v>573.17174498173017</v>
      </c>
      <c r="BJ184" s="59">
        <f t="shared" si="146"/>
        <v>260.48854096157231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121.80317115577186</v>
      </c>
      <c r="BQ184" s="21">
        <f>EXP(-LN(2)/25)*BQ183+(1-EXP(-LN(2)/25))/(LN(2)/25)*Calculateur!BL184*Calculateur!BN184*VLOOKUP('Données projet'!$B$11,Paramètres!$A$1:$I$89,3,0)*0.475*44/12</f>
        <v>22.873415143244397</v>
      </c>
      <c r="BR184" s="21">
        <f>EXP(-LN(2)/2)*BR183+(1-EXP(-LN(2)/2))/(LN(2)/2)*BL184*BO184*VLOOKUP('Données projet'!$B$11,Paramètres!$A$1:$I$89,3,0)*0.475*44/12</f>
        <v>4.9034694548583673</v>
      </c>
      <c r="BS184" s="22">
        <f t="shared" si="169"/>
        <v>149.58005575387463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2.2933333333333317</v>
      </c>
      <c r="BY184" s="12">
        <f>IF('Données projet'!$A$114&gt;35,BY183+BX184-CG183,IF(A184&lt;'Données projet'!$A$114,$BV$205^A184,IF(A184='Données projet'!$A$114,'Données projet'!$B$114,BY183+BX184-CG183)))</f>
        <v>186.88333333333415</v>
      </c>
      <c r="BZ184" s="13">
        <f>BY184*VLOOKUP('Données projet'!$B$12,Paramètres!$A$1:$I$89,3,0)*VLOOKUP('Données projet'!$B$12,Paramètres!$A$1:$I$89,5,0)</f>
        <v>177.83818000000079</v>
      </c>
      <c r="CA184" s="13">
        <f t="shared" si="170"/>
        <v>44.840883344491083</v>
      </c>
      <c r="CB184" s="20">
        <f t="shared" si="171"/>
        <v>387.83270199165668</v>
      </c>
      <c r="CC184" s="59">
        <f t="shared" si="119"/>
        <v>681.16603532498993</v>
      </c>
      <c r="CD184" s="59">
        <f ca="1">AVERAGE(OFFSET($CC$3,0,0,'Données projet'!$E$12+1,1))-AVERAGE(OFFSET($H$3,0,0,'Données projet'!$E$12+1,1))</f>
        <v>603.61135046904178</v>
      </c>
      <c r="CE184" s="59">
        <f t="shared" si="148"/>
        <v>272.84936867513068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128.10333518107038</v>
      </c>
      <c r="CL184" s="21">
        <f>EXP(-LN(2)/25)*CL183+(1-EXP(-LN(2)/25))/(LN(2)/25)*Calculateur!CG184*Calculateur!CI184*VLOOKUP('Données projet'!$B$12,Paramètres!$A$1:$I$89,3,0)*0.475*44/12</f>
        <v>24.056522823067382</v>
      </c>
      <c r="CM184" s="21">
        <f>EXP(-LN(2)/2)*CM183+(1-EXP(-LN(2)/2))/(LN(2)/2)*CG184*CJ184*VLOOKUP('Données projet'!$B$12,Paramètres!$A$1:$I$89,3,0)*0.475*44/12</f>
        <v>5.1570971852820762</v>
      </c>
      <c r="CN184" s="22">
        <f t="shared" si="172"/>
        <v>157.31695518941984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54.654600000000002</v>
      </c>
      <c r="D185" s="11">
        <f t="shared" si="140"/>
        <v>15.809532759296294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299.16351101315269</v>
      </c>
      <c r="H185" s="67">
        <f t="shared" si="110"/>
        <v>379.39169788910772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8.5265128291212022E-14</v>
      </c>
      <c r="O185" s="13">
        <f>N185*VLOOKUP('Données projet'!$B$9,Paramètres!$A$1:$I$89,3,0)*VLOOKUP('Données projet'!$B$9,Paramètres!$A$1:$I$89,5,0)</f>
        <v>8.9119112089974823E-14</v>
      </c>
      <c r="P185" s="13">
        <f t="shared" si="141"/>
        <v>1.3568952080113142E-12</v>
      </c>
      <c r="Q185" s="20">
        <f t="shared" si="162"/>
        <v>2.5184749408430782E-12</v>
      </c>
      <c r="R185" s="59">
        <f t="shared" si="109"/>
        <v>293.33333333333582</v>
      </c>
      <c r="S185" s="59">
        <f ca="1">AVERAGE(OFFSET($R$3,0,0,'Données projet'!$E$9+1,1))-AVERAGE(OFFSET($H$3,0,0,'Données projet'!$E$9+1,1))</f>
        <v>225.9892575177542</v>
      </c>
      <c r="T185" s="59">
        <f t="shared" si="142"/>
        <v>215.88467215650428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3.5085863417510157</v>
      </c>
      <c r="AA185" s="21">
        <f>EXP(-LN(2)/25)*AA184+(1-EXP(-LN(2)/25))/(LN(2)/25)*Calculateur!V185*Calculateur!X185*VLOOKUP('Données projet'!$B$9,Paramètres!$A$1:$I$89,3,0)*0.475*44/12</f>
        <v>4.678690061683465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8.1872764034344812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2.2933333333333317</v>
      </c>
      <c r="AI185" s="13">
        <f>IF('Données projet'!$A$62&gt;35,AI184+AH185-AQ184,IF(A185&lt;'Données projet'!$A$62,$AF$205^A185,IF(A185='Données projet'!$A$62,'Données projet'!$B$62,AI184+AH185-AQ184)))</f>
        <v>189.17666666666747</v>
      </c>
      <c r="AJ185" s="13">
        <f>AI185*VLOOKUP('Données projet'!$B$10,Paramètres!$A$1:$I$89,3,0)*VLOOKUP('Données projet'!$B$10,Paramètres!$A$1:$I$89,5,0)</f>
        <v>191.82514000000083</v>
      </c>
      <c r="AK185" s="13">
        <f t="shared" si="164"/>
        <v>47.943240602417134</v>
      </c>
      <c r="AL185" s="20">
        <f t="shared" si="165"/>
        <v>417.59659621587792</v>
      </c>
      <c r="AM185" s="59">
        <f t="shared" si="113"/>
        <v>710.92992954921124</v>
      </c>
      <c r="AN185" s="59">
        <f ca="1">AVERAGE(OFFSET($AM$3,0,0,'Données projet'!$E$10+1,1))-AVERAGE(OFFSET($H$3,0,0,'Données projet'!$E$10+1,1))</f>
        <v>644.15138437063933</v>
      </c>
      <c r="AO185" s="59">
        <f t="shared" si="144"/>
        <v>289.3097279858207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133.82680244879958</v>
      </c>
      <c r="AV185" s="21">
        <f>EXP(-LN(2)/25)*AV184+(1-EXP(-LN(2)/25))/(LN(2)/25)*Calculateur!AQ185*Calculateur!AS185*VLOOKUP('Données projet'!$B$10,Paramètres!$A$1:$I$89,3,0)*0.475*44/12</f>
        <v>24.933036658861464</v>
      </c>
      <c r="AW185" s="21">
        <f>EXP(-LN(2)/2)*AW184+(1-EXP(-LN(2)/2))/(LN(2)/2)*AQ185*AT185*VLOOKUP('Données projet'!$B$10,Paramètres!$A$1:$I$89,3,0)*0.475*44/12</f>
        <v>3.885740908390424</v>
      </c>
      <c r="AX185" s="21">
        <f t="shared" si="166"/>
        <v>162.64558001605147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2.2933333333333317</v>
      </c>
      <c r="BD185" s="12">
        <f>IF('Données projet'!$A$88&gt;35,BD184+BC185-BL184,IF(A185&lt;'Données projet'!$A$88,$BA$205^A185,IF(A185='Données projet'!$A$88,'Données projet'!$B$88,BD184+BC185-BL184)))</f>
        <v>189.17666666666747</v>
      </c>
      <c r="BE185" s="13">
        <f>BD185*VLOOKUP('Données projet'!$B$11,Paramètres!$A$1:$I$89,3,0)*VLOOKUP('Données projet'!$B$11,Paramètres!$A$1:$I$89,5,0)</f>
        <v>171.16704800000073</v>
      </c>
      <c r="BF185" s="13">
        <f t="shared" si="167"/>
        <v>43.351299348190551</v>
      </c>
      <c r="BG185" s="20">
        <f t="shared" si="168"/>
        <v>373.61945496476648</v>
      </c>
      <c r="BH185" s="59">
        <f t="shared" si="116"/>
        <v>666.95278829809979</v>
      </c>
      <c r="BI185" s="59">
        <f ca="1">AVERAGE(OFFSET($BH$3,0,0,'Données projet'!$E$11+1,1))-AVERAGE(OFFSET($H$3,0,0,'Données projet'!$E$11+1,1))</f>
        <v>573.17174498173017</v>
      </c>
      <c r="BJ185" s="59">
        <f t="shared" si="146"/>
        <v>260.48854096157231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119.4146852620058</v>
      </c>
      <c r="BQ185" s="21">
        <f>EXP(-LN(2)/25)*BQ184+(1-EXP(-LN(2)/25))/(LN(2)/25)*Calculateur!BL185*Calculateur!BN185*VLOOKUP('Données projet'!$B$11,Paramètres!$A$1:$I$89,3,0)*0.475*44/12</f>
        <v>22.247940403291754</v>
      </c>
      <c r="BR185" s="21">
        <f>EXP(-LN(2)/2)*BR184+(1-EXP(-LN(2)/2))/(LN(2)/2)*BL185*BO185*VLOOKUP('Données projet'!$B$11,Paramètres!$A$1:$I$89,3,0)*0.475*44/12</f>
        <v>3.4672765028714552</v>
      </c>
      <c r="BS185" s="22">
        <f t="shared" si="169"/>
        <v>145.129902168169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2.2933333333333317</v>
      </c>
      <c r="BY185" s="12">
        <f>IF('Données projet'!$A$114&gt;35,BY184+BX185-CG184,IF(A185&lt;'Données projet'!$A$114,$BV$205^A185,IF(A185='Données projet'!$A$114,'Données projet'!$B$114,BY184+BX185-CG184)))</f>
        <v>189.17666666666747</v>
      </c>
      <c r="BZ185" s="13">
        <f>BY185*VLOOKUP('Données projet'!$B$12,Paramètres!$A$1:$I$89,3,0)*VLOOKUP('Données projet'!$B$12,Paramètres!$A$1:$I$89,5,0)</f>
        <v>180.02051600000075</v>
      </c>
      <c r="CA185" s="13">
        <f t="shared" si="170"/>
        <v>45.326750568302394</v>
      </c>
      <c r="CB185" s="20">
        <f t="shared" si="171"/>
        <v>392.47982260646131</v>
      </c>
      <c r="CC185" s="59">
        <f t="shared" si="119"/>
        <v>685.81315593979457</v>
      </c>
      <c r="CD185" s="59">
        <f ca="1">AVERAGE(OFFSET($CC$3,0,0,'Données projet'!$E$12+1,1))-AVERAGE(OFFSET($H$3,0,0,'Données projet'!$E$12+1,1))</f>
        <v>603.61135046904178</v>
      </c>
      <c r="CE185" s="59">
        <f t="shared" si="148"/>
        <v>272.84936867513068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125.59130691348882</v>
      </c>
      <c r="CL185" s="21">
        <f>EXP(-LN(2)/25)*CL184+(1-EXP(-LN(2)/25))/(LN(2)/25)*Calculateur!CG185*Calculateur!CI185*VLOOKUP('Données projet'!$B$12,Paramètres!$A$1:$I$89,3,0)*0.475*44/12</f>
        <v>23.398695941393051</v>
      </c>
      <c r="CM185" s="21">
        <f>EXP(-LN(2)/2)*CM184+(1-EXP(-LN(2)/2))/(LN(2)/2)*CG185*CJ185*VLOOKUP('Données projet'!$B$12,Paramètres!$A$1:$I$89,3,0)*0.475*44/12</f>
        <v>3.6466183909510135</v>
      </c>
      <c r="CN185" s="22">
        <f t="shared" si="172"/>
        <v>152.63662124583288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54.954900000000002</v>
      </c>
      <c r="D186" s="11">
        <f t="shared" si="140"/>
        <v>15.886262677684552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300.76423452630991</v>
      </c>
      <c r="H186" s="67">
        <f t="shared" si="110"/>
        <v>380.04835833030063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8.5265128291212022E-14</v>
      </c>
      <c r="O186" s="13">
        <f>N186*VLOOKUP('Données projet'!$B$9,Paramètres!$A$1:$I$89,3,0)*VLOOKUP('Données projet'!$B$9,Paramètres!$A$1:$I$89,5,0)</f>
        <v>8.9119112089974823E-14</v>
      </c>
      <c r="P186" s="13">
        <f t="shared" si="141"/>
        <v>1.3568952080113142E-12</v>
      </c>
      <c r="Q186" s="20">
        <f t="shared" si="162"/>
        <v>2.5184749408430782E-12</v>
      </c>
      <c r="R186" s="59">
        <f t="shared" si="109"/>
        <v>293.33333333333582</v>
      </c>
      <c r="S186" s="59">
        <f ca="1">AVERAGE(OFFSET($R$3,0,0,'Données projet'!$E$9+1,1))-AVERAGE(OFFSET($H$3,0,0,'Données projet'!$E$9+1,1))</f>
        <v>225.9892575177542</v>
      </c>
      <c r="T186" s="59">
        <f t="shared" si="142"/>
        <v>215.88467215650428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3.4397851036156366</v>
      </c>
      <c r="AA186" s="21">
        <f>EXP(-LN(2)/25)*AA185+(1-EXP(-LN(2)/25))/(LN(2)/25)*Calculateur!V186*Calculateur!X186*VLOOKUP('Données projet'!$B$9,Paramètres!$A$1:$I$89,3,0)*0.475*44/12</f>
        <v>4.5507510359051135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7.9905361395207501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2.2933333333333317</v>
      </c>
      <c r="AH186" s="12">
        <f t="array" ref="AH186">INDEX(AG:AG,MIN(IF(ISNUMBER(AG186:AG382),ROW(AG186:AG382),"")))</f>
        <v>2.2933333333333317</v>
      </c>
      <c r="AI186" s="13">
        <f>IF('Données projet'!$A$62&gt;35,AI185+AH186-AQ185,IF(A186&lt;'Données projet'!$A$62,$AF$205^A186,IF(A186='Données projet'!$A$62,'Données projet'!$B$62,AI185+AH186-AQ185)))</f>
        <v>191.47000000000079</v>
      </c>
      <c r="AJ186" s="13">
        <f>AI186*VLOOKUP('Données projet'!$B$10,Paramètres!$A$1:$I$89,3,0)*VLOOKUP('Données projet'!$B$10,Paramètres!$A$1:$I$89,5,0)</f>
        <v>194.15058000000082</v>
      </c>
      <c r="AK186" s="13">
        <f t="shared" si="164"/>
        <v>48.456429865053252</v>
      </c>
      <c r="AL186" s="20">
        <f t="shared" si="165"/>
        <v>422.54054218163583</v>
      </c>
      <c r="AM186" s="59">
        <f t="shared" si="113"/>
        <v>715.87387551496909</v>
      </c>
      <c r="AN186" s="59">
        <f ca="1">AVERAGE(OFFSET($AM$3,0,0,'Données projet'!$E$10+1,1))-AVERAGE(OFFSET($H$3,0,0,'Données projet'!$E$10+1,1))</f>
        <v>644.15138437063933</v>
      </c>
      <c r="AO186" s="59">
        <f t="shared" si="144"/>
        <v>289.3097279858207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191.47</v>
      </c>
      <c r="AR186" s="16">
        <f>IF(ISNA(VLOOKUP(A186,'Données projet'!$A$61:$I$81,5,0)),0%,VLOOKUP(A186,'Données projet'!$A$61:$I$81,5,0)*VLOOKUP('Données projet'!$B$10,Paramètres!$A$1:$I$89,7,0))</f>
        <v>0.19350000000000001</v>
      </c>
      <c r="AS186" s="16">
        <f>IF(ISNA(VLOOKUP(A186,'Données projet'!$A$61:$I$81,6,0)),0%,VLOOKUP(A186,'Données projet'!$A$61:$I$81,6,0)*VLOOKUP('Données projet'!$B$10,Paramètres!$A$1:$I$89,7,0))</f>
        <v>2.1500000000000002E-2</v>
      </c>
      <c r="AT186" s="16">
        <f>IF(ISNA(VLOOKUP(A186,'Données projet'!$A$61:$I$81,7,0)),0%,VLOOKUP(A186,'Données projet'!$A$61:$I$81,7,0))</f>
        <v>0.05</v>
      </c>
      <c r="AU186" s="21">
        <f>EXP(-LN(2)/35)*AU185+(1-EXP(-LN(2)/35))/(LN(2)/35)*AQ186*AR186*VLOOKUP('Données projet'!$B$10,Paramètres!$A$1:$I$89,3,0)*0.475*44/12</f>
        <v>172.73300340106223</v>
      </c>
      <c r="AV186" s="21">
        <f>EXP(-LN(2)/25)*AV185+(1-EXP(-LN(2)/25))/(LN(2)/25)*Calculateur!AQ186*Calculateur!AS186*VLOOKUP('Données projet'!$B$10,Paramètres!$A$1:$I$89,3,0)*0.475*44/12</f>
        <v>28.847568311933841</v>
      </c>
      <c r="AW186" s="21">
        <f>EXP(-LN(2)/2)*AW185+(1-EXP(-LN(2)/2))/(LN(2)/2)*AQ186*AT186*VLOOKUP('Données projet'!$B$10,Paramètres!$A$1:$I$89,3,0)*0.475*44/12</f>
        <v>11.906948632069174</v>
      </c>
      <c r="AX186" s="21">
        <f t="shared" si="166"/>
        <v>213.48752034506524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191.47</v>
      </c>
      <c r="BB186" s="12">
        <f>VLOOKUP(A186,'Données projet'!$A$87:$I$107,9,0)</f>
        <v>2.2933333333333317</v>
      </c>
      <c r="BC186" s="12">
        <f t="array" ref="BC186">INDEX(BB:BB,MIN(IF(ISNUMBER(BB186:BB382),ROW(BB186:BB382),"")))</f>
        <v>2.2933333333333317</v>
      </c>
      <c r="BD186" s="12">
        <f>IF('Données projet'!$A$88&gt;35,BD185+BC186-BL185,IF(A186&lt;'Données projet'!$A$88,$BA$205^A186,IF(A186='Données projet'!$A$88,'Données projet'!$B$88,BD185+BC186-BL185)))</f>
        <v>191.47000000000079</v>
      </c>
      <c r="BE186" s="13">
        <f>BD186*VLOOKUP('Données projet'!$B$11,Paramètres!$A$1:$I$89,3,0)*VLOOKUP('Données projet'!$B$11,Paramètres!$A$1:$I$89,5,0)</f>
        <v>173.2420560000007</v>
      </c>
      <c r="BF186" s="13">
        <f t="shared" si="167"/>
        <v>43.815336010445158</v>
      </c>
      <c r="BG186" s="20">
        <f t="shared" si="168"/>
        <v>378.04162441819318</v>
      </c>
      <c r="BH186" s="59">
        <f t="shared" si="116"/>
        <v>671.37495775152649</v>
      </c>
      <c r="BI186" s="59">
        <f ca="1">AVERAGE(OFFSET($BH$3,0,0,'Données projet'!$E$11+1,1))-AVERAGE(OFFSET($H$3,0,0,'Données projet'!$E$11+1,1))</f>
        <v>573.17174498173017</v>
      </c>
      <c r="BJ186" s="59">
        <f t="shared" si="146"/>
        <v>260.48854096157231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191.47</v>
      </c>
      <c r="BM186" s="16">
        <f>IF(ISNA(VLOOKUP(A186,'Données projet'!$A$87:$I$107,5,0)),0%,VLOOKUP(A186,'Données projet'!$A$87:$I$107,5,0)*VLOOKUP('Données projet'!$B$11,Paramètres!$A$1:$I$89,7,0))</f>
        <v>0.19350000000000001</v>
      </c>
      <c r="BN186" s="16">
        <f>IF(ISNA(VLOOKUP(A186,'Données projet'!$A$87:$I$107,6,0)),0%,VLOOKUP(A186,'Données projet'!$A$87:$I$107,6,0)*VLOOKUP('Données projet'!$B$11,Paramètres!$A$1:$I$89,7,0))</f>
        <v>2.1500000000000002E-2</v>
      </c>
      <c r="BO186" s="16">
        <f>IF(ISNA(VLOOKUP(A186,'Données projet'!$A$87:$I$107,7,0)),0%,VLOOKUP(A186,'Données projet'!$A$87:$I$107,7,0))</f>
        <v>0.05</v>
      </c>
      <c r="BP186" s="21">
        <f>EXP(-LN(2)/35)*BP185+(1-EXP(-LN(2)/35))/(LN(2)/35)*BL186*BM186*VLOOKUP('Données projet'!$B$11,Paramètres!$A$1:$I$89,3,0)*0.475*44/12</f>
        <v>154.13098765017864</v>
      </c>
      <c r="BQ186" s="21">
        <f>EXP(-LN(2)/25)*BQ185+(1-EXP(-LN(2)/25))/(LN(2)/25)*Calculateur!BL186*Calculateur!BN186*VLOOKUP('Données projet'!$B$11,Paramètres!$A$1:$I$89,3,0)*0.475*44/12</f>
        <v>25.740907109110182</v>
      </c>
      <c r="BR186" s="21">
        <f>EXP(-LN(2)/2)*BR185+(1-EXP(-LN(2)/2))/(LN(2)/2)*BL186*BO186*VLOOKUP('Données projet'!$B$11,Paramètres!$A$1:$I$89,3,0)*0.475*44/12</f>
        <v>10.624661856307879</v>
      </c>
      <c r="BS186" s="22">
        <f t="shared" si="169"/>
        <v>190.49655661559669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191.47</v>
      </c>
      <c r="BW186" s="12">
        <f>VLOOKUP(A186,'Données projet'!$A$113:$I$133,9,0)</f>
        <v>2.2933333333333317</v>
      </c>
      <c r="BX186" s="12">
        <f t="array" ref="BX186">INDEX(BW:BW,MIN(IF(ISNUMBER(BW186:BW382),ROW(BW186:BW382),"")))</f>
        <v>2.2933333333333317</v>
      </c>
      <c r="BY186" s="12">
        <f>IF('Données projet'!$A$114&gt;35,BY185+BX186-CG185,IF(A186&lt;'Données projet'!$A$114,$BV$205^A186,IF(A186='Données projet'!$A$114,'Données projet'!$B$114,BY185+BX186-CG185)))</f>
        <v>191.47000000000079</v>
      </c>
      <c r="BZ186" s="13">
        <f>BY186*VLOOKUP('Données projet'!$B$12,Paramètres!$A$1:$I$89,3,0)*VLOOKUP('Données projet'!$B$12,Paramètres!$A$1:$I$89,5,0)</f>
        <v>182.20285200000077</v>
      </c>
      <c r="CA186" s="13">
        <f t="shared" si="170"/>
        <v>45.811932658823523</v>
      </c>
      <c r="CB186" s="20">
        <f t="shared" si="171"/>
        <v>397.12574994745228</v>
      </c>
      <c r="CC186" s="59">
        <f t="shared" si="119"/>
        <v>690.45908328078553</v>
      </c>
      <c r="CD186" s="59">
        <f ca="1">AVERAGE(OFFSET($CC$3,0,0,'Données projet'!$E$12+1,1))-AVERAGE(OFFSET($H$3,0,0,'Données projet'!$E$12+1,1))</f>
        <v>603.61135046904178</v>
      </c>
      <c r="CE186" s="59">
        <f t="shared" si="148"/>
        <v>272.84936867513068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191.47</v>
      </c>
      <c r="CH186" s="16">
        <f>IF(ISNA(VLOOKUP(A186,'Données projet'!$A$113:$I$133,5,0)),0%,VLOOKUP(A186,'Données projet'!$A$113:$I$133,5,0)*VLOOKUP('Données projet'!$B$12,Paramètres!$A$1:$I$89,7,0))</f>
        <v>0.19350000000000001</v>
      </c>
      <c r="CI186" s="16">
        <f>IF(ISNA(VLOOKUP(A186,'Données projet'!$A$113:$I$133,6,0)),0%,VLOOKUP(A186,'Données projet'!$A$113:$I$133,6,0)*VLOOKUP('Données projet'!$B$12,Paramètres!$A$1:$I$89,7,0))</f>
        <v>2.1500000000000002E-2</v>
      </c>
      <c r="CJ186" s="16">
        <f>IF(ISNA(VLOOKUP(A186,'Données projet'!$A$113:$I$133,7,0)),0%,VLOOKUP(A186,'Données projet'!$A$113:$I$133,7,0))</f>
        <v>0.05</v>
      </c>
      <c r="CK186" s="21">
        <f>EXP(-LN(2)/35)*CK185+(1-EXP(-LN(2)/35))/(LN(2)/35)*CG186*CH186*VLOOKUP('Données projet'!$B$12,Paramètres!$A$1:$I$89,3,0)*0.475*44/12</f>
        <v>162.10328011484302</v>
      </c>
      <c r="CL186" s="21">
        <f>EXP(-LN(2)/25)*CL185+(1-EXP(-LN(2)/25))/(LN(2)/25)*Calculateur!CG186*Calculateur!CI186*VLOOKUP('Données projet'!$B$12,Paramètres!$A$1:$I$89,3,0)*0.475*44/12</f>
        <v>27.072333338891738</v>
      </c>
      <c r="CM186" s="21">
        <f>EXP(-LN(2)/2)*CM185+(1-EXP(-LN(2)/2))/(LN(2)/2)*CG186*CJ186*VLOOKUP('Données projet'!$B$12,Paramètres!$A$1:$I$89,3,0)*0.475*44/12</f>
        <v>11.174213331634148</v>
      </c>
      <c r="CN186" s="22">
        <f t="shared" si="172"/>
        <v>200.34982678536889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55.255200000000002</v>
      </c>
      <c r="D187" s="11">
        <f t="shared" si="140"/>
        <v>15.962943806074771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302.36475089596667</v>
      </c>
      <c r="H187" s="67">
        <f t="shared" si="110"/>
        <v>380.70493379558025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8.5265128291212022E-14</v>
      </c>
      <c r="O187" s="13">
        <f>N187*VLOOKUP('Données projet'!$B$9,Paramètres!$A$1:$I$89,3,0)*VLOOKUP('Données projet'!$B$9,Paramètres!$A$1:$I$89,5,0)</f>
        <v>8.9119112089974823E-14</v>
      </c>
      <c r="P187" s="13">
        <f t="shared" si="141"/>
        <v>1.3568952080113142E-12</v>
      </c>
      <c r="Q187" s="20">
        <f t="shared" si="162"/>
        <v>2.5184749408430782E-12</v>
      </c>
      <c r="R187" s="59">
        <f t="shared" si="109"/>
        <v>293.33333333333582</v>
      </c>
      <c r="S187" s="59">
        <f ca="1">AVERAGE(OFFSET($R$3,0,0,'Données projet'!$E$9+1,1))-AVERAGE(OFFSET($H$3,0,0,'Données projet'!$E$9+1,1))</f>
        <v>225.9892575177542</v>
      </c>
      <c r="T187" s="59">
        <f t="shared" si="142"/>
        <v>215.88467215650428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3.3723330157954807</v>
      </c>
      <c r="AA187" s="21">
        <f>EXP(-LN(2)/25)*AA186+(1-EXP(-LN(2)/25))/(LN(2)/25)*Calculateur!V187*Calculateur!X187*VLOOKUP('Données projet'!$B$9,Paramètres!$A$1:$I$89,3,0)*0.475*44/12</f>
        <v>4.4263105095146917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7.7986435253101725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7.9580786405131221E-13</v>
      </c>
      <c r="AJ187" s="13">
        <f>AI187*VLOOKUP('Données projet'!$B$10,Paramètres!$A$1:$I$89,3,0)*VLOOKUP('Données projet'!$B$10,Paramètres!$A$1:$I$89,5,0)</f>
        <v>8.0694917414803056E-13</v>
      </c>
      <c r="AK187" s="13">
        <f t="shared" si="164"/>
        <v>9.5069530861628001E-12</v>
      </c>
      <c r="AL187" s="20">
        <f t="shared" si="165"/>
        <v>1.7963379770041364E-11</v>
      </c>
      <c r="AM187" s="59">
        <f t="shared" si="113"/>
        <v>293.33333333335128</v>
      </c>
      <c r="AN187" s="59">
        <f ca="1">AVERAGE(OFFSET($AM$3,0,0,'Données projet'!$E$10+1,1))-AVERAGE(OFFSET($H$3,0,0,'Données projet'!$E$10+1,1))</f>
        <v>644.15138437063933</v>
      </c>
      <c r="AO187" s="59">
        <f t="shared" si="144"/>
        <v>289.3097279858207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169.34581456109638</v>
      </c>
      <c r="AV187" s="21">
        <f>EXP(-LN(2)/25)*AV186+(1-EXP(-LN(2)/25))/(LN(2)/25)*Calculateur!AQ187*Calculateur!AS187*VLOOKUP('Données projet'!$B$10,Paramètres!$A$1:$I$89,3,0)*0.475*44/12</f>
        <v>28.058730039416325</v>
      </c>
      <c r="AW187" s="21">
        <f>EXP(-LN(2)/2)*AW186+(1-EXP(-LN(2)/2))/(LN(2)/2)*AQ187*AT187*VLOOKUP('Données projet'!$B$10,Paramètres!$A$1:$I$89,3,0)*0.475*44/12</f>
        <v>8.4194841209759996</v>
      </c>
      <c r="AX187" s="21">
        <f t="shared" si="166"/>
        <v>205.8240287214887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7.9580786405131221E-13</v>
      </c>
      <c r="BE187" s="13">
        <f>BD187*VLOOKUP('Données projet'!$B$11,Paramètres!$A$1:$I$89,3,0)*VLOOKUP('Données projet'!$B$11,Paramètres!$A$1:$I$89,5,0)</f>
        <v>7.2004695539362725E-13</v>
      </c>
      <c r="BF187" s="13">
        <f t="shared" si="167"/>
        <v>8.5963894794935589E-12</v>
      </c>
      <c r="BG187" s="20">
        <f t="shared" si="168"/>
        <v>1.6226126790761848E-11</v>
      </c>
      <c r="BH187" s="59">
        <f t="shared" si="116"/>
        <v>293.33333333334951</v>
      </c>
      <c r="BI187" s="59">
        <f ca="1">AVERAGE(OFFSET($BH$3,0,0,'Données projet'!$E$11+1,1))-AVERAGE(OFFSET($H$3,0,0,'Données projet'!$E$11+1,1))</f>
        <v>573.17174498173017</v>
      </c>
      <c r="BJ187" s="59">
        <f t="shared" si="146"/>
        <v>260.48854096157231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151.10857299297834</v>
      </c>
      <c r="BQ187" s="21">
        <f>EXP(-LN(2)/25)*BQ186+(1-EXP(-LN(2)/25))/(LN(2)/25)*Calculateur!BL187*Calculateur!BN187*VLOOKUP('Données projet'!$B$11,Paramètres!$A$1:$I$89,3,0)*0.475*44/12</f>
        <v>25.037020650556091</v>
      </c>
      <c r="BR187" s="21">
        <f>EXP(-LN(2)/2)*BR186+(1-EXP(-LN(2)/2))/(LN(2)/2)*BL187*BO187*VLOOKUP('Données projet'!$B$11,Paramètres!$A$1:$I$89,3,0)*0.475*44/12</f>
        <v>7.5127704464093537</v>
      </c>
      <c r="BS187" s="22">
        <f t="shared" si="169"/>
        <v>183.65836408994377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7.9580786405131221E-13</v>
      </c>
      <c r="BZ187" s="13">
        <f>BY187*VLOOKUP('Données projet'!$B$12,Paramètres!$A$1:$I$89,3,0)*VLOOKUP('Données projet'!$B$12,Paramètres!$A$1:$I$89,5,0)</f>
        <v>7.572907634312286E-13</v>
      </c>
      <c r="CA187" s="13">
        <f t="shared" si="170"/>
        <v>8.9881135648416407E-12</v>
      </c>
      <c r="CB187" s="20">
        <f t="shared" si="171"/>
        <v>1.6973245871741914E-11</v>
      </c>
      <c r="CC187" s="59">
        <f t="shared" si="119"/>
        <v>293.33333333335031</v>
      </c>
      <c r="CD187" s="59">
        <f ca="1">AVERAGE(OFFSET($CC$3,0,0,'Données projet'!$E$12+1,1))-AVERAGE(OFFSET($H$3,0,0,'Données projet'!$E$12+1,1))</f>
        <v>603.61135046904178</v>
      </c>
      <c r="CE187" s="59">
        <f t="shared" si="148"/>
        <v>272.84936867513068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158.92453366502889</v>
      </c>
      <c r="CL187" s="21">
        <f>EXP(-LN(2)/25)*CL186+(1-EXP(-LN(2)/25))/(LN(2)/25)*Calculateur!CG187*Calculateur!CI187*VLOOKUP('Données projet'!$B$12,Paramètres!$A$1:$I$89,3,0)*0.475*44/12</f>
        <v>26.332038960067607</v>
      </c>
      <c r="CM187" s="21">
        <f>EXP(-LN(2)/2)*CM186+(1-EXP(-LN(2)/2))/(LN(2)/2)*CG187*CJ187*VLOOKUP('Données projet'!$B$12,Paramètres!$A$1:$I$89,3,0)*0.475*44/12</f>
        <v>7.9013620212236297</v>
      </c>
      <c r="CN187" s="22">
        <f t="shared" si="172"/>
        <v>193.15793464632014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55.555500000000002</v>
      </c>
      <c r="D188" s="11">
        <f t="shared" si="140"/>
        <v>16.039576440404236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303.9650613785584</v>
      </c>
      <c r="H188" s="67">
        <f t="shared" si="110"/>
        <v>381.36142480037074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8.5265128291212022E-14</v>
      </c>
      <c r="O188" s="13">
        <f>N188*VLOOKUP('Données projet'!$B$9,Paramètres!$A$1:$I$89,3,0)*VLOOKUP('Données projet'!$B$9,Paramètres!$A$1:$I$89,5,0)</f>
        <v>8.9119112089974823E-14</v>
      </c>
      <c r="P188" s="13">
        <f t="shared" si="141"/>
        <v>1.3568952080113142E-12</v>
      </c>
      <c r="Q188" s="20">
        <f t="shared" si="162"/>
        <v>2.5184749408430782E-12</v>
      </c>
      <c r="R188" s="59">
        <f t="shared" si="109"/>
        <v>293.33333333333582</v>
      </c>
      <c r="S188" s="59">
        <f ca="1">AVERAGE(OFFSET($R$3,0,0,'Données projet'!$E$9+1,1))-AVERAGE(OFFSET($H$3,0,0,'Données projet'!$E$9+1,1))</f>
        <v>225.9892575177542</v>
      </c>
      <c r="T188" s="59">
        <f t="shared" si="142"/>
        <v>215.88467215650428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3.3062036222757669</v>
      </c>
      <c r="AA188" s="21">
        <f>EXP(-LN(2)/25)*AA187+(1-EXP(-LN(2)/25))/(LN(2)/25)*Calculateur!V188*Calculateur!X188*VLOOKUP('Données projet'!$B$9,Paramètres!$A$1:$I$89,3,0)*0.475*44/12</f>
        <v>4.3052728158624589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7.6114764381382258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7.9580786405131221E-13</v>
      </c>
      <c r="AJ188" s="13">
        <f>AI188*VLOOKUP('Données projet'!$B$10,Paramètres!$A$1:$I$89,3,0)*VLOOKUP('Données projet'!$B$10,Paramètres!$A$1:$I$89,5,0)</f>
        <v>8.0694917414803056E-13</v>
      </c>
      <c r="AK188" s="13">
        <f t="shared" si="164"/>
        <v>9.5069530861628001E-12</v>
      </c>
      <c r="AL188" s="20">
        <f t="shared" si="165"/>
        <v>1.7963379770041364E-11</v>
      </c>
      <c r="AM188" s="59">
        <f t="shared" si="113"/>
        <v>293.33333333335128</v>
      </c>
      <c r="AN188" s="59">
        <f ca="1">AVERAGE(OFFSET($AM$3,0,0,'Données projet'!$E$10+1,1))-AVERAGE(OFFSET($H$3,0,0,'Données projet'!$E$10+1,1))</f>
        <v>644.15138437063933</v>
      </c>
      <c r="AO188" s="59">
        <f t="shared" si="144"/>
        <v>289.3097279858207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166.02504642830104</v>
      </c>
      <c r="AV188" s="21">
        <f>EXP(-LN(2)/25)*AV187+(1-EXP(-LN(2)/25))/(LN(2)/25)*Calculateur!AQ188*Calculateur!AS188*VLOOKUP('Données projet'!$B$10,Paramètres!$A$1:$I$89,3,0)*0.475*44/12</f>
        <v>27.291462590944001</v>
      </c>
      <c r="AW188" s="21">
        <f>EXP(-LN(2)/2)*AW187+(1-EXP(-LN(2)/2))/(LN(2)/2)*AQ188*AT188*VLOOKUP('Données projet'!$B$10,Paramètres!$A$1:$I$89,3,0)*0.475*44/12</f>
        <v>5.9534743160345878</v>
      </c>
      <c r="AX188" s="21">
        <f t="shared" si="166"/>
        <v>199.26998333527965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7.9580786405131221E-13</v>
      </c>
      <c r="BE188" s="13">
        <f>BD188*VLOOKUP('Données projet'!$B$11,Paramètres!$A$1:$I$89,3,0)*VLOOKUP('Données projet'!$B$11,Paramètres!$A$1:$I$89,5,0)</f>
        <v>7.2004695539362725E-13</v>
      </c>
      <c r="BF188" s="13">
        <f t="shared" si="167"/>
        <v>8.5963894794935589E-12</v>
      </c>
      <c r="BG188" s="20">
        <f t="shared" si="168"/>
        <v>1.6226126790761848E-11</v>
      </c>
      <c r="BH188" s="59">
        <f t="shared" si="116"/>
        <v>293.33333333334951</v>
      </c>
      <c r="BI188" s="59">
        <f ca="1">AVERAGE(OFFSET($BH$3,0,0,'Données projet'!$E$11+1,1))-AVERAGE(OFFSET($H$3,0,0,'Données projet'!$E$11+1,1))</f>
        <v>573.17174498173017</v>
      </c>
      <c r="BJ188" s="59">
        <f t="shared" si="146"/>
        <v>260.48854096157231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148.14542604371482</v>
      </c>
      <c r="BQ188" s="21">
        <f>EXP(-LN(2)/25)*BQ187+(1-EXP(-LN(2)/25))/(LN(2)/25)*Calculateur!BL188*Calculateur!BN188*VLOOKUP('Données projet'!$B$11,Paramètres!$A$1:$I$89,3,0)*0.475*44/12</f>
        <v>24.352382004226943</v>
      </c>
      <c r="BR188" s="21">
        <f>EXP(-LN(2)/2)*BR187+(1-EXP(-LN(2)/2))/(LN(2)/2)*BL188*BO188*VLOOKUP('Données projet'!$B$11,Paramètres!$A$1:$I$89,3,0)*0.475*44/12</f>
        <v>5.3123309281539406</v>
      </c>
      <c r="BS188" s="22">
        <f t="shared" si="169"/>
        <v>177.81013897609569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7.9580786405131221E-13</v>
      </c>
      <c r="BZ188" s="13">
        <f>BY188*VLOOKUP('Données projet'!$B$12,Paramètres!$A$1:$I$89,3,0)*VLOOKUP('Données projet'!$B$12,Paramètres!$A$1:$I$89,5,0)</f>
        <v>7.572907634312286E-13</v>
      </c>
      <c r="CA188" s="13">
        <f t="shared" si="170"/>
        <v>8.9881135648416407E-12</v>
      </c>
      <c r="CB188" s="20">
        <f t="shared" si="171"/>
        <v>1.6973245871741914E-11</v>
      </c>
      <c r="CC188" s="59">
        <f t="shared" si="119"/>
        <v>293.33333333335031</v>
      </c>
      <c r="CD188" s="59">
        <f ca="1">AVERAGE(OFFSET($CC$3,0,0,'Données projet'!$E$12+1,1))-AVERAGE(OFFSET($H$3,0,0,'Données projet'!$E$12+1,1))</f>
        <v>603.61135046904178</v>
      </c>
      <c r="CE188" s="59">
        <f t="shared" si="148"/>
        <v>272.84936867513068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155.80812049425174</v>
      </c>
      <c r="CL188" s="21">
        <f>EXP(-LN(2)/25)*CL187+(1-EXP(-LN(2)/25))/(LN(2)/25)*Calculateur!CG188*Calculateur!CI188*VLOOKUP('Données projet'!$B$12,Paramètres!$A$1:$I$89,3,0)*0.475*44/12</f>
        <v>25.611987969962811</v>
      </c>
      <c r="CM188" s="21">
        <f>EXP(-LN(2)/2)*CM187+(1-EXP(-LN(2)/2))/(LN(2)/2)*CG188*CJ188*VLOOKUP('Données projet'!$B$12,Paramètres!$A$1:$I$89,3,0)*0.475*44/12</f>
        <v>5.5871066658170747</v>
      </c>
      <c r="CN188" s="22">
        <f t="shared" si="172"/>
        <v>187.00721513003162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55.855800000000002</v>
      </c>
      <c r="D189" s="11">
        <f t="shared" si="140"/>
        <v>16.116160873225791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305.56516721615168</v>
      </c>
      <c r="H189" s="67">
        <f t="shared" si="110"/>
        <v>382.01783185420157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8.5265128291212022E-14</v>
      </c>
      <c r="O189" s="13">
        <f>N189*VLOOKUP('Données projet'!$B$9,Paramètres!$A$1:$I$89,3,0)*VLOOKUP('Données projet'!$B$9,Paramètres!$A$1:$I$89,5,0)</f>
        <v>8.9119112089974823E-14</v>
      </c>
      <c r="P189" s="13">
        <f t="shared" si="141"/>
        <v>1.3568952080113142E-12</v>
      </c>
      <c r="Q189" s="20">
        <f t="shared" si="162"/>
        <v>2.5184749408430782E-12</v>
      </c>
      <c r="R189" s="59">
        <f t="shared" si="109"/>
        <v>293.33333333333582</v>
      </c>
      <c r="S189" s="59">
        <f ca="1">AVERAGE(OFFSET($R$3,0,0,'Données projet'!$E$9+1,1))-AVERAGE(OFFSET($H$3,0,0,'Données projet'!$E$9+1,1))</f>
        <v>225.9892575177542</v>
      </c>
      <c r="T189" s="59">
        <f t="shared" si="142"/>
        <v>215.88467215650428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3.2413709858280275</v>
      </c>
      <c r="AA189" s="21">
        <f>EXP(-LN(2)/25)*AA188+(1-EXP(-LN(2)/25))/(LN(2)/25)*Calculateur!V189*Calculateur!X189*VLOOKUP('Données projet'!$B$9,Paramètres!$A$1:$I$89,3,0)*0.475*44/12</f>
        <v>4.1875449043082424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7.4289158901362704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7.9580786405131221E-13</v>
      </c>
      <c r="AJ189" s="13">
        <f>AI189*VLOOKUP('Données projet'!$B$10,Paramètres!$A$1:$I$89,3,0)*VLOOKUP('Données projet'!$B$10,Paramètres!$A$1:$I$89,5,0)</f>
        <v>8.0694917414803056E-13</v>
      </c>
      <c r="AK189" s="13">
        <f t="shared" si="164"/>
        <v>9.5069530861628001E-12</v>
      </c>
      <c r="AL189" s="20">
        <f t="shared" si="165"/>
        <v>1.7963379770041364E-11</v>
      </c>
      <c r="AM189" s="59">
        <f t="shared" si="113"/>
        <v>293.33333333335128</v>
      </c>
      <c r="AN189" s="59">
        <f ca="1">AVERAGE(OFFSET($AM$3,0,0,'Données projet'!$E$10+1,1))-AVERAGE(OFFSET($H$3,0,0,'Données projet'!$E$10+1,1))</f>
        <v>644.15138437063933</v>
      </c>
      <c r="AO189" s="59">
        <f t="shared" si="144"/>
        <v>289.3097279858207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162.76939653312127</v>
      </c>
      <c r="AV189" s="21">
        <f>EXP(-LN(2)/25)*AV188+(1-EXP(-LN(2)/25))/(LN(2)/25)*Calculateur!AQ189*Calculateur!AS189*VLOOKUP('Données projet'!$B$10,Paramètres!$A$1:$I$89,3,0)*0.475*44/12</f>
        <v>26.545176111198995</v>
      </c>
      <c r="AW189" s="21">
        <f>EXP(-LN(2)/2)*AW188+(1-EXP(-LN(2)/2))/(LN(2)/2)*AQ189*AT189*VLOOKUP('Données projet'!$B$10,Paramètres!$A$1:$I$89,3,0)*0.475*44/12</f>
        <v>4.2097420604879998</v>
      </c>
      <c r="AX189" s="21">
        <f t="shared" si="166"/>
        <v>193.52431470480826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7.9580786405131221E-13</v>
      </c>
      <c r="BE189" s="13">
        <f>BD189*VLOOKUP('Données projet'!$B$11,Paramètres!$A$1:$I$89,3,0)*VLOOKUP('Données projet'!$B$11,Paramètres!$A$1:$I$89,5,0)</f>
        <v>7.2004695539362725E-13</v>
      </c>
      <c r="BF189" s="13">
        <f t="shared" si="167"/>
        <v>8.5963894794935589E-12</v>
      </c>
      <c r="BG189" s="20">
        <f t="shared" si="168"/>
        <v>1.6226126790761848E-11</v>
      </c>
      <c r="BH189" s="59">
        <f t="shared" si="116"/>
        <v>293.33333333334951</v>
      </c>
      <c r="BI189" s="59">
        <f ca="1">AVERAGE(OFFSET($BH$3,0,0,'Données projet'!$E$11+1,1))-AVERAGE(OFFSET($H$3,0,0,'Données projet'!$E$11+1,1))</f>
        <v>573.17174498173017</v>
      </c>
      <c r="BJ189" s="59">
        <f t="shared" si="146"/>
        <v>260.48854096157231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145.24038459878517</v>
      </c>
      <c r="BQ189" s="21">
        <f>EXP(-LN(2)/25)*BQ188+(1-EXP(-LN(2)/25))/(LN(2)/25)*Calculateur!BL189*Calculateur!BN189*VLOOKUP('Données projet'!$B$11,Paramètres!$A$1:$I$89,3,0)*0.475*44/12</f>
        <v>23.686464837685246</v>
      </c>
      <c r="BR189" s="21">
        <f>EXP(-LN(2)/2)*BR188+(1-EXP(-LN(2)/2))/(LN(2)/2)*BL189*BO189*VLOOKUP('Données projet'!$B$11,Paramètres!$A$1:$I$89,3,0)*0.475*44/12</f>
        <v>3.7563852232046777</v>
      </c>
      <c r="BS189" s="22">
        <f t="shared" si="169"/>
        <v>172.68323465967509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7.9580786405131221E-13</v>
      </c>
      <c r="BZ189" s="13">
        <f>BY189*VLOOKUP('Données projet'!$B$12,Paramètres!$A$1:$I$89,3,0)*VLOOKUP('Données projet'!$B$12,Paramètres!$A$1:$I$89,5,0)</f>
        <v>7.572907634312286E-13</v>
      </c>
      <c r="CA189" s="13">
        <f t="shared" si="170"/>
        <v>8.9881135648416407E-12</v>
      </c>
      <c r="CB189" s="20">
        <f t="shared" si="171"/>
        <v>1.6973245871741914E-11</v>
      </c>
      <c r="CC189" s="59">
        <f t="shared" si="119"/>
        <v>293.33333333335031</v>
      </c>
      <c r="CD189" s="59">
        <f ca="1">AVERAGE(OFFSET($CC$3,0,0,'Données projet'!$E$12+1,1))-AVERAGE(OFFSET($H$3,0,0,'Données projet'!$E$12+1,1))</f>
        <v>603.61135046904178</v>
      </c>
      <c r="CE189" s="59">
        <f t="shared" si="148"/>
        <v>272.84936867513068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152.75281828492919</v>
      </c>
      <c r="CL189" s="21">
        <f>EXP(-LN(2)/25)*CL188+(1-EXP(-LN(2)/25))/(LN(2)/25)*Calculateur!CG189*Calculateur!CI189*VLOOKUP('Données projet'!$B$12,Paramètres!$A$1:$I$89,3,0)*0.475*44/12</f>
        <v>24.911626812048269</v>
      </c>
      <c r="CM189" s="21">
        <f>EXP(-LN(2)/2)*CM188+(1-EXP(-LN(2)/2))/(LN(2)/2)*CG189*CJ189*VLOOKUP('Données projet'!$B$12,Paramètres!$A$1:$I$89,3,0)*0.475*44/12</f>
        <v>3.9506810106118158</v>
      </c>
      <c r="CN189" s="22">
        <f t="shared" si="172"/>
        <v>181.61512610758928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56.156100000000002</v>
      </c>
      <c r="D190" s="11">
        <f t="shared" si="140"/>
        <v>16.192697393764416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307.16506963668405</v>
      </c>
      <c r="H190" s="67">
        <f t="shared" si="110"/>
        <v>382.67415546080639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8.5265128291212022E-14</v>
      </c>
      <c r="O190" s="13">
        <f>N190*VLOOKUP('Données projet'!$B$9,Paramètres!$A$1:$I$89,3,0)*VLOOKUP('Données projet'!$B$9,Paramètres!$A$1:$I$89,5,0)</f>
        <v>8.9119112089974823E-14</v>
      </c>
      <c r="P190" s="13">
        <f t="shared" si="141"/>
        <v>1.3568952080113142E-12</v>
      </c>
      <c r="Q190" s="20">
        <f t="shared" si="162"/>
        <v>2.5184749408430782E-12</v>
      </c>
      <c r="R190" s="59">
        <f t="shared" si="109"/>
        <v>293.33333333333582</v>
      </c>
      <c r="S190" s="59">
        <f ca="1">AVERAGE(OFFSET($R$3,0,0,'Données projet'!$E$9+1,1))-AVERAGE(OFFSET($H$3,0,0,'Données projet'!$E$9+1,1))</f>
        <v>225.9892575177542</v>
      </c>
      <c r="T190" s="59">
        <f t="shared" si="142"/>
        <v>215.88467215650428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3.1778096778370246</v>
      </c>
      <c r="AA190" s="21">
        <f>EXP(-LN(2)/25)*AA189+(1-EXP(-LN(2)/25))/(LN(2)/25)*Calculateur!V190*Calculateur!X190*VLOOKUP('Données projet'!$B$9,Paramètres!$A$1:$I$89,3,0)*0.475*44/12</f>
        <v>4.0730362686865176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7.2508459465235422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7.9580786405131221E-13</v>
      </c>
      <c r="AJ190" s="13">
        <f>AI190*VLOOKUP('Données projet'!$B$10,Paramètres!$A$1:$I$89,3,0)*VLOOKUP('Données projet'!$B$10,Paramètres!$A$1:$I$89,5,0)</f>
        <v>8.0694917414803056E-13</v>
      </c>
      <c r="AK190" s="13">
        <f t="shared" si="164"/>
        <v>9.5069530861628001E-12</v>
      </c>
      <c r="AL190" s="20">
        <f t="shared" si="165"/>
        <v>1.7963379770041364E-11</v>
      </c>
      <c r="AM190" s="59">
        <f t="shared" si="113"/>
        <v>293.33333333335128</v>
      </c>
      <c r="AN190" s="59">
        <f ca="1">AVERAGE(OFFSET($AM$3,0,0,'Données projet'!$E$10+1,1))-AVERAGE(OFFSET($H$3,0,0,'Données projet'!$E$10+1,1))</f>
        <v>644.15138437063933</v>
      </c>
      <c r="AO190" s="59">
        <f t="shared" si="144"/>
        <v>289.3097279858207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159.57758794663562</v>
      </c>
      <c r="AV190" s="21">
        <f>EXP(-LN(2)/25)*AV189+(1-EXP(-LN(2)/25))/(LN(2)/25)*Calculateur!AQ190*Calculateur!AS190*VLOOKUP('Données projet'!$B$10,Paramètres!$A$1:$I$89,3,0)*0.475*44/12</f>
        <v>25.819296874488117</v>
      </c>
      <c r="AW190" s="21">
        <f>EXP(-LN(2)/2)*AW189+(1-EXP(-LN(2)/2))/(LN(2)/2)*AQ190*AT190*VLOOKUP('Données projet'!$B$10,Paramètres!$A$1:$I$89,3,0)*0.475*44/12</f>
        <v>2.9767371580172939</v>
      </c>
      <c r="AX190" s="21">
        <f t="shared" si="166"/>
        <v>188.37362197914103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7.9580786405131221E-13</v>
      </c>
      <c r="BE190" s="13">
        <f>BD190*VLOOKUP('Données projet'!$B$11,Paramètres!$A$1:$I$89,3,0)*VLOOKUP('Données projet'!$B$11,Paramètres!$A$1:$I$89,5,0)</f>
        <v>7.2004695539362725E-13</v>
      </c>
      <c r="BF190" s="13">
        <f t="shared" si="167"/>
        <v>8.5963894794935589E-12</v>
      </c>
      <c r="BG190" s="20">
        <f t="shared" si="168"/>
        <v>1.6226126790761848E-11</v>
      </c>
      <c r="BH190" s="59">
        <f t="shared" si="116"/>
        <v>293.33333333334951</v>
      </c>
      <c r="BI190" s="59">
        <f ca="1">AVERAGE(OFFSET($BH$3,0,0,'Données projet'!$E$11+1,1))-AVERAGE(OFFSET($H$3,0,0,'Données projet'!$E$11+1,1))</f>
        <v>573.17174498173017</v>
      </c>
      <c r="BJ190" s="59">
        <f t="shared" si="146"/>
        <v>260.48854096157231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142.39230924469027</v>
      </c>
      <c r="BQ190" s="21">
        <f>EXP(-LN(2)/25)*BQ189+(1-EXP(-LN(2)/25))/(LN(2)/25)*Calculateur!BL190*Calculateur!BN190*VLOOKUP('Données projet'!$B$11,Paramètres!$A$1:$I$89,3,0)*0.475*44/12</f>
        <v>23.038757211081695</v>
      </c>
      <c r="BR190" s="21">
        <f>EXP(-LN(2)/2)*BR189+(1-EXP(-LN(2)/2))/(LN(2)/2)*BL190*BO190*VLOOKUP('Données projet'!$B$11,Paramètres!$A$1:$I$89,3,0)*0.475*44/12</f>
        <v>2.6561654640769707</v>
      </c>
      <c r="BS190" s="22">
        <f t="shared" si="169"/>
        <v>168.08723191984893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7.9580786405131221E-13</v>
      </c>
      <c r="BZ190" s="13">
        <f>BY190*VLOOKUP('Données projet'!$B$12,Paramètres!$A$1:$I$89,3,0)*VLOOKUP('Données projet'!$B$12,Paramètres!$A$1:$I$89,5,0)</f>
        <v>7.572907634312286E-13</v>
      </c>
      <c r="CA190" s="13">
        <f t="shared" si="170"/>
        <v>8.9881135648416407E-12</v>
      </c>
      <c r="CB190" s="20">
        <f t="shared" si="171"/>
        <v>1.6973245871741914E-11</v>
      </c>
      <c r="CC190" s="59">
        <f t="shared" si="119"/>
        <v>293.33333333335031</v>
      </c>
      <c r="CD190" s="59">
        <f ca="1">AVERAGE(OFFSET($CC$3,0,0,'Données projet'!$E$12+1,1))-AVERAGE(OFFSET($H$3,0,0,'Données projet'!$E$12+1,1))</f>
        <v>603.61135046904178</v>
      </c>
      <c r="CE190" s="59">
        <f t="shared" si="148"/>
        <v>272.84936867513068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149.75742868838111</v>
      </c>
      <c r="CL190" s="21">
        <f>EXP(-LN(2)/25)*CL189+(1-EXP(-LN(2)/25))/(LN(2)/25)*Calculateur!CG190*Calculateur!CI190*VLOOKUP('Données projet'!$B$12,Paramètres!$A$1:$I$89,3,0)*0.475*44/12</f>
        <v>24.23041706682729</v>
      </c>
      <c r="CM190" s="21">
        <f>EXP(-LN(2)/2)*CM189+(1-EXP(-LN(2)/2))/(LN(2)/2)*CG190*CJ190*VLOOKUP('Données projet'!$B$12,Paramètres!$A$1:$I$89,3,0)*0.475*44/12</f>
        <v>2.7935533329085378</v>
      </c>
      <c r="CN190" s="22">
        <f t="shared" si="172"/>
        <v>176.78139908811696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56.456400000000002</v>
      </c>
      <c r="D191" s="11">
        <f t="shared" si="140"/>
        <v>16.269186287972712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308.76476985419998</v>
      </c>
      <c r="H191" s="67">
        <f t="shared" si="110"/>
        <v>383.33039611821914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8.5265128291212022E-14</v>
      </c>
      <c r="O191" s="13">
        <f>N191*VLOOKUP('Données projet'!$B$9,Paramètres!$A$1:$I$89,3,0)*VLOOKUP('Données projet'!$B$9,Paramètres!$A$1:$I$89,5,0)</f>
        <v>8.9119112089974823E-14</v>
      </c>
      <c r="P191" s="13">
        <f t="shared" si="141"/>
        <v>1.3568952080113142E-12</v>
      </c>
      <c r="Q191" s="20">
        <f t="shared" si="162"/>
        <v>2.5184749408430782E-12</v>
      </c>
      <c r="R191" s="59">
        <f t="shared" si="109"/>
        <v>293.33333333333582</v>
      </c>
      <c r="S191" s="59">
        <f ca="1">AVERAGE(OFFSET($R$3,0,0,'Données projet'!$E$9+1,1))-AVERAGE(OFFSET($H$3,0,0,'Données projet'!$E$9+1,1))</f>
        <v>225.9892575177542</v>
      </c>
      <c r="T191" s="59">
        <f t="shared" si="142"/>
        <v>215.88467215650428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3.1154947683271557</v>
      </c>
      <c r="AA191" s="21">
        <f>EXP(-LN(2)/25)*AA190+(1-EXP(-LN(2)/25))/(LN(2)/25)*Calculateur!V191*Calculateur!X191*VLOOKUP('Données projet'!$B$9,Paramètres!$A$1:$I$89,3,0)*0.475*44/12</f>
        <v>3.9616588777276163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7.0771536460547715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7.9580786405131221E-13</v>
      </c>
      <c r="AJ191" s="13">
        <f>AI191*VLOOKUP('Données projet'!$B$10,Paramètres!$A$1:$I$89,3,0)*VLOOKUP('Données projet'!$B$10,Paramètres!$A$1:$I$89,5,0)</f>
        <v>8.0694917414803056E-13</v>
      </c>
      <c r="AK191" s="13">
        <f t="shared" si="164"/>
        <v>9.5069530861628001E-12</v>
      </c>
      <c r="AL191" s="20">
        <f t="shared" si="165"/>
        <v>1.7963379770041364E-11</v>
      </c>
      <c r="AM191" s="59">
        <f t="shared" si="113"/>
        <v>293.33333333335128</v>
      </c>
      <c r="AN191" s="59">
        <f ca="1">AVERAGE(OFFSET($AM$3,0,0,'Données projet'!$E$10+1,1))-AVERAGE(OFFSET($H$3,0,0,'Données projet'!$E$10+1,1))</f>
        <v>644.15138437063933</v>
      </c>
      <c r="AO191" s="59">
        <f t="shared" si="144"/>
        <v>289.3097279858207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156.44836877971994</v>
      </c>
      <c r="AV191" s="21">
        <f>EXP(-LN(2)/25)*AV190+(1-EXP(-LN(2)/25))/(LN(2)/25)*Calculateur!AQ191*Calculateur!AS191*VLOOKUP('Données projet'!$B$10,Paramètres!$A$1:$I$89,3,0)*0.475*44/12</f>
        <v>25.113266843677426</v>
      </c>
      <c r="AW191" s="21">
        <f>EXP(-LN(2)/2)*AW190+(1-EXP(-LN(2)/2))/(LN(2)/2)*AQ191*AT191*VLOOKUP('Données projet'!$B$10,Paramètres!$A$1:$I$89,3,0)*0.475*44/12</f>
        <v>2.1048710302439999</v>
      </c>
      <c r="AX191" s="21">
        <f t="shared" si="166"/>
        <v>183.66650665364136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7.9580786405131221E-13</v>
      </c>
      <c r="BE191" s="13">
        <f>BD191*VLOOKUP('Données projet'!$B$11,Paramètres!$A$1:$I$89,3,0)*VLOOKUP('Données projet'!$B$11,Paramètres!$A$1:$I$89,5,0)</f>
        <v>7.2004695539362725E-13</v>
      </c>
      <c r="BF191" s="13">
        <f t="shared" si="167"/>
        <v>8.5963894794935589E-12</v>
      </c>
      <c r="BG191" s="20">
        <f t="shared" si="168"/>
        <v>1.6226126790761848E-11</v>
      </c>
      <c r="BH191" s="59">
        <f t="shared" si="116"/>
        <v>293.33333333334951</v>
      </c>
      <c r="BI191" s="59">
        <f ca="1">AVERAGE(OFFSET($BH$3,0,0,'Données projet'!$E$11+1,1))-AVERAGE(OFFSET($H$3,0,0,'Données projet'!$E$11+1,1))</f>
        <v>573.17174498173017</v>
      </c>
      <c r="BJ191" s="59">
        <f t="shared" si="146"/>
        <v>260.48854096157231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139.60008291113473</v>
      </c>
      <c r="BQ191" s="21">
        <f>EXP(-LN(2)/25)*BQ190+(1-EXP(-LN(2)/25))/(LN(2)/25)*Calculateur!BL191*Calculateur!BN191*VLOOKUP('Données projet'!$B$11,Paramètres!$A$1:$I$89,3,0)*0.475*44/12</f>
        <v>22.408761183589078</v>
      </c>
      <c r="BR191" s="21">
        <f>EXP(-LN(2)/2)*BR190+(1-EXP(-LN(2)/2))/(LN(2)/2)*BL191*BO191*VLOOKUP('Données projet'!$B$11,Paramètres!$A$1:$I$89,3,0)*0.475*44/12</f>
        <v>1.8781926116023391</v>
      </c>
      <c r="BS191" s="22">
        <f t="shared" si="169"/>
        <v>163.88703670632617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7.9580786405131221E-13</v>
      </c>
      <c r="BZ191" s="13">
        <f>BY191*VLOOKUP('Données projet'!$B$12,Paramètres!$A$1:$I$89,3,0)*VLOOKUP('Données projet'!$B$12,Paramètres!$A$1:$I$89,5,0)</f>
        <v>7.572907634312286E-13</v>
      </c>
      <c r="CA191" s="13">
        <f t="shared" si="170"/>
        <v>8.9881135648416407E-12</v>
      </c>
      <c r="CB191" s="20">
        <f t="shared" si="171"/>
        <v>1.6973245871741914E-11</v>
      </c>
      <c r="CC191" s="59">
        <f t="shared" si="119"/>
        <v>293.33333333335031</v>
      </c>
      <c r="CD191" s="59">
        <f ca="1">AVERAGE(OFFSET($CC$3,0,0,'Données projet'!$E$12+1,1))-AVERAGE(OFFSET($H$3,0,0,'Données projet'!$E$12+1,1))</f>
        <v>603.61135046904178</v>
      </c>
      <c r="CE191" s="59">
        <f t="shared" si="148"/>
        <v>272.84936867513068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146.82077685481408</v>
      </c>
      <c r="CL191" s="21">
        <f>EXP(-LN(2)/25)*CL190+(1-EXP(-LN(2)/25))/(LN(2)/25)*Calculateur!CG191*Calculateur!CI191*VLOOKUP('Données projet'!$B$12,Paramètres!$A$1:$I$89,3,0)*0.475*44/12</f>
        <v>23.567835037912644</v>
      </c>
      <c r="CM191" s="21">
        <f>EXP(-LN(2)/2)*CM190+(1-EXP(-LN(2)/2))/(LN(2)/2)*CG191*CJ191*VLOOKUP('Données projet'!$B$12,Paramètres!$A$1:$I$89,3,0)*0.475*44/12</f>
        <v>1.9753405053059081</v>
      </c>
      <c r="CN191" s="22">
        <f t="shared" si="172"/>
        <v>172.36395239803261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56.756700000000002</v>
      </c>
      <c r="D192" s="11">
        <f t="shared" si="140"/>
        <v>16.34562783858517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310.36426906908093</v>
      </c>
      <c r="H192" s="67">
        <f t="shared" si="110"/>
        <v>383.9865543188692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8.5265128291212022E-14</v>
      </c>
      <c r="O192" s="13">
        <f>N192*VLOOKUP('Données projet'!$B$9,Paramètres!$A$1:$I$89,3,0)*VLOOKUP('Données projet'!$B$9,Paramètres!$A$1:$I$89,5,0)</f>
        <v>8.9119112089974823E-14</v>
      </c>
      <c r="P192" s="13">
        <f t="shared" si="141"/>
        <v>1.3568952080113142E-12</v>
      </c>
      <c r="Q192" s="20">
        <f t="shared" si="162"/>
        <v>2.5184749408430782E-12</v>
      </c>
      <c r="R192" s="59">
        <f t="shared" si="109"/>
        <v>293.33333333333582</v>
      </c>
      <c r="S192" s="59">
        <f ca="1">AVERAGE(OFFSET($R$3,0,0,'Données projet'!$E$9+1,1))-AVERAGE(OFFSET($H$3,0,0,'Données projet'!$E$9+1,1))</f>
        <v>225.9892575177542</v>
      </c>
      <c r="T192" s="59">
        <f t="shared" si="142"/>
        <v>215.88467215650428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3.0544018161844333</v>
      </c>
      <c r="AA192" s="21">
        <f>EXP(-LN(2)/25)*AA191+(1-EXP(-LN(2)/25))/(LN(2)/25)*Calculateur!V192*Calculateur!X192*VLOOKUP('Données projet'!$B$9,Paramètres!$A$1:$I$89,3,0)*0.475*44/12</f>
        <v>3.8533271073815687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6.907728923566002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7.9580786405131221E-13</v>
      </c>
      <c r="AJ192" s="13">
        <f>AI192*VLOOKUP('Données projet'!$B$10,Paramètres!$A$1:$I$89,3,0)*VLOOKUP('Données projet'!$B$10,Paramètres!$A$1:$I$89,5,0)</f>
        <v>8.0694917414803056E-13</v>
      </c>
      <c r="AK192" s="13">
        <f t="shared" si="164"/>
        <v>9.5069530861628001E-12</v>
      </c>
      <c r="AL192" s="20">
        <f t="shared" si="165"/>
        <v>1.7963379770041364E-11</v>
      </c>
      <c r="AM192" s="59">
        <f t="shared" si="113"/>
        <v>293.33333333335128</v>
      </c>
      <c r="AN192" s="59">
        <f ca="1">AVERAGE(OFFSET($AM$3,0,0,'Données projet'!$E$10+1,1))-AVERAGE(OFFSET($H$3,0,0,'Données projet'!$E$10+1,1))</f>
        <v>644.15138437063933</v>
      </c>
      <c r="AO192" s="59">
        <f t="shared" si="144"/>
        <v>289.3097279858207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153.38051169203226</v>
      </c>
      <c r="AV192" s="21">
        <f>EXP(-LN(2)/25)*AV191+(1-EXP(-LN(2)/25))/(LN(2)/25)*Calculateur!AQ192*Calculateur!AS192*VLOOKUP('Données projet'!$B$10,Paramètres!$A$1:$I$89,3,0)*0.475*44/12</f>
        <v>24.426543241187762</v>
      </c>
      <c r="AW192" s="21">
        <f>EXP(-LN(2)/2)*AW191+(1-EXP(-LN(2)/2))/(LN(2)/2)*AQ192*AT192*VLOOKUP('Données projet'!$B$10,Paramètres!$A$1:$I$89,3,0)*0.475*44/12</f>
        <v>1.4883685790086469</v>
      </c>
      <c r="AX192" s="21">
        <f t="shared" si="166"/>
        <v>179.29542351222867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7.9580786405131221E-13</v>
      </c>
      <c r="BE192" s="13">
        <f>BD192*VLOOKUP('Données projet'!$B$11,Paramètres!$A$1:$I$89,3,0)*VLOOKUP('Données projet'!$B$11,Paramètres!$A$1:$I$89,5,0)</f>
        <v>7.2004695539362725E-13</v>
      </c>
      <c r="BF192" s="13">
        <f t="shared" si="167"/>
        <v>8.5963894794935589E-12</v>
      </c>
      <c r="BG192" s="20">
        <f t="shared" si="168"/>
        <v>1.6226126790761848E-11</v>
      </c>
      <c r="BH192" s="59">
        <f t="shared" si="116"/>
        <v>293.33333333334951</v>
      </c>
      <c r="BI192" s="59">
        <f ca="1">AVERAGE(OFFSET($BH$3,0,0,'Données projet'!$E$11+1,1))-AVERAGE(OFFSET($H$3,0,0,'Données projet'!$E$11+1,1))</f>
        <v>573.17174498173017</v>
      </c>
      <c r="BJ192" s="59">
        <f t="shared" si="146"/>
        <v>260.48854096157231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136.86261043289034</v>
      </c>
      <c r="BQ192" s="21">
        <f>EXP(-LN(2)/25)*BQ191+(1-EXP(-LN(2)/25))/(LN(2)/25)*Calculateur!BL192*Calculateur!BN192*VLOOKUP('Données projet'!$B$11,Paramètres!$A$1:$I$89,3,0)*0.475*44/12</f>
        <v>21.7959924305983</v>
      </c>
      <c r="BR192" s="21">
        <f>EXP(-LN(2)/2)*BR191+(1-EXP(-LN(2)/2))/(LN(2)/2)*BL192*BO192*VLOOKUP('Données projet'!$B$11,Paramètres!$A$1:$I$89,3,0)*0.475*44/12</f>
        <v>1.3280827320384856</v>
      </c>
      <c r="BS192" s="22">
        <f t="shared" si="169"/>
        <v>159.98668559552712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7.9580786405131221E-13</v>
      </c>
      <c r="BZ192" s="13">
        <f>BY192*VLOOKUP('Données projet'!$B$12,Paramètres!$A$1:$I$89,3,0)*VLOOKUP('Données projet'!$B$12,Paramètres!$A$1:$I$89,5,0)</f>
        <v>7.572907634312286E-13</v>
      </c>
      <c r="CA192" s="13">
        <f t="shared" si="170"/>
        <v>8.9881135648416407E-12</v>
      </c>
      <c r="CB192" s="20">
        <f t="shared" si="171"/>
        <v>1.6973245871741914E-11</v>
      </c>
      <c r="CC192" s="59">
        <f t="shared" si="119"/>
        <v>293.33333333335031</v>
      </c>
      <c r="CD192" s="59">
        <f ca="1">AVERAGE(OFFSET($CC$3,0,0,'Données projet'!$E$12+1,1))-AVERAGE(OFFSET($H$3,0,0,'Données projet'!$E$12+1,1))</f>
        <v>603.61135046904178</v>
      </c>
      <c r="CE192" s="59">
        <f t="shared" si="148"/>
        <v>272.84936867513068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143.94171097252254</v>
      </c>
      <c r="CL192" s="21">
        <f>EXP(-LN(2)/25)*CL191+(1-EXP(-LN(2)/25))/(LN(2)/25)*Calculateur!CG192*Calculateur!CI192*VLOOKUP('Données projet'!$B$12,Paramètres!$A$1:$I$89,3,0)*0.475*44/12</f>
        <v>22.923371349422343</v>
      </c>
      <c r="CM192" s="21">
        <f>EXP(-LN(2)/2)*CM191+(1-EXP(-LN(2)/2))/(LN(2)/2)*CG192*CJ192*VLOOKUP('Données projet'!$B$12,Paramètres!$A$1:$I$89,3,0)*0.475*44/12</f>
        <v>1.3967766664542691</v>
      </c>
      <c r="CN192" s="22">
        <f t="shared" si="172"/>
        <v>168.26185898839915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57.057000000000002</v>
      </c>
      <c r="D193" s="11">
        <f t="shared" si="140"/>
        <v>16.422022325171152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311.96356846827058</v>
      </c>
      <c r="H193" s="67">
        <f t="shared" si="110"/>
        <v>384.64263054967313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8.5265128291212022E-14</v>
      </c>
      <c r="O193" s="13">
        <f>N193*VLOOKUP('Données projet'!$B$9,Paramètres!$A$1:$I$89,3,0)*VLOOKUP('Données projet'!$B$9,Paramètres!$A$1:$I$89,5,0)</f>
        <v>8.9119112089974823E-14</v>
      </c>
      <c r="P193" s="13">
        <f t="shared" si="141"/>
        <v>1.3568952080113142E-12</v>
      </c>
      <c r="Q193" s="20">
        <f t="shared" si="162"/>
        <v>2.5184749408430782E-12</v>
      </c>
      <c r="R193" s="59">
        <f t="shared" si="109"/>
        <v>293.33333333333582</v>
      </c>
      <c r="S193" s="59">
        <f ca="1">AVERAGE(OFFSET($R$3,0,0,'Données projet'!$E$9+1,1))-AVERAGE(OFFSET($H$3,0,0,'Données projet'!$E$9+1,1))</f>
        <v>225.9892575177542</v>
      </c>
      <c r="T193" s="59">
        <f t="shared" si="142"/>
        <v>215.88467215650428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2.9945068595702082</v>
      </c>
      <c r="AA193" s="21">
        <f>EXP(-LN(2)/25)*AA192+(1-EXP(-LN(2)/25))/(LN(2)/25)*Calculateur!V193*Calculateur!X193*VLOOKUP('Données projet'!$B$9,Paramètres!$A$1:$I$89,3,0)*0.475*44/12</f>
        <v>3.7479576749925538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6.7424645345627621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7.9580786405131221E-13</v>
      </c>
      <c r="AJ193" s="13">
        <f>AI193*VLOOKUP('Données projet'!$B$10,Paramètres!$A$1:$I$89,3,0)*VLOOKUP('Données projet'!$B$10,Paramètres!$A$1:$I$89,5,0)</f>
        <v>8.0694917414803056E-13</v>
      </c>
      <c r="AK193" s="13">
        <f t="shared" si="164"/>
        <v>9.5069530861628001E-12</v>
      </c>
      <c r="AL193" s="20">
        <f t="shared" si="165"/>
        <v>1.7963379770041364E-11</v>
      </c>
      <c r="AM193" s="59">
        <f t="shared" si="113"/>
        <v>293.33333333335128</v>
      </c>
      <c r="AN193" s="59">
        <f ca="1">AVERAGE(OFFSET($AM$3,0,0,'Données projet'!$E$10+1,1))-AVERAGE(OFFSET($H$3,0,0,'Données projet'!$E$10+1,1))</f>
        <v>644.15138437063933</v>
      </c>
      <c r="AO193" s="59">
        <f t="shared" si="144"/>
        <v>289.3097279858207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150.37281341062607</v>
      </c>
      <c r="AV193" s="21">
        <f>EXP(-LN(2)/25)*AV192+(1-EXP(-LN(2)/25))/(LN(2)/25)*Calculateur!AQ193*Calculateur!AS193*VLOOKUP('Données projet'!$B$10,Paramètres!$A$1:$I$89,3,0)*0.475*44/12</f>
        <v>23.758598131721403</v>
      </c>
      <c r="AW193" s="21">
        <f>EXP(-LN(2)/2)*AW192+(1-EXP(-LN(2)/2))/(LN(2)/2)*AQ193*AT193*VLOOKUP('Données projet'!$B$10,Paramètres!$A$1:$I$89,3,0)*0.475*44/12</f>
        <v>1.052435515122</v>
      </c>
      <c r="AX193" s="21">
        <f t="shared" si="166"/>
        <v>175.18384705746948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7.9580786405131221E-13</v>
      </c>
      <c r="BE193" s="13">
        <f>BD193*VLOOKUP('Données projet'!$B$11,Paramètres!$A$1:$I$89,3,0)*VLOOKUP('Données projet'!$B$11,Paramètres!$A$1:$I$89,5,0)</f>
        <v>7.2004695539362725E-13</v>
      </c>
      <c r="BF193" s="13">
        <f t="shared" si="167"/>
        <v>8.5963894794935589E-12</v>
      </c>
      <c r="BG193" s="20">
        <f t="shared" si="168"/>
        <v>1.6226126790761848E-11</v>
      </c>
      <c r="BH193" s="59">
        <f t="shared" si="116"/>
        <v>293.33333333334951</v>
      </c>
      <c r="BI193" s="59">
        <f ca="1">AVERAGE(OFFSET($BH$3,0,0,'Données projet'!$E$11+1,1))-AVERAGE(OFFSET($H$3,0,0,'Données projet'!$E$11+1,1))</f>
        <v>573.17174498173017</v>
      </c>
      <c r="BJ193" s="59">
        <f t="shared" si="146"/>
        <v>260.48854096157231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134.17881812025095</v>
      </c>
      <c r="BQ193" s="21">
        <f>EXP(-LN(2)/25)*BQ192+(1-EXP(-LN(2)/25))/(LN(2)/25)*Calculateur!BL193*Calculateur!BN193*VLOOKUP('Données projet'!$B$11,Paramètres!$A$1:$I$89,3,0)*0.475*44/12</f>
        <v>21.199979871382162</v>
      </c>
      <c r="BR193" s="21">
        <f>EXP(-LN(2)/2)*BR192+(1-EXP(-LN(2)/2))/(LN(2)/2)*BL193*BO193*VLOOKUP('Données projet'!$B$11,Paramètres!$A$1:$I$89,3,0)*0.475*44/12</f>
        <v>0.93909630580116976</v>
      </c>
      <c r="BS193" s="22">
        <f t="shared" si="169"/>
        <v>156.31789429743429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7.9580786405131221E-13</v>
      </c>
      <c r="BZ193" s="13">
        <f>BY193*VLOOKUP('Données projet'!$B$12,Paramètres!$A$1:$I$89,3,0)*VLOOKUP('Données projet'!$B$12,Paramètres!$A$1:$I$89,5,0)</f>
        <v>7.572907634312286E-13</v>
      </c>
      <c r="CA193" s="13">
        <f t="shared" si="170"/>
        <v>8.9881135648416407E-12</v>
      </c>
      <c r="CB193" s="20">
        <f t="shared" si="171"/>
        <v>1.6973245871741914E-11</v>
      </c>
      <c r="CC193" s="59">
        <f t="shared" si="119"/>
        <v>293.33333333335031</v>
      </c>
      <c r="CD193" s="59">
        <f ca="1">AVERAGE(OFFSET($CC$3,0,0,'Données projet'!$E$12+1,1))-AVERAGE(OFFSET($H$3,0,0,'Données projet'!$E$12+1,1))</f>
        <v>603.61135046904178</v>
      </c>
      <c r="CE193" s="59">
        <f t="shared" si="148"/>
        <v>272.84936867513068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141.11910181612595</v>
      </c>
      <c r="CL193" s="21">
        <f>EXP(-LN(2)/25)*CL192+(1-EXP(-LN(2)/25))/(LN(2)/25)*Calculateur!CG193*Calculateur!CI193*VLOOKUP('Données projet'!$B$12,Paramètres!$A$1:$I$89,3,0)*0.475*44/12</f>
        <v>22.296530554384681</v>
      </c>
      <c r="CM193" s="21">
        <f>EXP(-LN(2)/2)*CM192+(1-EXP(-LN(2)/2))/(LN(2)/2)*CG193*CJ193*VLOOKUP('Données projet'!$B$12,Paramètres!$A$1:$I$89,3,0)*0.475*44/12</f>
        <v>0.98767025265295427</v>
      </c>
      <c r="CN193" s="22">
        <f t="shared" si="172"/>
        <v>164.40330262316357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57.357300000000002</v>
      </c>
      <c r="D194" s="11">
        <f t="shared" si="140"/>
        <v>16.498370024186858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313.5626692254952</v>
      </c>
      <c r="H194" s="67">
        <f t="shared" si="110"/>
        <v>385.29862529212551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8.5265128291212022E-14</v>
      </c>
      <c r="O194" s="13">
        <f>N194*VLOOKUP('Données projet'!$B$9,Paramètres!$A$1:$I$89,3,0)*VLOOKUP('Données projet'!$B$9,Paramètres!$A$1:$I$89,5,0)</f>
        <v>8.9119112089974823E-14</v>
      </c>
      <c r="P194" s="13">
        <f t="shared" si="141"/>
        <v>1.3568952080113142E-12</v>
      </c>
      <c r="Q194" s="20">
        <f t="shared" si="162"/>
        <v>2.5184749408430782E-12</v>
      </c>
      <c r="R194" s="59">
        <f t="shared" si="109"/>
        <v>293.33333333333582</v>
      </c>
      <c r="S194" s="59">
        <f ca="1">AVERAGE(OFFSET($R$3,0,0,'Données projet'!$E$9+1,1))-AVERAGE(OFFSET($H$3,0,0,'Données projet'!$E$9+1,1))</f>
        <v>225.9892575177542</v>
      </c>
      <c r="T194" s="59">
        <f t="shared" si="142"/>
        <v>215.88467215650428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2.935786406522872</v>
      </c>
      <c r="AA194" s="21">
        <f>EXP(-LN(2)/25)*AA193+(1-EXP(-LN(2)/25))/(LN(2)/25)*Calculateur!V194*Calculateur!X194*VLOOKUP('Données projet'!$B$9,Paramètres!$A$1:$I$89,3,0)*0.475*44/12</f>
        <v>3.6454695752733546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6.5812559817962271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7.9580786405131221E-13</v>
      </c>
      <c r="AJ194" s="13">
        <f>AI194*VLOOKUP('Données projet'!$B$10,Paramètres!$A$1:$I$89,3,0)*VLOOKUP('Données projet'!$B$10,Paramètres!$A$1:$I$89,5,0)</f>
        <v>8.0694917414803056E-13</v>
      </c>
      <c r="AK194" s="13">
        <f t="shared" si="164"/>
        <v>9.5069530861628001E-12</v>
      </c>
      <c r="AL194" s="20">
        <f t="shared" si="165"/>
        <v>1.7963379770041364E-11</v>
      </c>
      <c r="AM194" s="59">
        <f t="shared" si="113"/>
        <v>293.33333333335128</v>
      </c>
      <c r="AN194" s="59">
        <f ca="1">AVERAGE(OFFSET($AM$3,0,0,'Données projet'!$E$10+1,1))-AVERAGE(OFFSET($H$3,0,0,'Données projet'!$E$10+1,1))</f>
        <v>644.15138437063933</v>
      </c>
      <c r="AO194" s="59">
        <f t="shared" si="144"/>
        <v>289.3097279858207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147.42409425800344</v>
      </c>
      <c r="AV194" s="21">
        <f>EXP(-LN(2)/25)*AV193+(1-EXP(-LN(2)/25))/(LN(2)/25)*Calculateur!AQ194*Calculateur!AS194*VLOOKUP('Données projet'!$B$10,Paramètres!$A$1:$I$89,3,0)*0.475*44/12</f>
        <v>23.108918016399105</v>
      </c>
      <c r="AW194" s="21">
        <f>EXP(-LN(2)/2)*AW193+(1-EXP(-LN(2)/2))/(LN(2)/2)*AQ194*AT194*VLOOKUP('Données projet'!$B$10,Paramètres!$A$1:$I$89,3,0)*0.475*44/12</f>
        <v>0.74418428950432347</v>
      </c>
      <c r="AX194" s="21">
        <f t="shared" si="166"/>
        <v>171.27719656390687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7.9580786405131221E-13</v>
      </c>
      <c r="BE194" s="13">
        <f>BD194*VLOOKUP('Données projet'!$B$11,Paramètres!$A$1:$I$89,3,0)*VLOOKUP('Données projet'!$B$11,Paramètres!$A$1:$I$89,5,0)</f>
        <v>7.2004695539362725E-13</v>
      </c>
      <c r="BF194" s="13">
        <f t="shared" si="167"/>
        <v>8.5963894794935589E-12</v>
      </c>
      <c r="BG194" s="20">
        <f t="shared" si="168"/>
        <v>1.6226126790761848E-11</v>
      </c>
      <c r="BH194" s="59">
        <f t="shared" si="116"/>
        <v>293.33333333334951</v>
      </c>
      <c r="BI194" s="59">
        <f ca="1">AVERAGE(OFFSET($BH$3,0,0,'Données projet'!$E$11+1,1))-AVERAGE(OFFSET($H$3,0,0,'Données projet'!$E$11+1,1))</f>
        <v>573.17174498173017</v>
      </c>
      <c r="BJ194" s="59">
        <f t="shared" si="146"/>
        <v>260.48854096157231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131.54765333791076</v>
      </c>
      <c r="BQ194" s="21">
        <f>EXP(-LN(2)/25)*BQ193+(1-EXP(-LN(2)/25))/(LN(2)/25)*Calculateur!BL194*Calculateur!BN194*VLOOKUP('Données projet'!$B$11,Paramètres!$A$1:$I$89,3,0)*0.475*44/12</f>
        <v>20.620265306940727</v>
      </c>
      <c r="BR194" s="21">
        <f>EXP(-LN(2)/2)*BR193+(1-EXP(-LN(2)/2))/(LN(2)/2)*BL194*BO194*VLOOKUP('Données projet'!$B$11,Paramètres!$A$1:$I$89,3,0)*0.475*44/12</f>
        <v>0.66404136601924291</v>
      </c>
      <c r="BS194" s="22">
        <f t="shared" si="169"/>
        <v>152.83196001087072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7.9580786405131221E-13</v>
      </c>
      <c r="BZ194" s="13">
        <f>BY194*VLOOKUP('Données projet'!$B$12,Paramètres!$A$1:$I$89,3,0)*VLOOKUP('Données projet'!$B$12,Paramètres!$A$1:$I$89,5,0)</f>
        <v>7.572907634312286E-13</v>
      </c>
      <c r="CA194" s="13">
        <f t="shared" si="170"/>
        <v>8.9881135648416407E-12</v>
      </c>
      <c r="CB194" s="20">
        <f t="shared" si="171"/>
        <v>1.6973245871741914E-11</v>
      </c>
      <c r="CC194" s="59">
        <f t="shared" si="119"/>
        <v>293.33333333335031</v>
      </c>
      <c r="CD194" s="59">
        <f ca="1">AVERAGE(OFFSET($CC$3,0,0,'Données projet'!$E$12+1,1))-AVERAGE(OFFSET($H$3,0,0,'Données projet'!$E$12+1,1))</f>
        <v>603.61135046904178</v>
      </c>
      <c r="CE194" s="59">
        <f t="shared" si="148"/>
        <v>272.84936867513068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138.35184230366471</v>
      </c>
      <c r="CL194" s="21">
        <f>EXP(-LN(2)/25)*CL193+(1-EXP(-LN(2)/25))/(LN(2)/25)*Calculateur!CG194*Calculateur!CI194*VLOOKUP('Données projet'!$B$12,Paramètres!$A$1:$I$89,3,0)*0.475*44/12</f>
        <v>21.686830753851449</v>
      </c>
      <c r="CM194" s="21">
        <f>EXP(-LN(2)/2)*CM193+(1-EXP(-LN(2)/2))/(LN(2)/2)*CG194*CJ194*VLOOKUP('Données projet'!$B$12,Paramètres!$A$1:$I$89,3,0)*0.475*44/12</f>
        <v>0.69838833322713467</v>
      </c>
      <c r="CN194" s="22">
        <f t="shared" si="172"/>
        <v>160.73706139074329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57.657600000000002</v>
      </c>
      <c r="D195" s="11">
        <f t="shared" si="140"/>
        <v>16.574671209026025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315.16157250147899</v>
      </c>
      <c r="H195" s="67">
        <f t="shared" si="110"/>
        <v>385.95453902238705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8.5265128291212022E-14</v>
      </c>
      <c r="O195" s="13">
        <f>N195*VLOOKUP('Données projet'!$B$9,Paramètres!$A$1:$I$89,3,0)*VLOOKUP('Données projet'!$B$9,Paramètres!$A$1:$I$89,5,0)</f>
        <v>8.9119112089974823E-14</v>
      </c>
      <c r="P195" s="13">
        <f t="shared" si="141"/>
        <v>1.3568952080113142E-12</v>
      </c>
      <c r="Q195" s="20">
        <f t="shared" si="162"/>
        <v>2.5184749408430782E-12</v>
      </c>
      <c r="R195" s="59">
        <f t="shared" ref="R195:R203" si="191">Q195+(I195+J195)*44/12</f>
        <v>293.33333333333582</v>
      </c>
      <c r="S195" s="59">
        <f ca="1">AVERAGE(OFFSET($R$3,0,0,'Données projet'!$E$9+1,1))-AVERAGE(OFFSET($H$3,0,0,'Données projet'!$E$9+1,1))</f>
        <v>225.9892575177542</v>
      </c>
      <c r="T195" s="59">
        <f t="shared" si="142"/>
        <v>215.88467215650428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2.8782174257438542</v>
      </c>
      <c r="AA195" s="21">
        <f>EXP(-LN(2)/25)*AA194+(1-EXP(-LN(2)/25))/(LN(2)/25)*Calculateur!V195*Calculateur!X195*VLOOKUP('Données projet'!$B$9,Paramètres!$A$1:$I$89,3,0)*0.475*44/12</f>
        <v>3.5457840180305915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6.4240014437744453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7.9580786405131221E-13</v>
      </c>
      <c r="AJ195" s="13">
        <f>AI195*VLOOKUP('Données projet'!$B$10,Paramètres!$A$1:$I$89,3,0)*VLOOKUP('Données projet'!$B$10,Paramètres!$A$1:$I$89,5,0)</f>
        <v>8.0694917414803056E-13</v>
      </c>
      <c r="AK195" s="13">
        <f t="shared" si="164"/>
        <v>9.5069530861628001E-12</v>
      </c>
      <c r="AL195" s="20">
        <f t="shared" si="165"/>
        <v>1.7963379770041364E-11</v>
      </c>
      <c r="AM195" s="59">
        <f t="shared" si="113"/>
        <v>293.33333333335128</v>
      </c>
      <c r="AN195" s="59">
        <f ca="1">AVERAGE(OFFSET($AM$3,0,0,'Données projet'!$E$10+1,1))-AVERAGE(OFFSET($H$3,0,0,'Données projet'!$E$10+1,1))</f>
        <v>644.15138437063933</v>
      </c>
      <c r="AO195" s="59">
        <f t="shared" si="144"/>
        <v>289.3097279858207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144.53319768942265</v>
      </c>
      <c r="AV195" s="21">
        <f>EXP(-LN(2)/25)*AV194+(1-EXP(-LN(2)/25))/(LN(2)/25)*Calculateur!AQ195*Calculateur!AS195*VLOOKUP('Données projet'!$B$10,Paramètres!$A$1:$I$89,3,0)*0.475*44/12</f>
        <v>22.477003437995489</v>
      </c>
      <c r="AW195" s="21">
        <f>EXP(-LN(2)/2)*AW194+(1-EXP(-LN(2)/2))/(LN(2)/2)*AQ195*AT195*VLOOKUP('Données projet'!$B$10,Paramètres!$A$1:$I$89,3,0)*0.475*44/12</f>
        <v>0.52621775756099998</v>
      </c>
      <c r="AX195" s="21">
        <f t="shared" si="166"/>
        <v>167.53641888497913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7.9580786405131221E-13</v>
      </c>
      <c r="BE195" s="13">
        <f>BD195*VLOOKUP('Données projet'!$B$11,Paramètres!$A$1:$I$89,3,0)*VLOOKUP('Données projet'!$B$11,Paramètres!$A$1:$I$89,5,0)</f>
        <v>7.2004695539362725E-13</v>
      </c>
      <c r="BF195" s="13">
        <f t="shared" si="167"/>
        <v>8.5963894794935589E-12</v>
      </c>
      <c r="BG195" s="20">
        <f t="shared" si="168"/>
        <v>1.6226126790761848E-11</v>
      </c>
      <c r="BH195" s="59">
        <f t="shared" si="116"/>
        <v>293.33333333334951</v>
      </c>
      <c r="BI195" s="59">
        <f ca="1">AVERAGE(OFFSET($BH$3,0,0,'Données projet'!$E$11+1,1))-AVERAGE(OFFSET($H$3,0,0,'Données projet'!$E$11+1,1))</f>
        <v>573.17174498173017</v>
      </c>
      <c r="BJ195" s="59">
        <f t="shared" si="146"/>
        <v>260.48854096157231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128.96808409210021</v>
      </c>
      <c r="BQ195" s="21">
        <f>EXP(-LN(2)/25)*BQ194+(1-EXP(-LN(2)/25))/(LN(2)/25)*Calculateur!BL195*Calculateur!BN195*VLOOKUP('Données projet'!$B$11,Paramètres!$A$1:$I$89,3,0)*0.475*44/12</f>
        <v>20.056403067749809</v>
      </c>
      <c r="BR195" s="21">
        <f>EXP(-LN(2)/2)*BR194+(1-EXP(-LN(2)/2))/(LN(2)/2)*BL195*BO195*VLOOKUP('Données projet'!$B$11,Paramètres!$A$1:$I$89,3,0)*0.475*44/12</f>
        <v>0.46954815290058494</v>
      </c>
      <c r="BS195" s="22">
        <f t="shared" si="169"/>
        <v>149.49403531275061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7.9580786405131221E-13</v>
      </c>
      <c r="BZ195" s="13">
        <f>BY195*VLOOKUP('Données projet'!$B$12,Paramètres!$A$1:$I$89,3,0)*VLOOKUP('Données projet'!$B$12,Paramètres!$A$1:$I$89,5,0)</f>
        <v>7.572907634312286E-13</v>
      </c>
      <c r="CA195" s="13">
        <f t="shared" si="170"/>
        <v>8.9881135648416407E-12</v>
      </c>
      <c r="CB195" s="20">
        <f t="shared" si="171"/>
        <v>1.6973245871741914E-11</v>
      </c>
      <c r="CC195" s="59">
        <f t="shared" si="119"/>
        <v>293.33333333335031</v>
      </c>
      <c r="CD195" s="59">
        <f ca="1">AVERAGE(OFFSET($CC$3,0,0,'Données projet'!$E$12+1,1))-AVERAGE(OFFSET($H$3,0,0,'Données projet'!$E$12+1,1))</f>
        <v>603.61135046904178</v>
      </c>
      <c r="CE195" s="59">
        <f t="shared" si="148"/>
        <v>272.84936867513068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135.63884706238119</v>
      </c>
      <c r="CL195" s="21">
        <f>EXP(-LN(2)/25)*CL194+(1-EXP(-LN(2)/25))/(LN(2)/25)*Calculateur!CG195*Calculateur!CI195*VLOOKUP('Données projet'!$B$12,Paramètres!$A$1:$I$89,3,0)*0.475*44/12</f>
        <v>21.09380322642652</v>
      </c>
      <c r="CM195" s="21">
        <f>EXP(-LN(2)/2)*CM194+(1-EXP(-LN(2)/2))/(LN(2)/2)*CG195*CJ195*VLOOKUP('Données projet'!$B$12,Paramètres!$A$1:$I$89,3,0)*0.475*44/12</f>
        <v>0.49383512632647719</v>
      </c>
      <c r="CN195" s="22">
        <f t="shared" si="172"/>
        <v>157.22648541513419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57.957900000000002</v>
      </c>
      <c r="D196" s="11">
        <f t="shared" si="140"/>
        <v>16.650926150069722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316.76027944415569</v>
      </c>
      <c r="H196" s="67">
        <f t="shared" ref="H196:H203" si="192">(B196+E196+F196)*44/12+(C196+D196)*0.475*44/12</f>
        <v>386.61037221137144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8.5265128291212022E-14</v>
      </c>
      <c r="O196" s="13">
        <f>N196*VLOOKUP('Données projet'!$B$9,Paramètres!$A$1:$I$89,3,0)*VLOOKUP('Données projet'!$B$9,Paramètres!$A$1:$I$89,5,0)</f>
        <v>8.9119112089974823E-14</v>
      </c>
      <c r="P196" s="13">
        <f t="shared" si="141"/>
        <v>1.3568952080113142E-12</v>
      </c>
      <c r="Q196" s="20">
        <f t="shared" si="162"/>
        <v>2.5184749408430782E-12</v>
      </c>
      <c r="R196" s="59">
        <f t="shared" si="191"/>
        <v>293.33333333333582</v>
      </c>
      <c r="S196" s="59">
        <f ca="1">AVERAGE(OFFSET($R$3,0,0,'Données projet'!$E$9+1,1))-AVERAGE(OFFSET($H$3,0,0,'Données projet'!$E$9+1,1))</f>
        <v>225.9892575177542</v>
      </c>
      <c r="T196" s="59">
        <f t="shared" si="142"/>
        <v>215.88467215650428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2.8217773375643018</v>
      </c>
      <c r="AA196" s="21">
        <f>EXP(-LN(2)/25)*AA195+(1-EXP(-LN(2)/25))/(LN(2)/25)*Calculateur!V196*Calculateur!X196*VLOOKUP('Données projet'!$B$9,Paramètres!$A$1:$I$89,3,0)*0.475*44/12</f>
        <v>3.4488243675928674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6.2706017051571692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7.9580786405131221E-13</v>
      </c>
      <c r="AJ196" s="13">
        <f>AI196*VLOOKUP('Données projet'!$B$10,Paramètres!$A$1:$I$89,3,0)*VLOOKUP('Données projet'!$B$10,Paramètres!$A$1:$I$89,5,0)</f>
        <v>8.0694917414803056E-13</v>
      </c>
      <c r="AK196" s="13">
        <f t="shared" si="164"/>
        <v>9.5069530861628001E-12</v>
      </c>
      <c r="AL196" s="20">
        <f t="shared" si="165"/>
        <v>1.7963379770041364E-11</v>
      </c>
      <c r="AM196" s="59">
        <f t="shared" ref="AM196:AM203" si="193">AL196+(AD196+AE196)*44/12</f>
        <v>293.33333333335128</v>
      </c>
      <c r="AN196" s="59">
        <f ca="1">AVERAGE(OFFSET($AM$3,0,0,'Données projet'!$E$10+1,1))-AVERAGE(OFFSET($H$3,0,0,'Données projet'!$E$10+1,1))</f>
        <v>644.15138437063933</v>
      </c>
      <c r="AO196" s="59">
        <f t="shared" si="144"/>
        <v>289.3097279858207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141.69898983927894</v>
      </c>
      <c r="AV196" s="21">
        <f>EXP(-LN(2)/25)*AV195+(1-EXP(-LN(2)/25))/(LN(2)/25)*Calculateur!AQ196*Calculateur!AS196*VLOOKUP('Données projet'!$B$10,Paramètres!$A$1:$I$89,3,0)*0.475*44/12</f>
        <v>21.862368596969262</v>
      </c>
      <c r="AW196" s="21">
        <f>EXP(-LN(2)/2)*AW195+(1-EXP(-LN(2)/2))/(LN(2)/2)*AQ196*AT196*VLOOKUP('Données projet'!$B$10,Paramètres!$A$1:$I$89,3,0)*0.475*44/12</f>
        <v>0.37209214475216174</v>
      </c>
      <c r="AX196" s="21">
        <f t="shared" si="166"/>
        <v>163.93345058100039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7.9580786405131221E-13</v>
      </c>
      <c r="BE196" s="13">
        <f>BD196*VLOOKUP('Données projet'!$B$11,Paramètres!$A$1:$I$89,3,0)*VLOOKUP('Données projet'!$B$11,Paramètres!$A$1:$I$89,5,0)</f>
        <v>7.2004695539362725E-13</v>
      </c>
      <c r="BF196" s="13">
        <f t="shared" si="167"/>
        <v>8.5963894794935589E-12</v>
      </c>
      <c r="BG196" s="20">
        <f t="shared" si="168"/>
        <v>1.6226126790761848E-11</v>
      </c>
      <c r="BH196" s="59">
        <f t="shared" ref="BH196:BH203" si="194">BG196+(AY196+AZ196)*44/12</f>
        <v>293.33333333334951</v>
      </c>
      <c r="BI196" s="59">
        <f ca="1">AVERAGE(OFFSET($BH$3,0,0,'Données projet'!$E$11+1,1))-AVERAGE(OFFSET($H$3,0,0,'Données projet'!$E$11+1,1))</f>
        <v>573.17174498173017</v>
      </c>
      <c r="BJ196" s="59">
        <f t="shared" si="146"/>
        <v>260.48854096157231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126.43909862581812</v>
      </c>
      <c r="BQ196" s="21">
        <f>EXP(-LN(2)/25)*BQ195+(1-EXP(-LN(2)/25))/(LN(2)/25)*Calculateur!BL196*Calculateur!BN196*VLOOKUP('Données projet'!$B$11,Paramètres!$A$1:$I$89,3,0)*0.475*44/12</f>
        <v>19.507959671141794</v>
      </c>
      <c r="BR196" s="21">
        <f>EXP(-LN(2)/2)*BR195+(1-EXP(-LN(2)/2))/(LN(2)/2)*BL196*BO196*VLOOKUP('Données projet'!$B$11,Paramètres!$A$1:$I$89,3,0)*0.475*44/12</f>
        <v>0.33202068300962151</v>
      </c>
      <c r="BS196" s="22">
        <f t="shared" si="169"/>
        <v>146.27907897996954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7.9580786405131221E-13</v>
      </c>
      <c r="BZ196" s="13">
        <f>BY196*VLOOKUP('Données projet'!$B$12,Paramètres!$A$1:$I$89,3,0)*VLOOKUP('Données projet'!$B$12,Paramètres!$A$1:$I$89,5,0)</f>
        <v>7.572907634312286E-13</v>
      </c>
      <c r="CA196" s="13">
        <f t="shared" si="170"/>
        <v>8.9881135648416407E-12</v>
      </c>
      <c r="CB196" s="20">
        <f t="shared" si="171"/>
        <v>1.6973245871741914E-11</v>
      </c>
      <c r="CC196" s="59">
        <f t="shared" ref="CC196:CC203" si="195">CB196+(BT196+BU196)*44/12</f>
        <v>293.33333333335031</v>
      </c>
      <c r="CD196" s="59">
        <f ca="1">AVERAGE(OFFSET($CC$3,0,0,'Données projet'!$E$12+1,1))-AVERAGE(OFFSET($H$3,0,0,'Données projet'!$E$12+1,1))</f>
        <v>603.61135046904178</v>
      </c>
      <c r="CE196" s="59">
        <f t="shared" si="148"/>
        <v>272.84936867513068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132.97905200301554</v>
      </c>
      <c r="CL196" s="21">
        <f>EXP(-LN(2)/25)*CL195+(1-EXP(-LN(2)/25))/(LN(2)/25)*Calculateur!CG196*Calculateur!CI196*VLOOKUP('Données projet'!$B$12,Paramètres!$A$1:$I$89,3,0)*0.475*44/12</f>
        <v>20.516992067924985</v>
      </c>
      <c r="CM196" s="21">
        <f>EXP(-LN(2)/2)*CM195+(1-EXP(-LN(2)/2))/(LN(2)/2)*CG196*CJ196*VLOOKUP('Données projet'!$B$12,Paramètres!$A$1:$I$89,3,0)*0.475*44/12</f>
        <v>0.34919416661356739</v>
      </c>
      <c r="CN196" s="22">
        <f t="shared" si="172"/>
        <v>153.84523823755407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58.258200000000002</v>
      </c>
      <c r="D197" s="11">
        <f t="shared" ref="D197:D203" si="202">IFERROR(EXP(-1.0587+0.8836*LN(C197)+0.284),0)</f>
        <v>16.727135114734875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318.35879118887442</v>
      </c>
      <c r="H197" s="67">
        <f t="shared" si="192"/>
        <v>387.26612532482994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8.5265128291212022E-14</v>
      </c>
      <c r="O197" s="13">
        <f>N197*VLOOKUP('Données projet'!$B$9,Paramètres!$A$1:$I$89,3,0)*VLOOKUP('Données projet'!$B$9,Paramètres!$A$1:$I$89,5,0)</f>
        <v>8.9119112089974823E-14</v>
      </c>
      <c r="P197" s="13">
        <f t="shared" ref="P197:P203" si="203">EXP(-1.0587+0.8836*LN(O197)+0.284)</f>
        <v>1.3568952080113142E-12</v>
      </c>
      <c r="Q197" s="20">
        <f t="shared" si="162"/>
        <v>2.5184749408430782E-12</v>
      </c>
      <c r="R197" s="59">
        <f t="shared" si="191"/>
        <v>293.33333333333582</v>
      </c>
      <c r="S197" s="59">
        <f ca="1">AVERAGE(OFFSET($R$3,0,0,'Données projet'!$E$9+1,1))-AVERAGE(OFFSET($H$3,0,0,'Données projet'!$E$9+1,1))</f>
        <v>225.9892575177542</v>
      </c>
      <c r="T197" s="59">
        <f t="shared" ref="T197:T203" si="204">$T$3</f>
        <v>215.88467215650428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2.7664440050888959</v>
      </c>
      <c r="AA197" s="21">
        <f>EXP(-LN(2)/25)*AA196+(1-EXP(-LN(2)/25))/(LN(2)/25)*Calculateur!V197*Calculateur!X197*VLOOKUP('Données projet'!$B$9,Paramètres!$A$1:$I$89,3,0)*0.475*44/12</f>
        <v>3.3545160838952492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6.1209600889841447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7.9580786405131221E-13</v>
      </c>
      <c r="AJ197" s="13">
        <f>AI197*VLOOKUP('Données projet'!$B$10,Paramètres!$A$1:$I$89,3,0)*VLOOKUP('Données projet'!$B$10,Paramètres!$A$1:$I$89,5,0)</f>
        <v>8.0694917414803056E-13</v>
      </c>
      <c r="AK197" s="13">
        <f t="shared" si="164"/>
        <v>9.5069530861628001E-12</v>
      </c>
      <c r="AL197" s="20">
        <f t="shared" si="165"/>
        <v>1.7963379770041364E-11</v>
      </c>
      <c r="AM197" s="59">
        <f t="shared" si="193"/>
        <v>293.33333333335128</v>
      </c>
      <c r="AN197" s="59">
        <f ca="1">AVERAGE(OFFSET($AM$3,0,0,'Données projet'!$E$10+1,1))-AVERAGE(OFFSET($H$3,0,0,'Données projet'!$E$10+1,1))</f>
        <v>644.15138437063933</v>
      </c>
      <c r="AO197" s="59">
        <f t="shared" ref="AO197:AO203" si="205">$AO$3</f>
        <v>289.3097279858207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138.92035907638044</v>
      </c>
      <c r="AV197" s="21">
        <f>EXP(-LN(2)/25)*AV196+(1-EXP(-LN(2)/25))/(LN(2)/25)*Calculateur!AQ197*Calculateur!AS197*VLOOKUP('Données projet'!$B$10,Paramètres!$A$1:$I$89,3,0)*0.475*44/12</f>
        <v>21.264540977993139</v>
      </c>
      <c r="AW197" s="21">
        <f>EXP(-LN(2)/2)*AW196+(1-EXP(-LN(2)/2))/(LN(2)/2)*AQ197*AT197*VLOOKUP('Données projet'!$B$10,Paramètres!$A$1:$I$89,3,0)*0.475*44/12</f>
        <v>0.26310887878049999</v>
      </c>
      <c r="AX197" s="21">
        <f t="shared" si="166"/>
        <v>160.44800893315409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7.9580786405131221E-13</v>
      </c>
      <c r="BE197" s="13">
        <f>BD197*VLOOKUP('Données projet'!$B$11,Paramètres!$A$1:$I$89,3,0)*VLOOKUP('Données projet'!$B$11,Paramètres!$A$1:$I$89,5,0)</f>
        <v>7.2004695539362725E-13</v>
      </c>
      <c r="BF197" s="13">
        <f t="shared" si="167"/>
        <v>8.5963894794935589E-12</v>
      </c>
      <c r="BG197" s="20">
        <f t="shared" si="168"/>
        <v>1.6226126790761848E-11</v>
      </c>
      <c r="BH197" s="59">
        <f t="shared" si="194"/>
        <v>293.33333333334951</v>
      </c>
      <c r="BI197" s="59">
        <f ca="1">AVERAGE(OFFSET($BH$3,0,0,'Données projet'!$E$11+1,1))-AVERAGE(OFFSET($H$3,0,0,'Données projet'!$E$11+1,1))</f>
        <v>573.17174498173017</v>
      </c>
      <c r="BJ197" s="59">
        <f t="shared" ref="BJ197:BJ203" si="206">$BJ$3</f>
        <v>260.48854096157231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123.959705022001</v>
      </c>
      <c r="BQ197" s="21">
        <f>EXP(-LN(2)/25)*BQ196+(1-EXP(-LN(2)/25))/(LN(2)/25)*Calculateur!BL197*Calculateur!BN197*VLOOKUP('Données projet'!$B$11,Paramètres!$A$1:$I$89,3,0)*0.475*44/12</f>
        <v>18.974513488055408</v>
      </c>
      <c r="BR197" s="21">
        <f>EXP(-LN(2)/2)*BR196+(1-EXP(-LN(2)/2))/(LN(2)/2)*BL197*BO197*VLOOKUP('Données projet'!$B$11,Paramètres!$A$1:$I$89,3,0)*0.475*44/12</f>
        <v>0.2347740764502925</v>
      </c>
      <c r="BS197" s="22">
        <f t="shared" si="169"/>
        <v>143.1689925865067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7.9580786405131221E-13</v>
      </c>
      <c r="BZ197" s="13">
        <f>BY197*VLOOKUP('Données projet'!$B$12,Paramètres!$A$1:$I$89,3,0)*VLOOKUP('Données projet'!$B$12,Paramètres!$A$1:$I$89,5,0)</f>
        <v>7.572907634312286E-13</v>
      </c>
      <c r="CA197" s="13">
        <f t="shared" si="170"/>
        <v>8.9881135648416407E-12</v>
      </c>
      <c r="CB197" s="20">
        <f t="shared" si="171"/>
        <v>1.6973245871741914E-11</v>
      </c>
      <c r="CC197" s="59">
        <f t="shared" si="195"/>
        <v>293.33333333335031</v>
      </c>
      <c r="CD197" s="59">
        <f ca="1">AVERAGE(OFFSET($CC$3,0,0,'Données projet'!$E$12+1,1))-AVERAGE(OFFSET($H$3,0,0,'Données projet'!$E$12+1,1))</f>
        <v>603.61135046904178</v>
      </c>
      <c r="CE197" s="59">
        <f t="shared" ref="CE197:CE203" si="207">$CE$3</f>
        <v>272.84936867513068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130.37141390244926</v>
      </c>
      <c r="CL197" s="21">
        <f>EXP(-LN(2)/25)*CL196+(1-EXP(-LN(2)/25))/(LN(2)/25)*Calculateur!CG197*Calculateur!CI197*VLOOKUP('Données projet'!$B$12,Paramètres!$A$1:$I$89,3,0)*0.475*44/12</f>
        <v>19.955953840885854</v>
      </c>
      <c r="CM197" s="21">
        <f>EXP(-LN(2)/2)*CM196+(1-EXP(-LN(2)/2))/(LN(2)/2)*CG197*CJ197*VLOOKUP('Données projet'!$B$12,Paramètres!$A$1:$I$89,3,0)*0.475*44/12</f>
        <v>0.24691756316323862</v>
      </c>
      <c r="CN197" s="22">
        <f t="shared" si="172"/>
        <v>150.57428530649835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58.558500000000002</v>
      </c>
      <c r="D198" s="11">
        <f t="shared" si="202"/>
        <v>16.803298367521954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319.957108858602</v>
      </c>
      <c r="H198" s="67">
        <f t="shared" si="192"/>
        <v>387.92179882343407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8.5265128291212022E-14</v>
      </c>
      <c r="O198" s="13">
        <f>N198*VLOOKUP('Données projet'!$B$9,Paramètres!$A$1:$I$89,3,0)*VLOOKUP('Données projet'!$B$9,Paramètres!$A$1:$I$89,5,0)</f>
        <v>8.9119112089974823E-14</v>
      </c>
      <c r="P198" s="13">
        <f t="shared" si="203"/>
        <v>1.3568952080113142E-12</v>
      </c>
      <c r="Q198" s="20">
        <f t="shared" si="162"/>
        <v>2.5184749408430782E-12</v>
      </c>
      <c r="R198" s="59">
        <f t="shared" si="191"/>
        <v>293.33333333333582</v>
      </c>
      <c r="S198" s="59">
        <f ca="1">AVERAGE(OFFSET($R$3,0,0,'Données projet'!$E$9+1,1))-AVERAGE(OFFSET($H$3,0,0,'Données projet'!$E$9+1,1))</f>
        <v>225.9892575177542</v>
      </c>
      <c r="T198" s="59">
        <f t="shared" si="204"/>
        <v>215.88467215650428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2.7121957255133324</v>
      </c>
      <c r="AA198" s="21">
        <f>EXP(-LN(2)/25)*AA197+(1-EXP(-LN(2)/25))/(LN(2)/25)*Calculateur!V198*Calculateur!X198*VLOOKUP('Données projet'!$B$9,Paramètres!$A$1:$I$89,3,0)*0.475*44/12</f>
        <v>3.2627866651747999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5.9749823906881323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7.9580786405131221E-13</v>
      </c>
      <c r="AJ198" s="13">
        <f>AI198*VLOOKUP('Données projet'!$B$10,Paramètres!$A$1:$I$89,3,0)*VLOOKUP('Données projet'!$B$10,Paramètres!$A$1:$I$89,5,0)</f>
        <v>8.0694917414803056E-13</v>
      </c>
      <c r="AK198" s="13">
        <f t="shared" si="164"/>
        <v>9.5069530861628001E-12</v>
      </c>
      <c r="AL198" s="20">
        <f t="shared" si="165"/>
        <v>1.7963379770041364E-11</v>
      </c>
      <c r="AM198" s="59">
        <f t="shared" si="193"/>
        <v>293.33333333335128</v>
      </c>
      <c r="AN198" s="59">
        <f ca="1">AVERAGE(OFFSET($AM$3,0,0,'Données projet'!$E$10+1,1))-AVERAGE(OFFSET($H$3,0,0,'Données projet'!$E$10+1,1))</f>
        <v>644.15138437063933</v>
      </c>
      <c r="AO198" s="59">
        <f t="shared" si="205"/>
        <v>289.3097279858207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136.19621556794496</v>
      </c>
      <c r="AV198" s="21">
        <f>EXP(-LN(2)/25)*AV197+(1-EXP(-LN(2)/25))/(LN(2)/25)*Calculateur!AQ198*Calculateur!AS198*VLOOKUP('Données projet'!$B$10,Paramètres!$A$1:$I$89,3,0)*0.475*44/12</f>
        <v>20.683060986696308</v>
      </c>
      <c r="AW198" s="21">
        <f>EXP(-LN(2)/2)*AW197+(1-EXP(-LN(2)/2))/(LN(2)/2)*AQ198*AT198*VLOOKUP('Données projet'!$B$10,Paramètres!$A$1:$I$89,3,0)*0.475*44/12</f>
        <v>0.18604607237608087</v>
      </c>
      <c r="AX198" s="21">
        <f t="shared" si="166"/>
        <v>157.06532262701737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7.9580786405131221E-13</v>
      </c>
      <c r="BE198" s="13">
        <f>BD198*VLOOKUP('Données projet'!$B$11,Paramètres!$A$1:$I$89,3,0)*VLOOKUP('Données projet'!$B$11,Paramètres!$A$1:$I$89,5,0)</f>
        <v>7.2004695539362725E-13</v>
      </c>
      <c r="BF198" s="13">
        <f t="shared" si="167"/>
        <v>8.5963894794935589E-12</v>
      </c>
      <c r="BG198" s="20">
        <f t="shared" si="168"/>
        <v>1.6226126790761848E-11</v>
      </c>
      <c r="BH198" s="59">
        <f t="shared" si="194"/>
        <v>293.33333333334951</v>
      </c>
      <c r="BI198" s="59">
        <f ca="1">AVERAGE(OFFSET($BH$3,0,0,'Données projet'!$E$11+1,1))-AVERAGE(OFFSET($H$3,0,0,'Données projet'!$E$11+1,1))</f>
        <v>573.17174498173017</v>
      </c>
      <c r="BJ198" s="59">
        <f t="shared" si="206"/>
        <v>260.48854096157231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121.52893081447397</v>
      </c>
      <c r="BQ198" s="21">
        <f>EXP(-LN(2)/25)*BQ197+(1-EXP(-LN(2)/25))/(LN(2)/25)*Calculateur!BL198*Calculateur!BN198*VLOOKUP('Données projet'!$B$11,Paramètres!$A$1:$I$89,3,0)*0.475*44/12</f>
        <v>18.455654418898234</v>
      </c>
      <c r="BR198" s="21">
        <f>EXP(-LN(2)/2)*BR197+(1-EXP(-LN(2)/2))/(LN(2)/2)*BL198*BO198*VLOOKUP('Données projet'!$B$11,Paramètres!$A$1:$I$89,3,0)*0.475*44/12</f>
        <v>0.16601034150481075</v>
      </c>
      <c r="BS198" s="22">
        <f t="shared" si="169"/>
        <v>140.150595574877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7.9580786405131221E-13</v>
      </c>
      <c r="BZ198" s="13">
        <f>BY198*VLOOKUP('Données projet'!$B$12,Paramètres!$A$1:$I$89,3,0)*VLOOKUP('Données projet'!$B$12,Paramètres!$A$1:$I$89,5,0)</f>
        <v>7.572907634312286E-13</v>
      </c>
      <c r="CA198" s="13">
        <f t="shared" si="170"/>
        <v>8.9881135648416407E-12</v>
      </c>
      <c r="CB198" s="20">
        <f t="shared" si="171"/>
        <v>1.6973245871741914E-11</v>
      </c>
      <c r="CC198" s="59">
        <f t="shared" si="195"/>
        <v>293.33333333335031</v>
      </c>
      <c r="CD198" s="59">
        <f ca="1">AVERAGE(OFFSET($CC$3,0,0,'Données projet'!$E$12+1,1))-AVERAGE(OFFSET($H$3,0,0,'Données projet'!$E$12+1,1))</f>
        <v>603.61135046904178</v>
      </c>
      <c r="CE198" s="59">
        <f t="shared" si="207"/>
        <v>272.84936867513068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127.8149099945329</v>
      </c>
      <c r="CL198" s="21">
        <f>EXP(-LN(2)/25)*CL197+(1-EXP(-LN(2)/25))/(LN(2)/25)*Calculateur!CG198*Calculateur!CI198*VLOOKUP('Données projet'!$B$12,Paramètres!$A$1:$I$89,3,0)*0.475*44/12</f>
        <v>19.41025723366883</v>
      </c>
      <c r="CM198" s="21">
        <f>EXP(-LN(2)/2)*CM197+(1-EXP(-LN(2)/2))/(LN(2)/2)*CG198*CJ198*VLOOKUP('Données projet'!$B$12,Paramètres!$A$1:$I$89,3,0)*0.475*44/12</f>
        <v>0.17459708330678372</v>
      </c>
      <c r="CN198" s="22">
        <f t="shared" si="172"/>
        <v>147.39976431150851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58.858800000000002</v>
      </c>
      <c r="D199" s="11">
        <f t="shared" si="202"/>
        <v>16.879416170061518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321.5552335641209</v>
      </c>
      <c r="H199" s="67">
        <f t="shared" si="192"/>
        <v>388.57739316285716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8.5265128291212022E-14</v>
      </c>
      <c r="O199" s="13">
        <f>N199*VLOOKUP('Données projet'!$B$9,Paramètres!$A$1:$I$89,3,0)*VLOOKUP('Données projet'!$B$9,Paramètres!$A$1:$I$89,5,0)</f>
        <v>8.9119112089974823E-14</v>
      </c>
      <c r="P199" s="13">
        <f t="shared" si="203"/>
        <v>1.3568952080113142E-12</v>
      </c>
      <c r="Q199" s="20">
        <f t="shared" si="162"/>
        <v>2.5184749408430782E-12</v>
      </c>
      <c r="R199" s="59">
        <f t="shared" si="191"/>
        <v>293.33333333333582</v>
      </c>
      <c r="S199" s="59">
        <f ca="1">AVERAGE(OFFSET($R$3,0,0,'Données projet'!$E$9+1,1))-AVERAGE(OFFSET($H$3,0,0,'Données projet'!$E$9+1,1))</f>
        <v>225.9892575177542</v>
      </c>
      <c r="T199" s="59">
        <f t="shared" si="204"/>
        <v>215.88467215650428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2.6590112216120625</v>
      </c>
      <c r="AA199" s="21">
        <f>EXP(-LN(2)/25)*AA198+(1-EXP(-LN(2)/25))/(LN(2)/25)*Calculateur!V199*Calculateur!X199*VLOOKUP('Données projet'!$B$9,Paramètres!$A$1:$I$89,3,0)*0.475*44/12</f>
        <v>3.1735655922331016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5.8325768138451641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7.9580786405131221E-13</v>
      </c>
      <c r="AJ199" s="13">
        <f>AI199*VLOOKUP('Données projet'!$B$10,Paramètres!$A$1:$I$89,3,0)*VLOOKUP('Données projet'!$B$10,Paramètres!$A$1:$I$89,5,0)</f>
        <v>8.0694917414803056E-13</v>
      </c>
      <c r="AK199" s="13">
        <f t="shared" si="164"/>
        <v>9.5069530861628001E-12</v>
      </c>
      <c r="AL199" s="20">
        <f t="shared" si="165"/>
        <v>1.7963379770041364E-11</v>
      </c>
      <c r="AM199" s="59">
        <f t="shared" si="193"/>
        <v>293.33333333335128</v>
      </c>
      <c r="AN199" s="59">
        <f ca="1">AVERAGE(OFFSET($AM$3,0,0,'Données projet'!$E$10+1,1))-AVERAGE(OFFSET($H$3,0,0,'Données projet'!$E$10+1,1))</f>
        <v>644.15138437063933</v>
      </c>
      <c r="AO199" s="59">
        <f t="shared" si="205"/>
        <v>289.3097279858207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133.52549085214642</v>
      </c>
      <c r="AV199" s="21">
        <f>EXP(-LN(2)/25)*AV198+(1-EXP(-LN(2)/25))/(LN(2)/25)*Calculateur!AQ199*Calculateur!AS199*VLOOKUP('Données projet'!$B$10,Paramètres!$A$1:$I$89,3,0)*0.475*44/12</f>
        <v>20.117481596340191</v>
      </c>
      <c r="AW199" s="21">
        <f>EXP(-LN(2)/2)*AW198+(1-EXP(-LN(2)/2))/(LN(2)/2)*AQ199*AT199*VLOOKUP('Données projet'!$B$10,Paramètres!$A$1:$I$89,3,0)*0.475*44/12</f>
        <v>0.13155443939024999</v>
      </c>
      <c r="AX199" s="21">
        <f t="shared" si="166"/>
        <v>153.77452688787685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7.9580786405131221E-13</v>
      </c>
      <c r="BE199" s="13">
        <f>BD199*VLOOKUP('Données projet'!$B$11,Paramètres!$A$1:$I$89,3,0)*VLOOKUP('Données projet'!$B$11,Paramètres!$A$1:$I$89,5,0)</f>
        <v>7.2004695539362725E-13</v>
      </c>
      <c r="BF199" s="13">
        <f t="shared" si="167"/>
        <v>8.5963894794935589E-12</v>
      </c>
      <c r="BG199" s="20">
        <f t="shared" si="168"/>
        <v>1.6226126790761848E-11</v>
      </c>
      <c r="BH199" s="59">
        <f t="shared" si="194"/>
        <v>293.33333333334951</v>
      </c>
      <c r="BI199" s="59">
        <f ca="1">AVERAGE(OFFSET($BH$3,0,0,'Données projet'!$E$11+1,1))-AVERAGE(OFFSET($H$3,0,0,'Données projet'!$E$11+1,1))</f>
        <v>573.17174498173017</v>
      </c>
      <c r="BJ199" s="59">
        <f t="shared" si="206"/>
        <v>260.48854096157231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119.14582260653066</v>
      </c>
      <c r="BQ199" s="21">
        <f>EXP(-LN(2)/25)*BQ198+(1-EXP(-LN(2)/25))/(LN(2)/25)*Calculateur!BL199*Calculateur!BN199*VLOOKUP('Données projet'!$B$11,Paramètres!$A$1:$I$89,3,0)*0.475*44/12</f>
        <v>17.950983578272776</v>
      </c>
      <c r="BR199" s="21">
        <f>EXP(-LN(2)/2)*BR198+(1-EXP(-LN(2)/2))/(LN(2)/2)*BL199*BO199*VLOOKUP('Données projet'!$B$11,Paramètres!$A$1:$I$89,3,0)*0.475*44/12</f>
        <v>0.11738703822514625</v>
      </c>
      <c r="BS199" s="22">
        <f t="shared" si="169"/>
        <v>137.21419322302856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7.9580786405131221E-13</v>
      </c>
      <c r="BZ199" s="13">
        <f>BY199*VLOOKUP('Données projet'!$B$12,Paramètres!$A$1:$I$89,3,0)*VLOOKUP('Données projet'!$B$12,Paramètres!$A$1:$I$89,5,0)</f>
        <v>7.572907634312286E-13</v>
      </c>
      <c r="CA199" s="13">
        <f t="shared" si="170"/>
        <v>8.9881135648416407E-12</v>
      </c>
      <c r="CB199" s="20">
        <f t="shared" si="171"/>
        <v>1.6973245871741914E-11</v>
      </c>
      <c r="CC199" s="59">
        <f t="shared" si="195"/>
        <v>293.33333333335031</v>
      </c>
      <c r="CD199" s="59">
        <f ca="1">AVERAGE(OFFSET($CC$3,0,0,'Données projet'!$E$12+1,1))-AVERAGE(OFFSET($H$3,0,0,'Données projet'!$E$12+1,1))</f>
        <v>603.61135046904178</v>
      </c>
      <c r="CE199" s="59">
        <f t="shared" si="207"/>
        <v>272.84936867513068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125.30853756893735</v>
      </c>
      <c r="CL199" s="21">
        <f>EXP(-LN(2)/25)*CL198+(1-EXP(-LN(2)/25))/(LN(2)/25)*Calculateur!CG199*Calculateur!CI199*VLOOKUP('Données projet'!$B$12,Paramètres!$A$1:$I$89,3,0)*0.475*44/12</f>
        <v>18.879482728873089</v>
      </c>
      <c r="CM199" s="21">
        <f>EXP(-LN(2)/2)*CM198+(1-EXP(-LN(2)/2))/(LN(2)/2)*CG199*CJ199*VLOOKUP('Données projet'!$B$12,Paramètres!$A$1:$I$89,3,0)*0.475*44/12</f>
        <v>0.12345878158161934</v>
      </c>
      <c r="CN199" s="22">
        <f t="shared" si="172"/>
        <v>144.31147907939209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59.159100000000002</v>
      </c>
      <c r="D200" s="11">
        <f t="shared" si="202"/>
        <v>16.955488781159872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323.1531664042227</v>
      </c>
      <c r="H200" s="67">
        <f t="shared" si="192"/>
        <v>389.23290879385343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8.5265128291212022E-14</v>
      </c>
      <c r="O200" s="13">
        <f>N200*VLOOKUP('Données projet'!$B$9,Paramètres!$A$1:$I$89,3,0)*VLOOKUP('Données projet'!$B$9,Paramètres!$A$1:$I$89,5,0)</f>
        <v>8.9119112089974823E-14</v>
      </c>
      <c r="P200" s="13">
        <f t="shared" si="203"/>
        <v>1.3568952080113142E-12</v>
      </c>
      <c r="Q200" s="20">
        <f t="shared" si="162"/>
        <v>2.5184749408430782E-12</v>
      </c>
      <c r="R200" s="59">
        <f t="shared" si="191"/>
        <v>293.33333333333582</v>
      </c>
      <c r="S200" s="59">
        <f ca="1">AVERAGE(OFFSET($R$3,0,0,'Données projet'!$E$9+1,1))-AVERAGE(OFFSET($H$3,0,0,'Données projet'!$E$9+1,1))</f>
        <v>225.9892575177542</v>
      </c>
      <c r="T200" s="59">
        <f t="shared" si="204"/>
        <v>215.88467215650428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2.606869633392952</v>
      </c>
      <c r="AA200" s="21">
        <f>EXP(-LN(2)/25)*AA199+(1-EXP(-LN(2)/25))/(LN(2)/25)*Calculateur!V200*Calculateur!X200*VLOOKUP('Données projet'!$B$9,Paramètres!$A$1:$I$89,3,0)*0.475*44/12</f>
        <v>3.0867842742229263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5.6936539076158788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7.9580786405131221E-13</v>
      </c>
      <c r="AJ200" s="13">
        <f>AI200*VLOOKUP('Données projet'!$B$10,Paramètres!$A$1:$I$89,3,0)*VLOOKUP('Données projet'!$B$10,Paramètres!$A$1:$I$89,5,0)</f>
        <v>8.0694917414803056E-13</v>
      </c>
      <c r="AK200" s="13">
        <f t="shared" si="164"/>
        <v>9.5069530861628001E-12</v>
      </c>
      <c r="AL200" s="20">
        <f t="shared" si="165"/>
        <v>1.7963379770041364E-11</v>
      </c>
      <c r="AM200" s="59">
        <f t="shared" si="193"/>
        <v>293.33333333335128</v>
      </c>
      <c r="AN200" s="59">
        <f ca="1">AVERAGE(OFFSET($AM$3,0,0,'Données projet'!$E$10+1,1))-AVERAGE(OFFSET($H$3,0,0,'Données projet'!$E$10+1,1))</f>
        <v>644.15138437063933</v>
      </c>
      <c r="AO200" s="59">
        <f t="shared" si="205"/>
        <v>289.3097279858207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130.90713741904347</v>
      </c>
      <c r="AV200" s="21">
        <f>EXP(-LN(2)/25)*AV199+(1-EXP(-LN(2)/25))/(LN(2)/25)*Calculateur!AQ200*Calculateur!AS200*VLOOKUP('Données projet'!$B$10,Paramètres!$A$1:$I$89,3,0)*0.475*44/12</f>
        <v>19.567368004155892</v>
      </c>
      <c r="AW200" s="21">
        <f>EXP(-LN(2)/2)*AW199+(1-EXP(-LN(2)/2))/(LN(2)/2)*AQ200*AT200*VLOOKUP('Données projet'!$B$10,Paramètres!$A$1:$I$89,3,0)*0.475*44/12</f>
        <v>9.3023036188040434E-2</v>
      </c>
      <c r="AX200" s="21">
        <f t="shared" si="166"/>
        <v>150.5675284593874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7.9580786405131221E-13</v>
      </c>
      <c r="BE200" s="13">
        <f>BD200*VLOOKUP('Données projet'!$B$11,Paramètres!$A$1:$I$89,3,0)*VLOOKUP('Données projet'!$B$11,Paramètres!$A$1:$I$89,5,0)</f>
        <v>7.2004695539362725E-13</v>
      </c>
      <c r="BF200" s="13">
        <f t="shared" si="167"/>
        <v>8.5963894794935589E-12</v>
      </c>
      <c r="BG200" s="20">
        <f t="shared" si="168"/>
        <v>1.6226126790761848E-11</v>
      </c>
      <c r="BH200" s="59">
        <f t="shared" si="194"/>
        <v>293.33333333334951</v>
      </c>
      <c r="BI200" s="59">
        <f ca="1">AVERAGE(OFFSET($BH$3,0,0,'Données projet'!$E$11+1,1))-AVERAGE(OFFSET($H$3,0,0,'Données projet'!$E$11+1,1))</f>
        <v>573.17174498173017</v>
      </c>
      <c r="BJ200" s="59">
        <f t="shared" si="206"/>
        <v>260.48854096157231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116.80944569699264</v>
      </c>
      <c r="BQ200" s="21">
        <f>EXP(-LN(2)/25)*BQ199+(1-EXP(-LN(2)/25))/(LN(2)/25)*Calculateur!BL200*Calculateur!BN200*VLOOKUP('Données projet'!$B$11,Paramètres!$A$1:$I$89,3,0)*0.475*44/12</f>
        <v>17.460112988323708</v>
      </c>
      <c r="BR200" s="21">
        <f>EXP(-LN(2)/2)*BR199+(1-EXP(-LN(2)/2))/(LN(2)/2)*BL200*BO200*VLOOKUP('Données projet'!$B$11,Paramètres!$A$1:$I$89,3,0)*0.475*44/12</f>
        <v>8.3005170752405377E-2</v>
      </c>
      <c r="BS200" s="22">
        <f t="shared" si="169"/>
        <v>134.35256385606877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7.9580786405131221E-13</v>
      </c>
      <c r="BZ200" s="13">
        <f>BY200*VLOOKUP('Données projet'!$B$12,Paramètres!$A$1:$I$89,3,0)*VLOOKUP('Données projet'!$B$12,Paramètres!$A$1:$I$89,5,0)</f>
        <v>7.572907634312286E-13</v>
      </c>
      <c r="CA200" s="13">
        <f t="shared" si="170"/>
        <v>8.9881135648416407E-12</v>
      </c>
      <c r="CB200" s="20">
        <f t="shared" si="171"/>
        <v>1.6973245871741914E-11</v>
      </c>
      <c r="CC200" s="59">
        <f t="shared" si="195"/>
        <v>293.33333333335031</v>
      </c>
      <c r="CD200" s="59">
        <f ca="1">AVERAGE(OFFSET($CC$3,0,0,'Données projet'!$E$12+1,1))-AVERAGE(OFFSET($H$3,0,0,'Données projet'!$E$12+1,1))</f>
        <v>603.61135046904178</v>
      </c>
      <c r="CE200" s="59">
        <f t="shared" si="207"/>
        <v>272.84936867513068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122.85131357787151</v>
      </c>
      <c r="CL200" s="21">
        <f>EXP(-LN(2)/25)*CL199+(1-EXP(-LN(2)/25))/(LN(2)/25)*Calculateur!CG200*Calculateur!CI200*VLOOKUP('Données projet'!$B$12,Paramètres!$A$1:$I$89,3,0)*0.475*44/12</f>
        <v>18.363222280823209</v>
      </c>
      <c r="CM200" s="21">
        <f>EXP(-LN(2)/2)*CM199+(1-EXP(-LN(2)/2))/(LN(2)/2)*CG200*CJ200*VLOOKUP('Données projet'!$B$12,Paramètres!$A$1:$I$89,3,0)*0.475*44/12</f>
        <v>8.7298541653391876E-2</v>
      </c>
      <c r="CN200" s="22">
        <f t="shared" si="172"/>
        <v>141.3018344003481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59.459400000000002</v>
      </c>
      <c r="D201" s="11">
        <f t="shared" si="202"/>
        <v>17.031516456843697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324.75090846589791</v>
      </c>
      <c r="H201" s="67">
        <f t="shared" si="192"/>
        <v>389.88834616233612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8.5265128291212022E-14</v>
      </c>
      <c r="O201" s="13">
        <f>N201*VLOOKUP('Données projet'!$B$9,Paramètres!$A$1:$I$89,3,0)*VLOOKUP('Données projet'!$B$9,Paramètres!$A$1:$I$89,5,0)</f>
        <v>8.9119112089974823E-14</v>
      </c>
      <c r="P201" s="13">
        <f t="shared" si="203"/>
        <v>1.3568952080113142E-12</v>
      </c>
      <c r="Q201" s="20">
        <f t="shared" si="162"/>
        <v>2.5184749408430782E-12</v>
      </c>
      <c r="R201" s="59">
        <f t="shared" si="191"/>
        <v>293.33333333333582</v>
      </c>
      <c r="S201" s="59">
        <f ca="1">AVERAGE(OFFSET($R$3,0,0,'Données projet'!$E$9+1,1))-AVERAGE(OFFSET($H$3,0,0,'Données projet'!$E$9+1,1))</f>
        <v>225.9892575177542</v>
      </c>
      <c r="T201" s="59">
        <f t="shared" si="204"/>
        <v>215.88467215650428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2.5557505099155899</v>
      </c>
      <c r="AA201" s="21">
        <f>EXP(-LN(2)/25)*AA200+(1-EXP(-LN(2)/25))/(LN(2)/25)*Calculateur!V201*Calculateur!X201*VLOOKUP('Données projet'!$B$9,Paramètres!$A$1:$I$89,3,0)*0.475*44/12</f>
        <v>3.0023759959173706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5.558126505832961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7.9580786405131221E-13</v>
      </c>
      <c r="AJ201" s="13">
        <f>AI201*VLOOKUP('Données projet'!$B$10,Paramètres!$A$1:$I$89,3,0)*VLOOKUP('Données projet'!$B$10,Paramètres!$A$1:$I$89,5,0)</f>
        <v>8.0694917414803056E-13</v>
      </c>
      <c r="AK201" s="13">
        <f t="shared" si="164"/>
        <v>9.5069530861628001E-12</v>
      </c>
      <c r="AL201" s="20">
        <f t="shared" si="165"/>
        <v>1.7963379770041364E-11</v>
      </c>
      <c r="AM201" s="59">
        <f t="shared" si="193"/>
        <v>293.33333333335128</v>
      </c>
      <c r="AN201" s="59">
        <f ca="1">AVERAGE(OFFSET($AM$3,0,0,'Données projet'!$E$10+1,1))-AVERAGE(OFFSET($H$3,0,0,'Données projet'!$E$10+1,1))</f>
        <v>644.15138437063933</v>
      </c>
      <c r="AO201" s="59">
        <f t="shared" si="205"/>
        <v>289.3097279858207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128.34012829972576</v>
      </c>
      <c r="AV201" s="21">
        <f>EXP(-LN(2)/25)*AV200+(1-EXP(-LN(2)/25))/(LN(2)/25)*Calculateur!AQ201*Calculateur!AS201*VLOOKUP('Données projet'!$B$10,Paramètres!$A$1:$I$89,3,0)*0.475*44/12</f>
        <v>19.032297297079086</v>
      </c>
      <c r="AW201" s="21">
        <f>EXP(-LN(2)/2)*AW200+(1-EXP(-LN(2)/2))/(LN(2)/2)*AQ201*AT201*VLOOKUP('Données projet'!$B$10,Paramètres!$A$1:$I$89,3,0)*0.475*44/12</f>
        <v>6.5777219695124997E-2</v>
      </c>
      <c r="AX201" s="21">
        <f t="shared" si="166"/>
        <v>147.43820281649997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7.9580786405131221E-13</v>
      </c>
      <c r="BE201" s="13">
        <f>BD201*VLOOKUP('Données projet'!$B$11,Paramètres!$A$1:$I$89,3,0)*VLOOKUP('Données projet'!$B$11,Paramètres!$A$1:$I$89,5,0)</f>
        <v>7.2004695539362725E-13</v>
      </c>
      <c r="BF201" s="13">
        <f t="shared" si="167"/>
        <v>8.5963894794935589E-12</v>
      </c>
      <c r="BG201" s="20">
        <f t="shared" si="168"/>
        <v>1.6226126790761848E-11</v>
      </c>
      <c r="BH201" s="59">
        <f t="shared" si="194"/>
        <v>293.33333333334951</v>
      </c>
      <c r="BI201" s="59">
        <f ca="1">AVERAGE(OFFSET($BH$3,0,0,'Données projet'!$E$11+1,1))-AVERAGE(OFFSET($H$3,0,0,'Données projet'!$E$11+1,1))</f>
        <v>573.17174498173017</v>
      </c>
      <c r="BJ201" s="59">
        <f t="shared" si="206"/>
        <v>260.48854096157231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114.51888371360145</v>
      </c>
      <c r="BQ201" s="21">
        <f>EXP(-LN(2)/25)*BQ200+(1-EXP(-LN(2)/25))/(LN(2)/25)*Calculateur!BL201*Calculateur!BN201*VLOOKUP('Données projet'!$B$11,Paramètres!$A$1:$I$89,3,0)*0.475*44/12</f>
        <v>16.98266528047056</v>
      </c>
      <c r="BR201" s="21">
        <f>EXP(-LN(2)/2)*BR200+(1-EXP(-LN(2)/2))/(LN(2)/2)*BL201*BO201*VLOOKUP('Données projet'!$B$11,Paramètres!$A$1:$I$89,3,0)*0.475*44/12</f>
        <v>5.8693519112573124E-2</v>
      </c>
      <c r="BS201" s="22">
        <f t="shared" si="169"/>
        <v>131.56024251318459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7.9580786405131221E-13</v>
      </c>
      <c r="BZ201" s="13">
        <f>BY201*VLOOKUP('Données projet'!$B$12,Paramètres!$A$1:$I$89,3,0)*VLOOKUP('Données projet'!$B$12,Paramètres!$A$1:$I$89,5,0)</f>
        <v>7.572907634312286E-13</v>
      </c>
      <c r="CA201" s="13">
        <f t="shared" si="170"/>
        <v>8.9881135648416407E-12</v>
      </c>
      <c r="CB201" s="20">
        <f t="shared" si="171"/>
        <v>1.6973245871741914E-11</v>
      </c>
      <c r="CC201" s="59">
        <f t="shared" si="195"/>
        <v>293.33333333335031</v>
      </c>
      <c r="CD201" s="59">
        <f ca="1">AVERAGE(OFFSET($CC$3,0,0,'Données projet'!$E$12+1,1))-AVERAGE(OFFSET($H$3,0,0,'Données projet'!$E$12+1,1))</f>
        <v>603.61135046904178</v>
      </c>
      <c r="CE201" s="59">
        <f t="shared" si="207"/>
        <v>272.84936867513068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120.44227425051182</v>
      </c>
      <c r="CL201" s="21">
        <f>EXP(-LN(2)/25)*CL200+(1-EXP(-LN(2)/25))/(LN(2)/25)*Calculateur!CG201*Calculateur!CI201*VLOOKUP('Données projet'!$B$12,Paramètres!$A$1:$I$89,3,0)*0.475*44/12</f>
        <v>17.861079001874209</v>
      </c>
      <c r="CM201" s="21">
        <f>EXP(-LN(2)/2)*CM200+(1-EXP(-LN(2)/2))/(LN(2)/2)*CG201*CJ201*VLOOKUP('Données projet'!$B$12,Paramètres!$A$1:$I$89,3,0)*0.475*44/12</f>
        <v>6.1729390790809677E-2</v>
      </c>
      <c r="CN201" s="22">
        <f t="shared" si="172"/>
        <v>138.36508264317683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59.759700000000002</v>
      </c>
      <c r="D202" s="11">
        <f t="shared" si="202"/>
        <v>17.107499450403804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326.34846082452145</v>
      </c>
      <c r="H202" s="67">
        <f t="shared" si="192"/>
        <v>390.54370570945332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8.5265128291212022E-14</v>
      </c>
      <c r="O202" s="13">
        <f>N202*VLOOKUP('Données projet'!$B$9,Paramètres!$A$1:$I$89,3,0)*VLOOKUP('Données projet'!$B$9,Paramètres!$A$1:$I$89,5,0)</f>
        <v>8.9119112089974823E-14</v>
      </c>
      <c r="P202" s="13">
        <f t="shared" si="203"/>
        <v>1.3568952080113142E-12</v>
      </c>
      <c r="Q202" s="20">
        <f t="shared" si="162"/>
        <v>2.5184749408430782E-12</v>
      </c>
      <c r="R202" s="59">
        <f t="shared" si="191"/>
        <v>293.33333333333582</v>
      </c>
      <c r="S202" s="59">
        <f ca="1">AVERAGE(OFFSET($R$3,0,0,'Données projet'!$E$9+1,1))-AVERAGE(OFFSET($H$3,0,0,'Données projet'!$E$9+1,1))</f>
        <v>225.9892575177542</v>
      </c>
      <c r="T202" s="59">
        <f t="shared" si="204"/>
        <v>215.88467215650428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2.5056338012700321</v>
      </c>
      <c r="AA202" s="21">
        <f>EXP(-LN(2)/25)*AA201+(1-EXP(-LN(2)/25))/(LN(2)/25)*Calculateur!V202*Calculateur!X202*VLOOKUP('Données projet'!$B$9,Paramètres!$A$1:$I$89,3,0)*0.475*44/12</f>
        <v>2.9202758664209183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5.4259096676909504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7.9580786405131221E-13</v>
      </c>
      <c r="AJ202" s="13">
        <f>AI202*VLOOKUP('Données projet'!$B$10,Paramètres!$A$1:$I$89,3,0)*VLOOKUP('Données projet'!$B$10,Paramètres!$A$1:$I$89,5,0)</f>
        <v>8.0694917414803056E-13</v>
      </c>
      <c r="AK202" s="13">
        <f t="shared" si="164"/>
        <v>9.5069530861628001E-12</v>
      </c>
      <c r="AL202" s="20">
        <f t="shared" si="165"/>
        <v>1.7963379770041364E-11</v>
      </c>
      <c r="AM202" s="59">
        <f t="shared" si="193"/>
        <v>293.33333333335128</v>
      </c>
      <c r="AN202" s="59">
        <f ca="1">AVERAGE(OFFSET($AM$3,0,0,'Données projet'!$E$10+1,1))-AVERAGE(OFFSET($H$3,0,0,'Données projet'!$E$10+1,1))</f>
        <v>644.15138437063933</v>
      </c>
      <c r="AO202" s="59">
        <f t="shared" si="205"/>
        <v>289.3097279858207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125.82345666351692</v>
      </c>
      <c r="AV202" s="21">
        <f>EXP(-LN(2)/25)*AV201+(1-EXP(-LN(2)/25))/(LN(2)/25)*Calculateur!AQ202*Calculateur!AS202*VLOOKUP('Données projet'!$B$10,Paramètres!$A$1:$I$89,3,0)*0.475*44/12</f>
        <v>18.511858126625444</v>
      </c>
      <c r="AW202" s="21">
        <f>EXP(-LN(2)/2)*AW201+(1-EXP(-LN(2)/2))/(LN(2)/2)*AQ202*AT202*VLOOKUP('Données projet'!$B$10,Paramètres!$A$1:$I$89,3,0)*0.475*44/12</f>
        <v>4.6511518094020217E-2</v>
      </c>
      <c r="AX202" s="21">
        <f t="shared" si="166"/>
        <v>144.38182630823638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7.9580786405131221E-13</v>
      </c>
      <c r="BE202" s="13">
        <f>BD202*VLOOKUP('Données projet'!$B$11,Paramètres!$A$1:$I$89,3,0)*VLOOKUP('Données projet'!$B$11,Paramètres!$A$1:$I$89,5,0)</f>
        <v>7.2004695539362725E-13</v>
      </c>
      <c r="BF202" s="13">
        <f t="shared" si="167"/>
        <v>8.5963894794935589E-12</v>
      </c>
      <c r="BG202" s="20">
        <f t="shared" si="168"/>
        <v>1.6226126790761848E-11</v>
      </c>
      <c r="BH202" s="59">
        <f t="shared" si="194"/>
        <v>293.33333333334951</v>
      </c>
      <c r="BI202" s="59">
        <f ca="1">AVERAGE(OFFSET($BH$3,0,0,'Données projet'!$E$11+1,1))-AVERAGE(OFFSET($H$3,0,0,'Données projet'!$E$11+1,1))</f>
        <v>573.17174498173017</v>
      </c>
      <c r="BJ202" s="59">
        <f t="shared" si="206"/>
        <v>260.48854096157231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112.27323825359971</v>
      </c>
      <c r="BQ202" s="21">
        <f>EXP(-LN(2)/25)*BQ201+(1-EXP(-LN(2)/25))/(LN(2)/25)*Calculateur!BL202*Calculateur!BN202*VLOOKUP('Données projet'!$B$11,Paramètres!$A$1:$I$89,3,0)*0.475*44/12</f>
        <v>16.51827340529654</v>
      </c>
      <c r="BR202" s="21">
        <f>EXP(-LN(2)/2)*BR201+(1-EXP(-LN(2)/2))/(LN(2)/2)*BL202*BO202*VLOOKUP('Données projet'!$B$11,Paramètres!$A$1:$I$89,3,0)*0.475*44/12</f>
        <v>4.1502585376202689E-2</v>
      </c>
      <c r="BS202" s="22">
        <f t="shared" si="169"/>
        <v>128.83301424427245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7.9580786405131221E-13</v>
      </c>
      <c r="BZ202" s="13">
        <f>BY202*VLOOKUP('Données projet'!$B$12,Paramètres!$A$1:$I$89,3,0)*VLOOKUP('Données projet'!$B$12,Paramètres!$A$1:$I$89,5,0)</f>
        <v>7.572907634312286E-13</v>
      </c>
      <c r="CA202" s="13">
        <f t="shared" si="170"/>
        <v>8.9881135648416407E-12</v>
      </c>
      <c r="CB202" s="20">
        <f t="shared" si="171"/>
        <v>1.6973245871741914E-11</v>
      </c>
      <c r="CC202" s="59">
        <f t="shared" si="195"/>
        <v>293.33333333335031</v>
      </c>
      <c r="CD202" s="59">
        <f ca="1">AVERAGE(OFFSET($CC$3,0,0,'Données projet'!$E$12+1,1))-AVERAGE(OFFSET($H$3,0,0,'Données projet'!$E$12+1,1))</f>
        <v>603.61135046904178</v>
      </c>
      <c r="CE202" s="59">
        <f t="shared" si="207"/>
        <v>272.84936867513068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118.08047471499275</v>
      </c>
      <c r="CL202" s="21">
        <f>EXP(-LN(2)/25)*CL201+(1-EXP(-LN(2)/25))/(LN(2)/25)*Calculateur!CG202*Calculateur!CI202*VLOOKUP('Données projet'!$B$12,Paramètres!$A$1:$I$89,3,0)*0.475*44/12</f>
        <v>17.372666857294636</v>
      </c>
      <c r="CM202" s="21">
        <f>EXP(-LN(2)/2)*CM201+(1-EXP(-LN(2)/2))/(LN(2)/2)*CG202*CJ202*VLOOKUP('Données projet'!$B$12,Paramètres!$A$1:$I$89,3,0)*0.475*44/12</f>
        <v>4.3649270826695945E-2</v>
      </c>
      <c r="CN202" s="22">
        <f t="shared" si="172"/>
        <v>135.4967908431141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60.06</v>
      </c>
      <c r="D203" s="11">
        <f t="shared" si="202"/>
        <v>17.183438012437968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327.94582454403491</v>
      </c>
      <c r="H203" s="67">
        <f t="shared" si="192"/>
        <v>391.19898787166278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8.5265128291212022E-14</v>
      </c>
      <c r="O203" s="13">
        <f>N203*VLOOKUP('Données projet'!$B$9,Paramètres!$A$1:$I$89,3,0)*VLOOKUP('Données projet'!$B$9,Paramètres!$A$1:$I$89,5,0)</f>
        <v>8.9119112089974823E-14</v>
      </c>
      <c r="P203" s="13">
        <f t="shared" si="203"/>
        <v>1.3568952080113142E-12</v>
      </c>
      <c r="Q203" s="20">
        <f t="shared" si="162"/>
        <v>2.5184749408430782E-12</v>
      </c>
      <c r="R203" s="59">
        <f t="shared" si="191"/>
        <v>293.33333333333582</v>
      </c>
      <c r="S203" s="59">
        <f ca="1">AVERAGE(OFFSET($R$3,0,0,'Données projet'!$E$9+1,1))-AVERAGE(OFFSET($H$3,0,0,'Données projet'!$E$9+1,1))</f>
        <v>225.9892575177542</v>
      </c>
      <c r="T203" s="59">
        <f t="shared" si="204"/>
        <v>215.88467215650428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2.4564998507128397</v>
      </c>
      <c r="AA203" s="21">
        <f>EXP(-LN(2)/25)*AA202+(1-EXP(-LN(2)/25))/(LN(2)/25)*Calculateur!V203*Calculateur!X203*VLOOKUP('Données projet'!$B$9,Paramètres!$A$1:$I$89,3,0)*0.475*44/12</f>
        <v>2.8404207692830048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5.296920619995845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7.9580786405131221E-13</v>
      </c>
      <c r="AJ203" s="13">
        <f>AI203*VLOOKUP('Données projet'!$B$10,Paramètres!$A$1:$I$89,3,0)*VLOOKUP('Données projet'!$B$10,Paramètres!$A$1:$I$89,5,0)</f>
        <v>8.0694917414803056E-13</v>
      </c>
      <c r="AK203" s="13">
        <f t="shared" si="164"/>
        <v>9.5069530861628001E-12</v>
      </c>
      <c r="AL203" s="20">
        <f t="shared" si="165"/>
        <v>1.7963379770041364E-11</v>
      </c>
      <c r="AM203" s="59">
        <f t="shared" si="193"/>
        <v>293.33333333335128</v>
      </c>
      <c r="AN203" s="59">
        <f ca="1">AVERAGE(OFFSET($AM$3,0,0,'Données projet'!$E$10+1,1))-AVERAGE(OFFSET($H$3,0,0,'Données projet'!$E$10+1,1))</f>
        <v>644.15138437063933</v>
      </c>
      <c r="AO203" s="59">
        <f t="shared" si="205"/>
        <v>289.3097279858207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123.35613542307601</v>
      </c>
      <c r="AV203" s="21">
        <f>EXP(-LN(2)/25)*AV202+(1-EXP(-LN(2)/25))/(LN(2)/25)*Calculateur!AQ203*Calculateur!AS203*VLOOKUP('Données projet'!$B$10,Paramètres!$A$1:$I$89,3,0)*0.475*44/12</f>
        <v>18.005650392656563</v>
      </c>
      <c r="AW203" s="21">
        <f>EXP(-LN(2)/2)*AW202+(1-EXP(-LN(2)/2))/(LN(2)/2)*AQ203*AT203*VLOOKUP('Données projet'!$B$10,Paramètres!$A$1:$I$89,3,0)*0.475*44/12</f>
        <v>3.2888609847562499E-2</v>
      </c>
      <c r="AX203" s="21">
        <f t="shared" si="166"/>
        <v>141.39467442558012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7.9580786405131221E-13</v>
      </c>
      <c r="BE203" s="13">
        <f>BD203*VLOOKUP('Données projet'!$B$11,Paramètres!$A$1:$I$89,3,0)*VLOOKUP('Données projet'!$B$11,Paramètres!$A$1:$I$89,5,0)</f>
        <v>7.2004695539362725E-13</v>
      </c>
      <c r="BF203" s="13">
        <f t="shared" si="167"/>
        <v>8.5963894794935589E-12</v>
      </c>
      <c r="BG203" s="20">
        <f t="shared" si="168"/>
        <v>1.6226126790761848E-11</v>
      </c>
      <c r="BH203" s="59">
        <f t="shared" si="194"/>
        <v>293.33333333334951</v>
      </c>
      <c r="BI203" s="59">
        <f ca="1">AVERAGE(OFFSET($BH$3,0,0,'Données projet'!$E$11+1,1))-AVERAGE(OFFSET($H$3,0,0,'Données projet'!$E$11+1,1))</f>
        <v>573.17174498173017</v>
      </c>
      <c r="BJ203" s="59">
        <f t="shared" si="206"/>
        <v>260.48854096157231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110.07162853136013</v>
      </c>
      <c r="BQ203" s="21">
        <f>EXP(-LN(2)/25)*BQ202+(1-EXP(-LN(2)/25))/(LN(2)/25)*Calculateur!BL203*Calculateur!BN203*VLOOKUP('Données projet'!$B$11,Paramètres!$A$1:$I$89,3,0)*0.475*44/12</f>
        <v>16.066580350370462</v>
      </c>
      <c r="BR203" s="21">
        <f>EXP(-LN(2)/2)*BR202+(1-EXP(-LN(2)/2))/(LN(2)/2)*BL203*BO203*VLOOKUP('Données projet'!$B$11,Paramètres!$A$1:$I$89,3,0)*0.475*44/12</f>
        <v>2.9346759556286562E-2</v>
      </c>
      <c r="BS203" s="22">
        <f t="shared" si="169"/>
        <v>126.16755564128688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7.9580786405131221E-13</v>
      </c>
      <c r="BZ203" s="13">
        <f>BY203*VLOOKUP('Données projet'!$B$12,Paramètres!$A$1:$I$89,3,0)*VLOOKUP('Données projet'!$B$12,Paramètres!$A$1:$I$89,5,0)</f>
        <v>7.572907634312286E-13</v>
      </c>
      <c r="CA203" s="13">
        <f t="shared" si="170"/>
        <v>8.9881135648416407E-12</v>
      </c>
      <c r="CB203" s="20">
        <f t="shared" si="171"/>
        <v>1.6973245871741914E-11</v>
      </c>
      <c r="CC203" s="59">
        <f t="shared" si="195"/>
        <v>293.33333333335031</v>
      </c>
      <c r="CD203" s="59">
        <f ca="1">AVERAGE(OFFSET($CC$3,0,0,'Données projet'!$E$12+1,1))-AVERAGE(OFFSET($H$3,0,0,'Données projet'!$E$12+1,1))</f>
        <v>603.61135046904178</v>
      </c>
      <c r="CE203" s="59">
        <f t="shared" si="207"/>
        <v>272.84936867513068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115.76498862780973</v>
      </c>
      <c r="CL203" s="21">
        <f>EXP(-LN(2)/25)*CL202+(1-EXP(-LN(2)/25))/(LN(2)/25)*Calculateur!CG203*Calculateur!CI203*VLOOKUP('Données projet'!$B$12,Paramètres!$A$1:$I$89,3,0)*0.475*44/12</f>
        <v>16.897610368493069</v>
      </c>
      <c r="CM203" s="21">
        <f>EXP(-LN(2)/2)*CM202+(1-EXP(-LN(2)/2))/(LN(2)/2)*CG203*CJ203*VLOOKUP('Données projet'!$B$12,Paramètres!$A$1:$I$89,3,0)*0.475*44/12</f>
        <v>3.0864695395404845E-2</v>
      </c>
      <c r="CN203" s="22">
        <f t="shared" si="172"/>
        <v>132.69346369169818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1.3087609363064139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1.1303799945549604</v>
      </c>
      <c r="BA205" s="82">
        <f>EXP(LN('Données projet'!B88)/'Données projet'!A88)</f>
        <v>1.1303799945549604</v>
      </c>
      <c r="BV205" s="82">
        <f>EXP(LN('Données projet'!B114)/'Données projet'!A114)</f>
        <v>1.1303799945549604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09375" defaultRowHeight="14.6" x14ac:dyDescent="0.4"/>
  <cols>
    <col min="1" max="1" width="23.4609375" style="4" bestFit="1" customWidth="1"/>
    <col min="2" max="2" width="27.61328125" style="4" bestFit="1" customWidth="1"/>
    <col min="3" max="3" width="11.921875" style="4" bestFit="1" customWidth="1"/>
    <col min="4" max="4" width="40" style="4" bestFit="1" customWidth="1"/>
    <col min="5" max="5" width="11.921875" style="4" bestFit="1" customWidth="1"/>
    <col min="6" max="6" width="13.61328125" style="4" bestFit="1" customWidth="1"/>
    <col min="7" max="7" width="11.4609375" style="4" bestFit="1" customWidth="1"/>
    <col min="8" max="8" width="39" style="4" bestFit="1" customWidth="1"/>
    <col min="9" max="9" width="16.61328125" style="4" customWidth="1"/>
    <col min="10" max="14" width="11.4609375" style="4"/>
    <col min="15" max="15" width="23.4609375" style="4" bestFit="1" customWidth="1"/>
    <col min="16" max="16384" width="11.4609375" style="4"/>
  </cols>
  <sheetData>
    <row r="1" spans="1:16" ht="44.15" thickBot="1" x14ac:dyDescent="0.4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4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4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4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">
      <c r="A93" s="122" t="s">
        <v>208</v>
      </c>
    </row>
    <row r="94" spans="1:14" x14ac:dyDescent="0.4">
      <c r="A94" s="122" t="s">
        <v>209</v>
      </c>
    </row>
    <row r="95" spans="1:14" x14ac:dyDescent="0.4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1" zoomScale="90" zoomScaleNormal="90" workbookViewId="0">
      <selection activeCell="K21" sqref="K21"/>
    </sheetView>
  </sheetViews>
  <sheetFormatPr baseColWidth="10" defaultColWidth="11.4609375" defaultRowHeight="14.6" x14ac:dyDescent="0.4"/>
  <cols>
    <col min="1" max="1" width="22.921875" style="1" bestFit="1" customWidth="1"/>
    <col min="2" max="2" width="10.53515625" style="1" bestFit="1" customWidth="1"/>
    <col min="3" max="3" width="15.53515625" style="1" bestFit="1" customWidth="1"/>
    <col min="4" max="4" width="13.4609375" style="1" bestFit="1" customWidth="1"/>
    <col min="5" max="8" width="11.4609375" style="1"/>
    <col min="9" max="13" width="11.4609375" style="62"/>
    <col min="14" max="15" width="11.4609375" style="1"/>
    <col min="16" max="17" width="13.4609375" style="1" customWidth="1"/>
    <col min="18" max="16384" width="11.4609375" style="1"/>
  </cols>
  <sheetData>
    <row r="1" spans="1:6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6" thickBot="1" x14ac:dyDescent="0.7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75" thickBot="1" x14ac:dyDescent="0.4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">
      <c r="A6" s="145" t="str">
        <f>IF('Données projet'!$B$9="","",'Données projet'!$B$9)</f>
        <v>Chêne chevelu</v>
      </c>
      <c r="B6" s="146">
        <f>'Données projet'!D9</f>
        <v>0.57200000000000006</v>
      </c>
      <c r="C6" s="147">
        <f ca="1">IF(OR('Données projet'!B9="",'Données projet'!C9="",'Données projet'!C9=0%),0,Calculateur!S3)</f>
        <v>225.9892575177542</v>
      </c>
      <c r="D6" s="147">
        <f>IF(OR('Données projet'!B9="",'Données projet'!C9="",'Données projet'!C9=0%),0,Calculateur!T3)</f>
        <v>215.88467215650428</v>
      </c>
      <c r="E6" s="147">
        <f ca="1">MIN(C6,D6)</f>
        <v>215.88467215650428</v>
      </c>
      <c r="F6" s="147">
        <f ca="1">E6*B6</f>
        <v>123.48603247352047</v>
      </c>
      <c r="G6" s="147">
        <f ca="1">F6*(100%-'Données projet'!$C$24)*(100%-'Données projet'!$C$25)*(100%-'Données projet'!$C$26)*(100%-'Données projet'!$C$27)</f>
        <v>94.466814842243153</v>
      </c>
      <c r="H6" s="148">
        <f>IF(OR('Données projet'!B9="",'Données projet'!C9="",'Données projet'!C9=0%),0,AVERAGE(Calculateur!$AC$3:$AC$33)*B6)</f>
        <v>1.6010102790330833</v>
      </c>
      <c r="I6" s="149">
        <f>H6*(100%-'Données projet'!$C$24)*(100%-'Données projet'!$C$25)*(100%-'Données projet'!$C$26)*(100%-'Données projet'!$C$27)</f>
        <v>1.2247728634603088</v>
      </c>
      <c r="J6" s="150">
        <f>IF(OR('Données projet'!B9="",'Données projet'!C9="",'Données projet'!C9=0%),0,SUM(Calculateur!$V$3:$V$33)*VLOOKUP('Données projet'!$B$9,Paramètres!$A$1:$I$89,9,0)*B6)</f>
        <v>8.0666666666666682</v>
      </c>
      <c r="K6" s="151">
        <f>J6*(100%-'Données projet'!$C$24)*(100%-'Données projet'!$C$25)*(100%-'Données projet'!$C$26)*(100%-'Données projet'!$C$27)</f>
        <v>6.1710000000000012</v>
      </c>
      <c r="L6" s="152">
        <f ca="1">G6+I6+K6</f>
        <v>101.86258770570346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">
      <c r="A7" s="153" t="str">
        <f>IF('Données projet'!$B$10="","",'Données projet'!$B$10)</f>
        <v>Chêne pubescent</v>
      </c>
      <c r="B7" s="154">
        <f>'Données projet'!D10</f>
        <v>1.4960000000000002</v>
      </c>
      <c r="C7" s="147">
        <f ca="1">IF(OR('Données projet'!B10="",'Données projet'!C10="",'Données projet'!C10=0%),0,Calculateur!AN3)</f>
        <v>644.15138437063933</v>
      </c>
      <c r="D7" s="147">
        <f>IF(OR('Données projet'!B10="",'Données projet'!C10="",'Données projet'!C10=0%),0,Calculateur!AO3)</f>
        <v>289.3097279858207</v>
      </c>
      <c r="E7" s="147">
        <f t="shared" ref="E7:E15" ca="1" si="0">MIN(C7,D7)</f>
        <v>289.3097279858207</v>
      </c>
      <c r="F7" s="147">
        <f t="shared" ref="F7:F15" ca="1" si="1">E7*B7</f>
        <v>432.80735306678781</v>
      </c>
      <c r="G7" s="147">
        <f ca="1">F7*(100%-'Données projet'!$C$24)*(100%-'Données projet'!$C$25)*(100%-'Données projet'!$C$26)*(100%-'Données projet'!$C$27)</f>
        <v>331.09762509609266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331.09762509609266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">
      <c r="A8" s="153" t="str">
        <f>IF('Données projet'!$B$11="","",'Données projet'!$B$11)</f>
        <v>Chêne sessile</v>
      </c>
      <c r="B8" s="154">
        <f>'Données projet'!D11</f>
        <v>1.4960000000000002</v>
      </c>
      <c r="C8" s="147">
        <f ca="1">IF(OR('Données projet'!B11="",'Données projet'!C11="",'Données projet'!C11=0%),0,Calculateur!BI3)</f>
        <v>573.17174498173017</v>
      </c>
      <c r="D8" s="147">
        <f>IF(OR('Données projet'!B11="",'Données projet'!C11="",'Données projet'!C11=0%),0,Calculateur!BJ3)</f>
        <v>260.48854096157231</v>
      </c>
      <c r="E8" s="147">
        <f t="shared" ca="1" si="0"/>
        <v>260.48854096157231</v>
      </c>
      <c r="F8" s="147">
        <f t="shared" ca="1" si="1"/>
        <v>389.69085727851223</v>
      </c>
      <c r="G8" s="147">
        <f ca="1">F8*(100%-'Données projet'!$C$24)*(100%-'Données projet'!$C$25)*(100%-'Données projet'!$C$26)*(100%-'Données projet'!$C$27)</f>
        <v>298.11350581806187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298.11350581806187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">
      <c r="A9" s="153" t="str">
        <f>IF('Données projet'!$B$12="","",'Données projet'!$B$12)</f>
        <v>Charme</v>
      </c>
      <c r="B9" s="154">
        <f>'Données projet'!D12</f>
        <v>0.83600000000000008</v>
      </c>
      <c r="C9" s="147">
        <f ca="1">IF(OR('Données projet'!B12="",'Données projet'!C12="",'Données projet'!C12=0%),0,Calculateur!CD3)</f>
        <v>603.61135046904178</v>
      </c>
      <c r="D9" s="147">
        <f>IF(OR('Données projet'!B12="",'Données projet'!C12="",'Données projet'!C12=0%),0,Calculateur!CE3)</f>
        <v>272.84936867513068</v>
      </c>
      <c r="E9" s="147">
        <f t="shared" ca="1" si="0"/>
        <v>272.84936867513068</v>
      </c>
      <c r="F9" s="147">
        <f t="shared" ca="1" si="1"/>
        <v>228.10207221240927</v>
      </c>
      <c r="G9" s="147">
        <f ca="1">F9*(100%-'Données projet'!$C$24)*(100%-'Données projet'!$C$25)*(100%-'Données projet'!$C$26)*(100%-'Données projet'!$C$27)</f>
        <v>174.49808524249309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174.49808524249309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5">
      <c r="A16" s="209"/>
      <c r="B16" s="213"/>
      <c r="C16" s="214"/>
      <c r="D16" s="23"/>
      <c r="E16" s="23"/>
      <c r="F16" s="165">
        <f t="shared" ref="F16:L16" ca="1" si="3">SUM(F6:F15)</f>
        <v>1174.0863150312298</v>
      </c>
      <c r="G16" s="166">
        <f t="shared" ca="1" si="3"/>
        <v>898.17603099889072</v>
      </c>
      <c r="H16" s="167">
        <f t="shared" si="3"/>
        <v>1.6010102790330833</v>
      </c>
      <c r="I16" s="167">
        <f t="shared" si="3"/>
        <v>1.2247728634603088</v>
      </c>
      <c r="J16" s="168">
        <f t="shared" si="3"/>
        <v>8.0666666666666682</v>
      </c>
      <c r="K16" s="168">
        <f t="shared" si="3"/>
        <v>6.1710000000000012</v>
      </c>
      <c r="L16" s="169">
        <f t="shared" ca="1" si="3"/>
        <v>905.57180386235109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5">
      <c r="A21" s="170" t="str">
        <f>A6</f>
        <v>Chêne chevelu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5">
      <c r="A76" s="170" t="str">
        <f>A9</f>
        <v>Charme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N1" zoomScale="80" zoomScaleNormal="80" workbookViewId="0">
      <selection activeCell="J24" sqref="J24"/>
    </sheetView>
  </sheetViews>
  <sheetFormatPr baseColWidth="10" defaultColWidth="11.4609375" defaultRowHeight="14.6" x14ac:dyDescent="0.4"/>
  <cols>
    <col min="1" max="1" width="11.4609375" style="1"/>
    <col min="2" max="2" width="30.921875" style="1" bestFit="1" customWidth="1"/>
    <col min="3" max="3" width="18.07421875" style="1" bestFit="1" customWidth="1"/>
    <col min="4" max="5" width="11.4609375" style="1"/>
    <col min="6" max="6" width="14" style="1" customWidth="1"/>
    <col min="7" max="7" width="17.53515625" style="1" customWidth="1"/>
    <col min="8" max="8" width="21.61328125" style="1" customWidth="1"/>
    <col min="9" max="9" width="37" style="1" customWidth="1"/>
    <col min="10" max="10" width="11.4609375" style="1"/>
    <col min="11" max="11" width="8.921875" style="1" customWidth="1"/>
    <col min="12" max="12" width="11.4609375" style="1"/>
    <col min="13" max="13" width="21" style="1" customWidth="1"/>
    <col min="14" max="16" width="11.4609375" style="1"/>
    <col min="17" max="17" width="8" style="1" customWidth="1"/>
    <col min="18" max="18" width="11.4609375" style="1"/>
    <col min="19" max="19" width="31" style="1" customWidth="1"/>
    <col min="20" max="20" width="18.07421875" style="1" customWidth="1"/>
    <col min="21" max="21" width="16.4609375" style="1" customWidth="1"/>
    <col min="22" max="22" width="17.921875" style="1" customWidth="1"/>
    <col min="23" max="16384" width="11.4609375" style="1"/>
  </cols>
  <sheetData>
    <row r="1" spans="1:42" ht="15" thickBot="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6" thickBot="1" x14ac:dyDescent="0.7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7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chevelu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609.87675620671212</v>
      </c>
      <c r="U10" s="178">
        <f>'Données projet'!D9</f>
        <v>0.57200000000000006</v>
      </c>
      <c r="V10" s="177">
        <f>U10*T10</f>
        <v>348.84950455023937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829.90871632361518</v>
      </c>
      <c r="U11" s="178">
        <f>'Données projet'!D10</f>
        <v>1.4960000000000002</v>
      </c>
      <c r="V11" s="177">
        <f t="shared" ref="V11" si="0">U11*T11</f>
        <v>1241.5434396201285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892.24932021927395</v>
      </c>
      <c r="U12" s="178">
        <f>'Données projet'!D11</f>
        <v>1.4960000000000002</v>
      </c>
      <c r="V12" s="177">
        <f t="shared" ref="V12:V19" si="1">U12*T12</f>
        <v>1334.804983048034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Charme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892.24932021927395</v>
      </c>
      <c r="U13" s="178">
        <f>'Données projet'!D12</f>
        <v>0.83600000000000008</v>
      </c>
      <c r="V13" s="177">
        <f t="shared" si="1"/>
        <v>745.92043170331306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">
      <c r="A14" s="46" t="s">
        <v>165</v>
      </c>
      <c r="B14" s="174" t="str">
        <f>IF('Données projet'!$B$9="","",'Données projet'!$B$9)</f>
        <v>Chêne chevelu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30000/5</f>
        <v>6000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1000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">
      <c r="A23" s="180">
        <f>'Données projet'!A36</f>
        <v>10</v>
      </c>
      <c r="B23" s="181">
        <f>'Données projet'!D36</f>
        <v>0</v>
      </c>
      <c r="C23" s="193">
        <v>13.5625</v>
      </c>
      <c r="D23" s="182">
        <f>B23*C23</f>
        <v>0</v>
      </c>
      <c r="E23" s="193"/>
      <c r="F23" s="230"/>
      <c r="H23" s="190">
        <v>4</v>
      </c>
      <c r="I23" s="191">
        <v>2000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-44416.292592768979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">
      <c r="A24" s="180">
        <f>'Données projet'!A37</f>
        <v>15</v>
      </c>
      <c r="B24" s="181">
        <f>'Données projet'!D37</f>
        <v>0</v>
      </c>
      <c r="C24" s="193">
        <v>13.5625</v>
      </c>
      <c r="D24" s="182">
        <f t="shared" ref="D24:D42" si="2">B24*C24</f>
        <v>0</v>
      </c>
      <c r="E24" s="193"/>
      <c r="F24" s="233"/>
      <c r="H24" s="190">
        <v>5</v>
      </c>
      <c r="I24" s="191">
        <v>1000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8174.9592556448843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">
      <c r="A25" s="180">
        <f>'Données projet'!A38</f>
        <v>20</v>
      </c>
      <c r="B25" s="181">
        <f>'Données projet'!D38</f>
        <v>26.282051282051281</v>
      </c>
      <c r="C25" s="193">
        <v>13.5625</v>
      </c>
      <c r="D25" s="182">
        <f t="shared" si="2"/>
        <v>356.4503205128205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180</v>
      </c>
      <c r="Q25" s="234"/>
      <c r="R25" s="23"/>
      <c r="S25" s="186" t="s">
        <v>266</v>
      </c>
      <c r="T25" s="299">
        <f ca="1">T23-T24</f>
        <v>-52591.251848413864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">
      <c r="A26" s="180">
        <f>'Données projet'!A39</f>
        <v>25</v>
      </c>
      <c r="B26" s="181">
        <f>'Données projet'!D39</f>
        <v>14.743589743589743</v>
      </c>
      <c r="C26" s="193">
        <v>13.5625</v>
      </c>
      <c r="D26" s="182">
        <f t="shared" si="2"/>
        <v>199.95993589743588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">
      <c r="A27" s="180">
        <f>'Données projet'!A40</f>
        <v>30</v>
      </c>
      <c r="B27" s="181">
        <f>'Données projet'!D40</f>
        <v>15.384615384615383</v>
      </c>
      <c r="C27" s="193">
        <v>13.5625</v>
      </c>
      <c r="D27" s="182">
        <f t="shared" si="2"/>
        <v>208.65384615384613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">
      <c r="A28" s="180">
        <f>'Données projet'!A41</f>
        <v>35</v>
      </c>
      <c r="B28" s="181">
        <f>'Données projet'!D41</f>
        <v>15.384615384615383</v>
      </c>
      <c r="C28" s="193">
        <v>13.5625</v>
      </c>
      <c r="D28" s="182">
        <f t="shared" si="2"/>
        <v>208.65384615384613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">
      <c r="A29" s="180">
        <f>'Données projet'!A42</f>
        <v>40</v>
      </c>
      <c r="B29" s="181">
        <f>'Données projet'!D42</f>
        <v>14.743589743589743</v>
      </c>
      <c r="C29" s="193">
        <v>13.5625</v>
      </c>
      <c r="D29" s="182">
        <f t="shared" si="2"/>
        <v>199.95993589743588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">
      <c r="A30" s="180">
        <f>'Données projet'!A43</f>
        <v>45</v>
      </c>
      <c r="B30" s="181">
        <f>'Données projet'!D43</f>
        <v>14.102564102564102</v>
      </c>
      <c r="C30" s="193">
        <v>13.5625</v>
      </c>
      <c r="D30" s="182">
        <f t="shared" si="2"/>
        <v>191.26602564102564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4128.7673008307493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">
      <c r="A31" s="180">
        <f>'Données projet'!A44</f>
        <v>50</v>
      </c>
      <c r="B31" s="181">
        <f>'Données projet'!D44</f>
        <v>13.461538461538462</v>
      </c>
      <c r="C31" s="193">
        <v>13.5625</v>
      </c>
      <c r="D31" s="182">
        <f t="shared" si="2"/>
        <v>182.57211538461539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">
      <c r="A32" s="180">
        <f>'Données projet'!A45</f>
        <v>55</v>
      </c>
      <c r="B32" s="181">
        <f>'Données projet'!D45</f>
        <v>12.820512820512819</v>
      </c>
      <c r="C32" s="193">
        <v>32.787500000000001</v>
      </c>
      <c r="D32" s="182">
        <f t="shared" si="2"/>
        <v>420.35256410256409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">
      <c r="A33" s="180">
        <f>'Données projet'!A46</f>
        <v>60</v>
      </c>
      <c r="B33" s="181">
        <f>'Données projet'!D46</f>
        <v>11.538461538461538</v>
      </c>
      <c r="C33" s="193">
        <v>32.787500000000001</v>
      </c>
      <c r="D33" s="182">
        <f t="shared" si="2"/>
        <v>378.31730769230768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180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">
      <c r="A34" s="180">
        <f>'Données projet'!A47</f>
        <v>65</v>
      </c>
      <c r="B34" s="181">
        <f>'Données projet'!D47</f>
        <v>10.897435897435898</v>
      </c>
      <c r="C34" s="193">
        <v>32.787500000000001</v>
      </c>
      <c r="D34" s="182">
        <f t="shared" si="2"/>
        <v>357.2996794871795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172.2488038277512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">
      <c r="A35" s="180">
        <f>'Données projet'!A48</f>
        <v>70</v>
      </c>
      <c r="B35" s="181">
        <f>'Données projet'!D48</f>
        <v>10.256410256410255</v>
      </c>
      <c r="C35" s="193">
        <v>32.787500000000001</v>
      </c>
      <c r="D35" s="182">
        <f t="shared" si="2"/>
        <v>336.28205128205127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164.83139122272846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">
      <c r="A36" s="180">
        <f>'Données projet'!A49</f>
        <v>75</v>
      </c>
      <c r="B36" s="181">
        <f>'Données projet'!D49</f>
        <v>8.9743589743589745</v>
      </c>
      <c r="C36" s="193">
        <v>32.787500000000001</v>
      </c>
      <c r="D36" s="182">
        <f t="shared" si="2"/>
        <v>294.24679487179486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157.73338872988367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">
      <c r="A37" s="180">
        <f>'Données projet'!A50</f>
        <v>80</v>
      </c>
      <c r="B37" s="181">
        <f>'Données projet'!D50</f>
        <v>8.3333333333333339</v>
      </c>
      <c r="C37" s="193">
        <v>32.787500000000001</v>
      </c>
      <c r="D37" s="182">
        <f t="shared" si="2"/>
        <v>273.22916666666669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150.94104184677869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">
      <c r="A38" s="180">
        <f>'Données projet'!A51</f>
        <v>85</v>
      </c>
      <c r="B38" s="181">
        <f>'Données projet'!D51</f>
        <v>7.6923076923076916</v>
      </c>
      <c r="C38" s="193">
        <v>32.787500000000001</v>
      </c>
      <c r="D38" s="182">
        <f t="shared" si="2"/>
        <v>252.21153846153845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144.44118837012314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">
      <c r="A39" s="180">
        <f>'Données projet'!A52</f>
        <v>90</v>
      </c>
      <c r="B39" s="181">
        <f>'Données projet'!D52</f>
        <v>7.0512820512820511</v>
      </c>
      <c r="C39" s="193">
        <v>32.787500000000001</v>
      </c>
      <c r="D39" s="182">
        <f t="shared" si="2"/>
        <v>231.19391025641025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138.22123289007001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">
      <c r="A40" s="180">
        <f>'Données projet'!A53</f>
        <v>95</v>
      </c>
      <c r="B40" s="181">
        <f>'Données projet'!D53</f>
        <v>7.0512820512820511</v>
      </c>
      <c r="C40" s="193">
        <v>32.787500000000001</v>
      </c>
      <c r="D40" s="182">
        <f t="shared" si="2"/>
        <v>231.19391025641025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132.26912238284211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">
      <c r="A41" s="180">
        <f>'Données projet'!A54</f>
        <v>100</v>
      </c>
      <c r="B41" s="181">
        <f>'Données projet'!D54</f>
        <v>153.84615384615384</v>
      </c>
      <c r="C41" s="193">
        <v>43.025000000000006</v>
      </c>
      <c r="D41" s="182">
        <f t="shared" si="2"/>
        <v>6619.2307692307695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126.57332285439441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121.12279698985112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115.90698276540779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110.91577298125148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106.13949567583876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101.56889538357775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97.195115199595961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93.009679616838227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89.00447810223757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85.171749380131644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81.504066392470492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77.994321906670336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74.635714743225222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">
      <c r="A54" s="180">
        <f>'Données projet'!A62</f>
        <v>42</v>
      </c>
      <c r="B54" s="181">
        <f>'Données projet'!D62</f>
        <v>44.510000000000005</v>
      </c>
      <c r="C54" s="191">
        <v>15</v>
      </c>
      <c r="D54" s="179">
        <f>B54*C54</f>
        <v>667.65000000000009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71.42173659638776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">
      <c r="A55" s="180">
        <f>'Données projet'!A63</f>
        <v>50</v>
      </c>
      <c r="B55" s="181">
        <f>'Données projet'!D63</f>
        <v>37.54000000000002</v>
      </c>
      <c r="C55" s="191">
        <v>15</v>
      </c>
      <c r="D55" s="179">
        <f t="shared" ref="D55:D73" si="4">B55*C55</f>
        <v>563.10000000000036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68.346159422380651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">
      <c r="A56" s="180">
        <f>'Données projet'!A64</f>
        <v>58</v>
      </c>
      <c r="B56" s="181">
        <f>'Données projet'!D64</f>
        <v>47.789999999999992</v>
      </c>
      <c r="C56" s="191">
        <v>15</v>
      </c>
      <c r="D56" s="179">
        <f t="shared" si="4"/>
        <v>716.84999999999991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65.403023370699188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">
      <c r="A57" s="180">
        <f>'Données projet'!A65</f>
        <v>66</v>
      </c>
      <c r="B57" s="181">
        <f>'Données projet'!D65</f>
        <v>53.679999999999978</v>
      </c>
      <c r="C57" s="191">
        <v>59.875</v>
      </c>
      <c r="D57" s="179">
        <f t="shared" si="4"/>
        <v>3214.0899999999988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62.586625235118852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">
      <c r="A58" s="180">
        <f>'Données projet'!A66</f>
        <v>74</v>
      </c>
      <c r="B58" s="181">
        <f>'Données projet'!D66</f>
        <v>51.339999999999975</v>
      </c>
      <c r="C58" s="191">
        <v>59.875</v>
      </c>
      <c r="D58" s="179">
        <f t="shared" si="4"/>
        <v>3073.9824999999987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59.891507402027614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">
      <c r="A59" s="180">
        <f>'Données projet'!A67</f>
        <v>84</v>
      </c>
      <c r="B59" s="181">
        <f>'Données projet'!D67</f>
        <v>66.69</v>
      </c>
      <c r="C59" s="191">
        <v>59.875</v>
      </c>
      <c r="D59" s="179">
        <f t="shared" si="4"/>
        <v>3993.0637499999998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57.312447274667591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">
      <c r="A60" s="180">
        <f>'Données projet'!A68</f>
        <v>94</v>
      </c>
      <c r="B60" s="181">
        <f>'Données projet'!D68</f>
        <v>67.350000000000023</v>
      </c>
      <c r="C60" s="191">
        <v>59.875</v>
      </c>
      <c r="D60" s="179">
        <f t="shared" si="4"/>
        <v>4032.5812500000015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54.84444715279195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">
      <c r="A61" s="180">
        <f>'Données projet'!A69</f>
        <v>104</v>
      </c>
      <c r="B61" s="181">
        <f>'Données projet'!D69</f>
        <v>66.089999999999975</v>
      </c>
      <c r="C61" s="191">
        <v>59.875</v>
      </c>
      <c r="D61" s="179">
        <f t="shared" si="4"/>
        <v>3957.1387499999987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52.482724548126285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">
      <c r="A62" s="180">
        <f>'Données projet'!A70</f>
        <v>114</v>
      </c>
      <c r="B62" s="181">
        <f>'Données projet'!D70</f>
        <v>61.860000000000014</v>
      </c>
      <c r="C62" s="191">
        <v>59.875</v>
      </c>
      <c r="D62" s="179">
        <f t="shared" si="4"/>
        <v>3703.8675000000007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50.222702916867249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">
      <c r="A63" s="180">
        <f>'Données projet'!A71</f>
        <v>124</v>
      </c>
      <c r="B63" s="181">
        <f>'Données projet'!D71</f>
        <v>57.81</v>
      </c>
      <c r="C63" s="191">
        <v>59.875</v>
      </c>
      <c r="D63" s="179">
        <f t="shared" si="4"/>
        <v>3461.3737500000002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48.060002791260544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">
      <c r="A64" s="180">
        <f>'Données projet'!A72</f>
        <v>134</v>
      </c>
      <c r="B64" s="181">
        <f>'Données projet'!D72</f>
        <v>60.779999999999973</v>
      </c>
      <c r="C64" s="191">
        <v>179.75</v>
      </c>
      <c r="D64" s="179">
        <f t="shared" si="4"/>
        <v>10925.204999999994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45.990433293072279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">
      <c r="A65" s="180">
        <f>'Données projet'!A73</f>
        <v>144</v>
      </c>
      <c r="B65" s="181">
        <f>'Données projet'!D73</f>
        <v>61.800000000000068</v>
      </c>
      <c r="C65" s="191">
        <v>179.75</v>
      </c>
      <c r="D65" s="179">
        <f t="shared" si="4"/>
        <v>11108.550000000012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44.009984012509385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">
      <c r="A66" s="180">
        <f>'Données projet'!A74</f>
        <v>154</v>
      </c>
      <c r="B66" s="181">
        <f>'Données projet'!D74</f>
        <v>61.050000000000011</v>
      </c>
      <c r="C66" s="191">
        <v>179.75</v>
      </c>
      <c r="D66" s="179">
        <f t="shared" si="4"/>
        <v>10973.737500000003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42.114817236851088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">
      <c r="A67" s="180">
        <f>'Données projet'!A75</f>
        <v>164</v>
      </c>
      <c r="B67" s="181">
        <f>'Données projet'!D75</f>
        <v>66.020000000000095</v>
      </c>
      <c r="C67" s="191">
        <v>179.75</v>
      </c>
      <c r="D67" s="179">
        <f t="shared" si="4"/>
        <v>11867.095000000018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40.301260513733105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">
      <c r="A68" s="180">
        <f>'Données projet'!A76</f>
        <v>174</v>
      </c>
      <c r="B68" s="181">
        <f>'Données projet'!D76</f>
        <v>240</v>
      </c>
      <c r="C68" s="191">
        <v>234.375</v>
      </c>
      <c r="D68" s="179">
        <f t="shared" si="4"/>
        <v>56250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38.565799534672827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">
      <c r="A69" s="180">
        <f>'Données projet'!A77</f>
        <v>177</v>
      </c>
      <c r="B69" s="181">
        <f>'Données projet'!D77</f>
        <v>128.66000000000003</v>
      </c>
      <c r="C69" s="191">
        <v>234.375</v>
      </c>
      <c r="D69" s="179">
        <f t="shared" si="4"/>
        <v>30154.687500000007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36.905071325045775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">
      <c r="A70" s="180">
        <f>'Données projet'!A78</f>
        <v>180</v>
      </c>
      <c r="B70" s="181">
        <f>'Données projet'!D78</f>
        <v>86.97</v>
      </c>
      <c r="C70" s="191">
        <v>234.375</v>
      </c>
      <c r="D70" s="179">
        <f t="shared" si="4"/>
        <v>20383.59375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35.315857727316533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">
      <c r="A71" s="180">
        <f>'Données projet'!A79</f>
        <v>183</v>
      </c>
      <c r="B71" s="181">
        <f>'Données projet'!D79</f>
        <v>191.47</v>
      </c>
      <c r="C71" s="191">
        <v>234.375</v>
      </c>
      <c r="D71" s="179">
        <f t="shared" si="4"/>
        <v>44875.78125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33.795079164896208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32.339788674541829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30.947166195733814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29.614513105965376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28.339246991354429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27.11889664244443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25.951097265497065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24.833585899997193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23.764197033490142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22.740858405253721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21.761586990673429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20.824485158539165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19.927736993817387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19.069604778772618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">
      <c r="A85" s="180">
        <f>'Données projet'!A88</f>
        <v>42</v>
      </c>
      <c r="B85" s="181">
        <f>'Données projet'!D88</f>
        <v>44.510000000000005</v>
      </c>
      <c r="C85" s="191">
        <v>15</v>
      </c>
      <c r="D85" s="179">
        <f>B85*C85</f>
        <v>667.65000000000009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18.248425625619735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">
      <c r="A86" s="180">
        <f>'Données projet'!A89</f>
        <v>50</v>
      </c>
      <c r="B86" s="181">
        <f>'Données projet'!D89</f>
        <v>37.54000000000002</v>
      </c>
      <c r="C86" s="191">
        <v>15</v>
      </c>
      <c r="D86" s="179">
        <f t="shared" ref="D86:D104" si="6">B86*C86</f>
        <v>563.10000000000036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17.462608254181564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">
      <c r="A87" s="180">
        <f>'Données projet'!A90</f>
        <v>58</v>
      </c>
      <c r="B87" s="181">
        <f>'Données projet'!D90</f>
        <v>47.789999999999992</v>
      </c>
      <c r="C87" s="191">
        <v>15</v>
      </c>
      <c r="D87" s="179">
        <f t="shared" si="6"/>
        <v>716.84999999999991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16.710629908307723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">
      <c r="A88" s="180">
        <f>'Données projet'!A91</f>
        <v>66</v>
      </c>
      <c r="B88" s="181">
        <f>'Données projet'!D91</f>
        <v>53.679999999999978</v>
      </c>
      <c r="C88" s="191">
        <v>59.875</v>
      </c>
      <c r="D88" s="179">
        <f t="shared" si="6"/>
        <v>3214.0899999999988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15.991033405079159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">
      <c r="A89" s="180">
        <f>'Données projet'!A92</f>
        <v>74</v>
      </c>
      <c r="B89" s="181">
        <f>'Données projet'!D92</f>
        <v>51.339999999999975</v>
      </c>
      <c r="C89" s="191">
        <v>59.875</v>
      </c>
      <c r="D89" s="179">
        <f t="shared" si="6"/>
        <v>3073.9824999999987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15.302424311080539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">
      <c r="A90" s="180">
        <f>'Données projet'!A93</f>
        <v>84</v>
      </c>
      <c r="B90" s="181">
        <f>'Données projet'!D93</f>
        <v>66.69</v>
      </c>
      <c r="C90" s="191">
        <v>59.875</v>
      </c>
      <c r="D90" s="179">
        <f t="shared" si="6"/>
        <v>3993.0637499999998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14.64346824026846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">
      <c r="A91" s="180">
        <f>'Données projet'!A94</f>
        <v>94</v>
      </c>
      <c r="B91" s="181">
        <f>'Données projet'!D94</f>
        <v>67.350000000000023</v>
      </c>
      <c r="C91" s="191">
        <v>59.875</v>
      </c>
      <c r="D91" s="179">
        <f t="shared" si="6"/>
        <v>4032.5812500000015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14.012888268199486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">
      <c r="A92" s="180">
        <f>'Données projet'!A95</f>
        <v>104</v>
      </c>
      <c r="B92" s="181">
        <f>'Données projet'!D95</f>
        <v>66.089999999999975</v>
      </c>
      <c r="C92" s="191">
        <v>59.875</v>
      </c>
      <c r="D92" s="179">
        <f t="shared" si="6"/>
        <v>3957.1387499999987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13.409462457607164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">
      <c r="A93" s="180">
        <f>'Données projet'!A96</f>
        <v>114</v>
      </c>
      <c r="B93" s="181">
        <f>'Données projet'!D96</f>
        <v>61.860000000000014</v>
      </c>
      <c r="C93" s="191">
        <v>59.875</v>
      </c>
      <c r="D93" s="179">
        <f t="shared" si="6"/>
        <v>3703.8675000000007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12.832021490533172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">
      <c r="A94" s="180">
        <f>'Données projet'!A97</f>
        <v>124</v>
      </c>
      <c r="B94" s="181">
        <f>'Données projet'!D97</f>
        <v>57.81</v>
      </c>
      <c r="C94" s="191">
        <v>59.875</v>
      </c>
      <c r="D94" s="179">
        <f t="shared" si="6"/>
        <v>3461.3737500000002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12.279446402424087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">
      <c r="A95" s="180">
        <f>'Données projet'!A98</f>
        <v>134</v>
      </c>
      <c r="B95" s="181">
        <f>'Données projet'!D98</f>
        <v>60.779999999999973</v>
      </c>
      <c r="C95" s="191">
        <v>179.75</v>
      </c>
      <c r="D95" s="179">
        <f t="shared" si="6"/>
        <v>10925.204999999994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11.750666413802959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">
      <c r="A96" s="180">
        <f>'Données projet'!A99</f>
        <v>144</v>
      </c>
      <c r="B96" s="181">
        <f>'Données projet'!D99</f>
        <v>61.800000000000068</v>
      </c>
      <c r="C96" s="191">
        <v>179.75</v>
      </c>
      <c r="D96" s="179">
        <f t="shared" si="6"/>
        <v>11108.550000000012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11.244656855313835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">
      <c r="A97" s="180">
        <f>'Données projet'!A100</f>
        <v>154</v>
      </c>
      <c r="B97" s="181">
        <f>'Données projet'!D100</f>
        <v>61.050000000000011</v>
      </c>
      <c r="C97" s="191">
        <v>179.75</v>
      </c>
      <c r="D97" s="179">
        <f t="shared" si="6"/>
        <v>10973.737500000003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10.760437182118508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">
      <c r="A98" s="180">
        <f>'Données projet'!A101</f>
        <v>164</v>
      </c>
      <c r="B98" s="181">
        <f>'Données projet'!D101</f>
        <v>66.020000000000095</v>
      </c>
      <c r="C98" s="191">
        <v>179.75</v>
      </c>
      <c r="D98" s="179">
        <f t="shared" si="6"/>
        <v>11867.095000000018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10.297069073797616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">
      <c r="A99" s="180">
        <f>'Données projet'!A102</f>
        <v>174</v>
      </c>
      <c r="B99" s="181">
        <f>'Données projet'!D102</f>
        <v>240</v>
      </c>
      <c r="C99" s="191">
        <v>234.375</v>
      </c>
      <c r="D99" s="179">
        <f t="shared" si="6"/>
        <v>56250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9.8536546160742748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">
      <c r="A100" s="180">
        <f>'Données projet'!A103</f>
        <v>177</v>
      </c>
      <c r="B100" s="181">
        <f>'Données projet'!D103</f>
        <v>128.66000000000003</v>
      </c>
      <c r="C100" s="191">
        <v>234.375</v>
      </c>
      <c r="D100" s="179">
        <f t="shared" si="6"/>
        <v>30154.687500000007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9.4293345608366259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">
      <c r="A101" s="180">
        <f>'Données projet'!A104</f>
        <v>180</v>
      </c>
      <c r="B101" s="181">
        <f>'Données projet'!D104</f>
        <v>86.97</v>
      </c>
      <c r="C101" s="191">
        <v>234.375</v>
      </c>
      <c r="D101" s="179">
        <f t="shared" si="6"/>
        <v>20383.59375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9.023286661087683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">
      <c r="A102" s="180">
        <f>'Données projet'!A105</f>
        <v>183</v>
      </c>
      <c r="B102" s="181">
        <f>'Données projet'!D105</f>
        <v>191.47</v>
      </c>
      <c r="C102" s="191">
        <v>234.375</v>
      </c>
      <c r="D102" s="179">
        <f t="shared" si="6"/>
        <v>44875.78125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8.6347240775958696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8.2628938541587278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7.9070754585250986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7.5665793861484225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7.2407458240654767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">
      <c r="A107" s="46" t="s">
        <v>168</v>
      </c>
      <c r="B107" s="174" t="str">
        <f>IF('Données projet'!B12="","",'Données projet'!B12)</f>
        <v>Charme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6.9289433723114611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6.6305678203937433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6.345040976453344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6.0718095468453051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5.8103440639668005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5.5601378602553115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5.3207060863687206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>
        <f>IF(O113+1&lt;=MIN('Données projet'!$E$9:$E$18),O113+1,"STOP")</f>
        <v>81</v>
      </c>
      <c r="P114" s="185">
        <f t="shared" si="7"/>
        <v>5.0915847716447091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>
        <f>IF(O114+1&lt;=MIN('Données projet'!$E$9:$E$18),O114+1,"STOP")</f>
        <v>82</v>
      </c>
      <c r="P115" s="185">
        <f t="shared" si="7"/>
        <v>4.8723299250188612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">
      <c r="A116" s="180">
        <f>'Données projet'!A114</f>
        <v>42</v>
      </c>
      <c r="B116" s="181">
        <f>'Données projet'!D114</f>
        <v>44.510000000000005</v>
      </c>
      <c r="C116" s="191">
        <v>15</v>
      </c>
      <c r="D116" s="179">
        <f>B116*C116</f>
        <v>667.65000000000009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>
        <f>IF(O115+1&lt;=MIN('Données projet'!$E$9:$E$18),O115+1,"STOP")</f>
        <v>83</v>
      </c>
      <c r="P116" s="185">
        <f t="shared" si="7"/>
        <v>4.6625166746591979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">
      <c r="A117" s="180">
        <f>'Données projet'!A115</f>
        <v>50</v>
      </c>
      <c r="B117" s="181">
        <f>'Données projet'!D115</f>
        <v>37.54000000000002</v>
      </c>
      <c r="C117" s="191">
        <v>15</v>
      </c>
      <c r="D117" s="179">
        <f t="shared" ref="D117:D135" si="8">B117*C117</f>
        <v>563.10000000000036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>
        <f>IF(O116+1&lt;=MIN('Données projet'!$E$9:$E$18),O116+1,"STOP")</f>
        <v>84</v>
      </c>
      <c r="P117" s="185">
        <f t="shared" si="7"/>
        <v>4.4617384446499511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">
      <c r="A118" s="180">
        <f>'Données projet'!A116</f>
        <v>58</v>
      </c>
      <c r="B118" s="181">
        <f>'Données projet'!D116</f>
        <v>47.789999999999992</v>
      </c>
      <c r="C118" s="191">
        <v>15</v>
      </c>
      <c r="D118" s="179">
        <f t="shared" si="8"/>
        <v>716.84999999999991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>
        <f>IF(O117+1&lt;=MIN('Données projet'!$E$9:$E$18),O117+1,"STOP")</f>
        <v>85</v>
      </c>
      <c r="P118" s="185">
        <f t="shared" si="7"/>
        <v>4.2696061671291394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">
      <c r="A119" s="180">
        <f>'Données projet'!A117</f>
        <v>66</v>
      </c>
      <c r="B119" s="181">
        <f>'Données projet'!D117</f>
        <v>53.679999999999978</v>
      </c>
      <c r="C119" s="191">
        <v>59.875</v>
      </c>
      <c r="D119" s="179">
        <f t="shared" si="8"/>
        <v>3214.0899999999988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>
        <f>IF(O118+1&lt;=MIN('Données projet'!$E$9:$E$18),O118+1,"STOP")</f>
        <v>86</v>
      </c>
      <c r="P119" s="185">
        <f t="shared" si="7"/>
        <v>4.0857475283532443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">
      <c r="A120" s="180">
        <f>'Données projet'!A118</f>
        <v>74</v>
      </c>
      <c r="B120" s="181">
        <f>'Données projet'!D118</f>
        <v>51.339999999999975</v>
      </c>
      <c r="C120" s="191">
        <v>59.875</v>
      </c>
      <c r="D120" s="179">
        <f t="shared" si="8"/>
        <v>3073.9824999999987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>
        <f>IF(O119+1&lt;=MIN('Données projet'!$E$9:$E$18),O119+1,"STOP")</f>
        <v>87</v>
      </c>
      <c r="P120" s="185">
        <f t="shared" si="7"/>
        <v>3.9098062472279849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">
      <c r="A121" s="180">
        <f>'Données projet'!A119</f>
        <v>84</v>
      </c>
      <c r="B121" s="181">
        <f>'Données projet'!D119</f>
        <v>66.69</v>
      </c>
      <c r="C121" s="191">
        <v>59.875</v>
      </c>
      <c r="D121" s="179">
        <f t="shared" si="8"/>
        <v>3993.0637499999998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>
        <f>IF(O120+1&lt;=MIN('Données projet'!$E$9:$E$18),O120+1,"STOP")</f>
        <v>88</v>
      </c>
      <c r="P121" s="185">
        <f t="shared" si="7"/>
        <v>3.7414413849071635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">
      <c r="A122" s="180">
        <f>'Données projet'!A120</f>
        <v>94</v>
      </c>
      <c r="B122" s="181">
        <f>'Données projet'!D120</f>
        <v>67.350000000000023</v>
      </c>
      <c r="C122" s="191">
        <v>59.875</v>
      </c>
      <c r="D122" s="179">
        <f t="shared" si="8"/>
        <v>4032.5812500000015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>
        <f>IF(O121+1&lt;=MIN('Données projet'!$E$9:$E$18),O121+1,"STOP")</f>
        <v>89</v>
      </c>
      <c r="P122" s="185">
        <f t="shared" si="7"/>
        <v>3.5803266841216876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">
      <c r="A123" s="180">
        <f>'Données projet'!A121</f>
        <v>104</v>
      </c>
      <c r="B123" s="181">
        <f>'Données projet'!D121</f>
        <v>66.089999999999975</v>
      </c>
      <c r="C123" s="191">
        <v>59.875</v>
      </c>
      <c r="D123" s="179">
        <f t="shared" si="8"/>
        <v>3957.1387499999987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>
        <f>IF(O122+1&lt;=MIN('Données projet'!$E$9:$E$18),O122+1,"STOP")</f>
        <v>90</v>
      </c>
      <c r="P123" s="185">
        <f t="shared" si="7"/>
        <v>3.426149936958554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">
      <c r="A124" s="180">
        <f>'Données projet'!A122</f>
        <v>114</v>
      </c>
      <c r="B124" s="181">
        <f>'Données projet'!D122</f>
        <v>61.860000000000014</v>
      </c>
      <c r="C124" s="191">
        <v>59.875</v>
      </c>
      <c r="D124" s="179">
        <f t="shared" si="8"/>
        <v>3703.8675000000007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>
        <f>IF(O123+1&lt;=MIN('Données projet'!$E$9:$E$18),O123+1,"STOP")</f>
        <v>91</v>
      </c>
      <c r="P124" s="185">
        <f t="shared" si="7"/>
        <v>3.2786123798646445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">
      <c r="A125" s="180">
        <f>'Données projet'!A123</f>
        <v>124</v>
      </c>
      <c r="B125" s="181">
        <f>'Données projet'!D123</f>
        <v>57.81</v>
      </c>
      <c r="C125" s="191">
        <v>59.875</v>
      </c>
      <c r="D125" s="179">
        <f t="shared" si="8"/>
        <v>3461.3737500000002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>
        <f>IF(O124+1&lt;=MIN('Données projet'!$E$9:$E$18),O124+1,"STOP")</f>
        <v>92</v>
      </c>
      <c r="P125" s="185">
        <f t="shared" si="7"/>
        <v>3.1374281147030101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">
      <c r="A126" s="180">
        <f>'Données projet'!A124</f>
        <v>134</v>
      </c>
      <c r="B126" s="181">
        <f>'Données projet'!D124</f>
        <v>60.779999999999973</v>
      </c>
      <c r="C126" s="191">
        <v>179.75</v>
      </c>
      <c r="D126" s="179">
        <f t="shared" si="8"/>
        <v>10925.204999999994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>
        <f>IF(O125+1&lt;=MIN('Données projet'!$E$9:$E$18),O125+1,"STOP")</f>
        <v>93</v>
      </c>
      <c r="P126" s="185">
        <f t="shared" si="7"/>
        <v>3.0023235547397218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">
      <c r="A127" s="180">
        <f>'Données projet'!A125</f>
        <v>144</v>
      </c>
      <c r="B127" s="181">
        <f>'Données projet'!D125</f>
        <v>61.800000000000068</v>
      </c>
      <c r="C127" s="191">
        <v>179.75</v>
      </c>
      <c r="D127" s="179">
        <f t="shared" si="8"/>
        <v>11108.550000000012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>
        <f>IF(O126+1&lt;=MIN('Données projet'!$E$9:$E$18),O126+1,"STOP")</f>
        <v>94</v>
      </c>
      <c r="P127" s="185">
        <f t="shared" si="7"/>
        <v>2.8730368944877736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">
      <c r="A128" s="180">
        <f>'Données projet'!A126</f>
        <v>154</v>
      </c>
      <c r="B128" s="181">
        <f>'Données projet'!D126</f>
        <v>61.050000000000011</v>
      </c>
      <c r="C128" s="191">
        <v>179.75</v>
      </c>
      <c r="D128" s="179">
        <f t="shared" si="8"/>
        <v>10973.737500000003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>
        <f>IF(O127+1&lt;=MIN('Données projet'!$E$9:$E$18),O127+1,"STOP")</f>
        <v>95</v>
      </c>
      <c r="P128" s="185">
        <f t="shared" si="7"/>
        <v>2.7493176023806436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">
      <c r="A129" s="180">
        <f>'Données projet'!A127</f>
        <v>164</v>
      </c>
      <c r="B129" s="181">
        <f>'Données projet'!D127</f>
        <v>66.020000000000095</v>
      </c>
      <c r="C129" s="191">
        <v>179.75</v>
      </c>
      <c r="D129" s="179">
        <f t="shared" si="8"/>
        <v>11867.095000000018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>
        <f>IF(O128+1&lt;=MIN('Données projet'!$E$9:$E$18),O128+1,"STOP")</f>
        <v>96</v>
      </c>
      <c r="P129" s="185">
        <f t="shared" ref="P129:P132" si="9">$P$25/(1+$M$4)^O129</f>
        <v>2.6309259352924834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">
      <c r="A130" s="180">
        <f>'Données projet'!A128</f>
        <v>174</v>
      </c>
      <c r="B130" s="181">
        <f>'Données projet'!D128</f>
        <v>240</v>
      </c>
      <c r="C130" s="191">
        <v>234.375</v>
      </c>
      <c r="D130" s="179">
        <f t="shared" si="8"/>
        <v>56250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>
        <f>IF(O129+1&lt;=MIN('Données projet'!$E$9:$E$18),O129+1,"STOP")</f>
        <v>97</v>
      </c>
      <c r="P130" s="185">
        <f t="shared" si="9"/>
        <v>2.5176324739640998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">
      <c r="A131" s="180">
        <f>'Données projet'!A129</f>
        <v>177</v>
      </c>
      <c r="B131" s="181">
        <f>'Données projet'!D129</f>
        <v>128.66000000000003</v>
      </c>
      <c r="C131" s="191">
        <v>234.375</v>
      </c>
      <c r="D131" s="179">
        <f t="shared" si="8"/>
        <v>30154.687500000007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>
        <f>IF(O130+1&lt;=MIN('Données projet'!$E$9:$E$18),O130+1,"STOP")</f>
        <v>98</v>
      </c>
      <c r="P131" s="185">
        <f t="shared" si="9"/>
        <v>2.4092176784345454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">
      <c r="A132" s="180">
        <f>'Données projet'!A130</f>
        <v>180</v>
      </c>
      <c r="B132" s="181">
        <f>'Données projet'!D130</f>
        <v>86.97</v>
      </c>
      <c r="C132" s="191">
        <v>234.375</v>
      </c>
      <c r="D132" s="179">
        <f t="shared" si="8"/>
        <v>20383.59375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>
        <f>IF(O131+1&lt;=MIN('Données projet'!$E$9:$E$18),O131+1,"STOP")</f>
        <v>99</v>
      </c>
      <c r="P132" s="185">
        <f t="shared" si="9"/>
        <v>2.3054714626167896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">
      <c r="A133" s="180">
        <f>'Données projet'!A131</f>
        <v>183</v>
      </c>
      <c r="B133" s="181">
        <f>'Données projet'!D131</f>
        <v>191.47</v>
      </c>
      <c r="C133" s="191">
        <v>234.375</v>
      </c>
      <c r="D133" s="179">
        <f t="shared" si="8"/>
        <v>44875.78125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B2306A-F02C-47FD-8621-9D4FF23E5C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2025-01-06T13:34:51Z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