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 codeName="ThisWorkbook"/>
  <mc:AlternateContent xmlns:mc="http://schemas.openxmlformats.org/markup-compatibility/2006">
    <mc:Choice Requires="x15">
      <x15ac:absPath xmlns:x15ac="http://schemas.microsoft.com/office/spreadsheetml/2010/11/ac" url="/Users/a.l-l/Library/CloudStorage/GoogleDrive-alabergere@stock-co2.fr/Drive partagés/STOCK CO2/4 - STOCKEURS/02-FORET-VERGERS/2-NOTIFIE/378-R-GEDEFOR55-GES(55)-AMBRE-Lucotte-Moulainville-7ha/"/>
    </mc:Choice>
  </mc:AlternateContent>
  <xr:revisionPtr revIDLastSave="0" documentId="13_ncr:1_{EF8547CF-105F-0E4B-889B-00D95790DB29}" xr6:coauthVersionLast="47" xr6:coauthVersionMax="47" xr10:uidLastSave="{00000000-0000-0000-0000-000000000000}"/>
  <bookViews>
    <workbookView xWindow="17500" yWindow="-26580" windowWidth="29220" windowHeight="2134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" i="6" l="1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23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54" i="6"/>
  <c r="C303" i="6"/>
  <c r="C304" i="6"/>
  <c r="C305" i="6"/>
  <c r="C306" i="6"/>
  <c r="C307" i="6"/>
  <c r="C308" i="6"/>
  <c r="C309" i="6"/>
  <c r="C310" i="6"/>
  <c r="C311" i="6"/>
  <c r="C312" i="6"/>
  <c r="C313" i="6"/>
  <c r="C314" i="6"/>
  <c r="C315" i="6"/>
  <c r="C316" i="6"/>
  <c r="C317" i="6"/>
  <c r="C318" i="6"/>
  <c r="C319" i="6"/>
  <c r="C320" i="6"/>
  <c r="C321" i="6"/>
  <c r="C302" i="6"/>
  <c r="C272" i="6"/>
  <c r="C273" i="6"/>
  <c r="C274" i="6"/>
  <c r="C275" i="6"/>
  <c r="C276" i="6"/>
  <c r="C277" i="6"/>
  <c r="C278" i="6"/>
  <c r="C279" i="6"/>
  <c r="C280" i="6"/>
  <c r="C281" i="6"/>
  <c r="C282" i="6"/>
  <c r="C283" i="6"/>
  <c r="C284" i="6"/>
  <c r="C285" i="6"/>
  <c r="C286" i="6"/>
  <c r="C287" i="6"/>
  <c r="C288" i="6"/>
  <c r="C289" i="6"/>
  <c r="C290" i="6"/>
  <c r="C271" i="6"/>
  <c r="C241" i="6"/>
  <c r="C242" i="6"/>
  <c r="C243" i="6"/>
  <c r="C244" i="6"/>
  <c r="C245" i="6"/>
  <c r="C246" i="6"/>
  <c r="C247" i="6"/>
  <c r="C248" i="6"/>
  <c r="C249" i="6"/>
  <c r="C250" i="6"/>
  <c r="C251" i="6"/>
  <c r="C252" i="6"/>
  <c r="C253" i="6"/>
  <c r="C254" i="6"/>
  <c r="C255" i="6"/>
  <c r="C256" i="6"/>
  <c r="C257" i="6"/>
  <c r="C258" i="6"/>
  <c r="C259" i="6"/>
  <c r="C240" i="6"/>
  <c r="C210" i="6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25" i="6"/>
  <c r="C226" i="6"/>
  <c r="C227" i="6"/>
  <c r="C228" i="6"/>
  <c r="C209" i="6"/>
  <c r="C179" i="6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178" i="6"/>
  <c r="C148" i="6"/>
  <c r="C149" i="6"/>
  <c r="C150" i="6"/>
  <c r="C151" i="6"/>
  <c r="C152" i="6"/>
  <c r="C153" i="6"/>
  <c r="C154" i="6"/>
  <c r="C155" i="6"/>
  <c r="C156" i="6"/>
  <c r="C157" i="6"/>
  <c r="C158" i="6"/>
  <c r="C159" i="6"/>
  <c r="C160" i="6"/>
  <c r="C161" i="6"/>
  <c r="C162" i="6"/>
  <c r="C163" i="6"/>
  <c r="C164" i="6"/>
  <c r="C165" i="6"/>
  <c r="C166" i="6"/>
  <c r="C147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116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BQ4" i="2"/>
  <c r="GL4" i="2"/>
  <c r="F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FR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X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HH14" i="2" s="1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G14" i="2" l="1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X18" i="2"/>
  <c r="HG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FS20" i="2" l="1"/>
  <c r="EC20" i="2"/>
  <c r="HG20" i="2"/>
  <c r="EV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EB21" i="2"/>
  <c r="HI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EW22" i="2" s="1"/>
  <c r="FO22" i="2"/>
  <c r="FN22" i="2"/>
  <c r="DY22" i="2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G24" i="2" l="1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EV28" i="2"/>
  <c r="HI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V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HH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HI38" i="2"/>
  <c r="FS38" i="2"/>
  <c r="EA38" i="2"/>
  <c r="HH38" i="2"/>
  <c r="EX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G44" i="2"/>
  <c r="EC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B45" i="2" s="1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V57" i="2" l="1"/>
  <c r="HH57" i="2"/>
  <c r="EB57" i="2"/>
  <c r="FS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G60" i="2" l="1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HG74" i="2" l="1"/>
  <c r="FS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H75" i="2"/>
  <c r="HG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B77" i="2" l="1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A105" i="2"/>
  <c r="FS105" i="2"/>
  <c r="EV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A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HI112" i="2" l="1"/>
  <c r="EB112" i="2"/>
  <c r="FQ112" i="2"/>
  <c r="EC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EC116" i="2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FS118" i="2"/>
  <c r="EC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EX120" i="2"/>
  <c r="HI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FR121" i="2"/>
  <c r="EA121" i="2"/>
  <c r="HI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FS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V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H130" i="2" l="1"/>
  <c r="FS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HH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EW134" i="2" s="1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V134" i="2"/>
  <c r="HI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FS139" i="2"/>
  <c r="HH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FR140" i="2"/>
  <c r="FS140" i="2"/>
  <c r="EC140" i="2"/>
  <c r="EB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HH141" i="2"/>
  <c r="FS141" i="2"/>
  <c r="EA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FR144" i="2"/>
  <c r="HH144" i="2"/>
  <c r="HG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HG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I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H149" i="2" l="1"/>
  <c r="EX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G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B154" i="2" l="1"/>
  <c r="HH154" i="2"/>
  <c r="HG154" i="2"/>
  <c r="HJ154" i="2" s="1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AC154" i="2" s="1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EY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EA155" i="2" l="1"/>
  <c r="EX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HI156" i="2" l="1"/>
  <c r="DH156" i="2"/>
  <c r="AB156" i="2"/>
  <c r="EB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A157" i="2" l="1"/>
  <c r="HH157" i="2"/>
  <c r="EC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H158" i="2" l="1"/>
  <c r="EW158" i="2"/>
  <c r="EC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I159" i="2" l="1"/>
  <c r="EA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HG160" i="2"/>
  <c r="EC160" i="2"/>
  <c r="DG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B161" i="2" l="1"/>
  <c r="HH161" i="2"/>
  <c r="FS161" i="2"/>
  <c r="EA161" i="2"/>
  <c r="HG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W162" i="2" l="1"/>
  <c r="HH162" i="2"/>
  <c r="EB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EB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EX164" i="2"/>
  <c r="DI163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EX167" i="2"/>
  <c r="HI167" i="2"/>
  <c r="DG167" i="2"/>
  <c r="EB167" i="2"/>
  <c r="FR167" i="2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W168" i="2" l="1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HG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FQ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W178" i="2" l="1"/>
  <c r="HH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DG182" i="2"/>
  <c r="FS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A185" i="2" l="1"/>
  <c r="HG185" i="2"/>
  <c r="EW185" i="2"/>
  <c r="EV185" i="2"/>
  <c r="HI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HH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EV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W190" i="2"/>
  <c r="HH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W191" i="2" l="1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I192" i="2" l="1"/>
  <c r="EC192" i="2"/>
  <c r="EB192" i="2"/>
  <c r="EA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FQ193" i="2" l="1"/>
  <c r="EA193" i="2"/>
  <c r="HI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HG197" i="2" l="1"/>
  <c r="AA197" i="2"/>
  <c r="EW197" i="2"/>
  <c r="EA197" i="2"/>
  <c r="HH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EB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/>
  <c r="DI200" i="2"/>
  <c r="HG201" i="2" l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X202" i="2"/>
  <c r="HI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92" i="2" l="1" a="1"/>
  <c r="AH92" i="2" s="1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AN32" i="2" l="1"/>
  <c r="AN117" i="2"/>
  <c r="AN147" i="2"/>
  <c r="AN30" i="2"/>
  <c r="AN42" i="2"/>
  <c r="AN173" i="2"/>
  <c r="AN46" i="2"/>
  <c r="AN71" i="2"/>
  <c r="AN152" i="2"/>
  <c r="AN198" i="2"/>
  <c r="AN28" i="2"/>
  <c r="AN53" i="2"/>
  <c r="AN48" i="2"/>
  <c r="AN127" i="2"/>
  <c r="AN67" i="2"/>
  <c r="AN20" i="2"/>
  <c r="AN63" i="2"/>
  <c r="AN129" i="2"/>
  <c r="AN168" i="2"/>
  <c r="AN170" i="2"/>
  <c r="AN142" i="2"/>
  <c r="AN125" i="2"/>
  <c r="AN15" i="2"/>
  <c r="AN73" i="2"/>
  <c r="AN65" i="2"/>
  <c r="AN167" i="2"/>
  <c r="AN3" i="2"/>
  <c r="C7" i="4" s="1"/>
  <c r="E7" i="4" s="1"/>
  <c r="F7" i="4" s="1"/>
  <c r="G7" i="4" s="1"/>
  <c r="L7" i="4" s="1"/>
  <c r="AN189" i="2"/>
  <c r="AN57" i="2"/>
  <c r="AN134" i="2"/>
  <c r="AN60" i="2"/>
  <c r="AN202" i="2"/>
  <c r="AN169" i="2"/>
  <c r="AN108" i="2"/>
  <c r="AN109" i="2"/>
  <c r="AN64" i="2"/>
  <c r="AN146" i="2"/>
  <c r="AN80" i="2"/>
  <c r="AN5" i="2"/>
  <c r="AN178" i="2"/>
  <c r="AN75" i="2"/>
  <c r="AN4" i="2"/>
  <c r="AN87" i="2"/>
  <c r="AN165" i="2"/>
  <c r="AN203" i="2"/>
  <c r="AN21" i="2"/>
  <c r="AN183" i="2"/>
  <c r="AN195" i="2"/>
  <c r="AN9" i="2"/>
  <c r="AN31" i="2"/>
  <c r="AN51" i="2"/>
  <c r="AN38" i="2"/>
  <c r="AN118" i="2"/>
  <c r="AN35" i="2"/>
  <c r="AN23" i="2"/>
  <c r="AN47" i="2"/>
  <c r="AN79" i="2"/>
  <c r="AN107" i="2"/>
  <c r="AN174" i="2"/>
  <c r="AN49" i="2"/>
  <c r="AN136" i="2"/>
  <c r="AN197" i="2"/>
  <c r="AN77" i="2"/>
  <c r="AN140" i="2"/>
  <c r="AN154" i="2"/>
  <c r="AN37" i="2"/>
  <c r="AN52" i="2"/>
  <c r="AN113" i="2"/>
  <c r="AN182" i="2"/>
  <c r="AN59" i="2"/>
  <c r="AN120" i="2"/>
  <c r="AN82" i="2"/>
  <c r="AN166" i="2"/>
  <c r="AN50" i="2"/>
  <c r="AN19" i="2"/>
  <c r="AN175" i="2"/>
  <c r="AN56" i="2"/>
  <c r="AN18" i="2"/>
  <c r="AN93" i="2"/>
  <c r="AN97" i="2"/>
  <c r="AN179" i="2"/>
  <c r="AN123" i="2"/>
  <c r="AN54" i="2"/>
  <c r="AN184" i="2"/>
  <c r="AN22" i="2"/>
  <c r="AN150" i="2"/>
  <c r="AN8" i="2"/>
  <c r="AN158" i="2"/>
  <c r="AN103" i="2"/>
  <c r="AN6" i="2"/>
  <c r="AN151" i="2"/>
  <c r="AN29" i="2"/>
  <c r="AN126" i="2"/>
  <c r="AN128" i="2"/>
  <c r="AN44" i="2"/>
  <c r="AN181" i="2"/>
  <c r="AN62" i="2"/>
  <c r="AN45" i="2"/>
  <c r="AN159" i="2"/>
  <c r="AN85" i="2"/>
  <c r="AN61" i="2"/>
  <c r="AN132" i="2"/>
  <c r="AN70" i="2"/>
  <c r="AN185" i="2"/>
  <c r="AN40" i="2"/>
  <c r="AN105" i="2"/>
  <c r="AN89" i="2"/>
  <c r="AN201" i="2"/>
  <c r="AN14" i="2"/>
  <c r="AN172" i="2"/>
  <c r="AN149" i="2"/>
  <c r="AN164" i="2"/>
  <c r="AN58" i="2"/>
  <c r="AN138" i="2"/>
  <c r="AN188" i="2"/>
  <c r="AN11" i="2"/>
  <c r="AN155" i="2"/>
  <c r="AN69" i="2"/>
  <c r="AN7" i="2"/>
  <c r="AN141" i="2"/>
  <c r="AN16" i="2"/>
  <c r="AN133" i="2"/>
  <c r="AN72" i="2"/>
  <c r="AN161" i="2"/>
  <c r="AN144" i="2"/>
  <c r="AN131" i="2"/>
  <c r="AN112" i="2"/>
  <c r="AN190" i="2"/>
  <c r="AN143" i="2"/>
  <c r="AN94" i="2"/>
  <c r="AN186" i="2"/>
  <c r="AN137" i="2"/>
  <c r="AN121" i="2"/>
  <c r="AN114" i="2"/>
  <c r="AN193" i="2"/>
  <c r="AN41" i="2"/>
  <c r="AN119" i="2"/>
  <c r="AN95" i="2"/>
  <c r="AN33" i="2"/>
  <c r="AN88" i="2"/>
  <c r="AN115" i="2"/>
  <c r="AN106" i="2"/>
  <c r="AN111" i="2"/>
  <c r="AN68" i="2"/>
  <c r="AN196" i="2"/>
  <c r="AN86" i="2"/>
  <c r="AN192" i="2"/>
  <c r="AN124" i="2"/>
  <c r="AN187" i="2"/>
  <c r="AN13" i="2"/>
  <c r="AN110" i="2"/>
  <c r="AN39" i="2"/>
  <c r="AN25" i="2"/>
  <c r="AN139" i="2"/>
  <c r="AN84" i="2"/>
  <c r="AN163" i="2"/>
  <c r="AN74" i="2"/>
  <c r="AN90" i="2"/>
  <c r="AN135" i="2"/>
  <c r="AN76" i="2"/>
  <c r="AN36" i="2"/>
  <c r="AN162" i="2"/>
  <c r="AN34" i="2"/>
  <c r="AN200" i="2"/>
  <c r="AN26" i="2"/>
  <c r="AN17" i="2"/>
  <c r="AN78" i="2"/>
  <c r="AN99" i="2"/>
  <c r="AN55" i="2"/>
  <c r="AN91" i="2"/>
  <c r="AN160" i="2"/>
  <c r="AN153" i="2"/>
  <c r="AN177" i="2"/>
  <c r="AN83" i="2"/>
  <c r="AN98" i="2"/>
  <c r="AN24" i="2"/>
  <c r="AN100" i="2"/>
  <c r="AN191" i="2"/>
  <c r="AN116" i="2"/>
  <c r="AN102" i="2"/>
  <c r="AN122" i="2"/>
  <c r="AN157" i="2"/>
  <c r="AN148" i="2"/>
  <c r="AN199" i="2"/>
  <c r="AN92" i="2"/>
  <c r="AN104" i="2"/>
  <c r="AN66" i="2"/>
  <c r="AN156" i="2"/>
  <c r="AN43" i="2"/>
  <c r="AN145" i="2"/>
  <c r="AN130" i="2"/>
  <c r="AN180" i="2"/>
  <c r="AN96" i="2"/>
  <c r="AN101" i="2"/>
  <c r="AN194" i="2"/>
  <c r="AN27" i="2"/>
  <c r="AN10" i="2"/>
  <c r="AN176" i="2"/>
  <c r="AN81" i="2"/>
  <c r="AN171" i="2"/>
  <c r="AN12" i="2"/>
  <c r="FE166" i="2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<sst xmlns="http://schemas.openxmlformats.org/spreadsheetml/2006/main" count="1173" uniqueCount="326">
  <si>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</si>
  <si>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</si>
  <si>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</si>
  <si>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</si>
  <si>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</si>
  <si>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</si>
  <si>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</si>
  <si>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</si>
  <si>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</si>
  <si>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</si>
  <si>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</si>
  <si>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</si>
  <si>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</si>
  <si>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</si>
  <si>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</si>
  <si>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</si>
  <si>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</si>
  <si>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</si>
  <si>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</si>
  <si>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</si>
  <si>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</si>
  <si>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</si>
  <si>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</si>
  <si>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</si>
  <si>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</si>
  <si>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</si>
  <si>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</si>
  <si>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</si>
  <si>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</si>
  <si>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</si>
  <si>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</si>
  <si>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</si>
  <si>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</si>
  <si>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</si>
  <si>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</si>
  <si>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</si>
  <si>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</si>
  <si>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</si>
  <si>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</si>
  <si>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</si>
  <si>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</si>
  <si>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</si>
  <si>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</si>
  <si>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</si>
  <si>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</si>
  <si>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</si>
  <si>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</si>
  <si>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</si>
  <si>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</si>
  <si>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</si>
  <si>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</si>
  <si>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</si>
  <si>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</si>
  <si>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</si>
  <si>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</si>
  <si>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</si>
  <si>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</si>
  <si>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</si>
  <si>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</si>
  <si>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</si>
  <si>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</si>
  <si>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</si>
  <si>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</si>
  <si>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</si>
  <si>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</si>
  <si>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</si>
  <si>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</si>
  <si>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</si>
  <si>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</si>
  <si>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</si>
  <si>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</si>
  <si>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</si>
  <si>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</si>
  <si>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</si>
  <si>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</si>
  <si>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</si>
  <si>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</si>
  <si>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</si>
  <si>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</si>
  <si>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</si>
  <si>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</si>
  <si>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</si>
  <si>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</si>
  <si>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</si>
  <si>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</si>
  <si>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</si>
  <si>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</si>
  <si>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</si>
  <si>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</si>
  <si>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</si>
  <si>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</si>
  <si>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</si>
  <si>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</si>
  <si>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</si>
  <si>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</si>
  <si>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</si>
  <si>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</si>
  <si>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</si>
  <si>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</si>
  <si>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</si>
  <si>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</si>
  <si>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</si>
  <si>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</si>
  <si>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</si>
  <si>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</si>
  <si>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</si>
  <si>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</si>
  <si>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</si>
  <si>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</si>
  <si>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</si>
  <si>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</si>
  <si>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</si>
  <si>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</si>
  <si>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</si>
  <si>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</si>
  <si>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</si>
  <si>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</si>
  <si>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</si>
  <si>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</si>
  <si>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</si>
  <si>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</si>
  <si>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</si>
  <si>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</si>
  <si>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</si>
  <si>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</si>
  <si>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</si>
  <si>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</si>
  <si>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</si>
  <si>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</si>
  <si>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</si>
  <si>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</si>
  <si>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</si>
  <si>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</si>
  <si>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</si>
  <si>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</si>
  <si>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</si>
  <si>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</si>
  <si>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</si>
  <si>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</si>
  <si>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</si>
  <si>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</si>
  <si>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</si>
  <si>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</si>
  <si>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</si>
  <si>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</si>
  <si>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</si>
  <si>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</si>
  <si>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</si>
  <si>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</si>
  <si>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</si>
  <si>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</si>
  <si>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</si>
  <si>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</si>
  <si>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</si>
  <si>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</si>
  <si>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</si>
  <si>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</si>
  <si>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</si>
  <si>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</si>
  <si>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</si>
  <si>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</si>
  <si>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</si>
  <si>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</si>
  <si>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</si>
  <si>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</si>
  <si>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</si>
  <si>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</si>
  <si>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</si>
  <si>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</si>
  <si>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</si>
  <si>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</si>
  <si>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</si>
  <si>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</si>
  <si>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</si>
  <si>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</si>
  <si>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</si>
  <si>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</si>
  <si>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</si>
  <si>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</si>
  <si>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</si>
  <si>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</si>
  <si>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</si>
  <si>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</si>
  <si>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</si>
  <si>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</si>
  <si>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</si>
  <si>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</si>
  <si>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</si>
  <si>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</si>
  <si>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</si>
  <si>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</si>
  <si>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</si>
  <si>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</si>
  <si>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</si>
  <si>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</si>
  <si>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</si>
  <si>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</si>
  <si>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</si>
  <si>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</si>
  <si>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</si>
  <si>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</si>
  <si>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</si>
  <si>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</si>
  <si>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</si>
  <si>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</si>
  <si>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</si>
  <si>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</si>
  <si>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</si>
  <si>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</si>
  <si>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</si>
  <si>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</si>
  <si>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</si>
  <si>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</si>
  <si>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</si>
  <si>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</si>
  <si>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</si>
  <si>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</si>
  <si>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</si>
  <si>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</si>
  <si>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</si>
  <si>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</si>
  <si>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</si>
  <si>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</si>
  <si>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</si>
  <si>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</si>
  <si>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</si>
  <si>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</si>
  <si>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</si>
  <si>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</si>
  <si>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</si>
  <si>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</si>
  <si>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</si>
  <si>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</si>
  <si>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</si>
  <si>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</si>
  <si>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</si>
  <si>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</si>
  <si>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</si>
  <si>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</si>
  <si>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</si>
  <si>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</si>
  <si>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</si>
  <si>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</si>
  <si>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</si>
  <si>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</si>
  <si>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</si>
  <si>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</si>
  <si>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</si>
  <si>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</si>
  <si>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</si>
  <si>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</si>
  <si>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</si>
  <si>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</si>
  <si>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</si>
  <si>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</si>
  <si>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</si>
  <si>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</si>
  <si>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</si>
  <si>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</si>
  <si>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</si>
  <si>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</si>
  <si>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</si>
  <si>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</si>
  <si>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</si>
  <si>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</si>
  <si>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</si>
  <si>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</si>
  <si>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</si>
  <si>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</si>
  <si>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</si>
  <si>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</si>
  <si>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</si>
  <si>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</si>
  <si>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</si>
  <si>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</si>
  <si>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</si>
  <si>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</si>
  <si>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</si>
  <si>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</si>
  <si>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</si>
  <si>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</si>
  <si>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</si>
  <si>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</si>
  <si>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</si>
  <si>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</si>
  <si>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</si>
  <si>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</si>
  <si>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</si>
  <si>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</si>
  <si>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</si>
  <si>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</si>
  <si>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</si>
  <si>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</si>
  <si>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</si>
  <si>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</si>
  <si>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</si>
  <si>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</si>
  <si>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</si>
  <si>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</si>
  <si>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</si>
  <si>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</si>
  <si>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</si>
  <si>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</si>
  <si>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</si>
  <si>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</si>
  <si>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</si>
  <si>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</si>
  <si>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</si>
  <si>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</si>
  <si>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</si>
  <si>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</si>
  <si>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</si>
  <si>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</si>
  <si>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</si>
  <si>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</si>
  <si>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</si>
  <si>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</si>
  <si>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</si>
  <si>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</si>
  <si>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</si>
  <si>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</si>
  <si>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</si>
  <si>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</si>
  <si>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</si>
  <si>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CHÊNE ONF Nord-Est Classe Moyenne</t>
  </si>
  <si>
    <t>DOUGLAS Belgique Classe Forte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</si>
</sst>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2.0304005289303682</c:v>
                </c:pt>
                <c:pt idx="2">
                  <c:v>2.8369156529056316</c:v>
                </c:pt>
                <c:pt idx="3">
                  <c:v>3.9651866962811888</c:v>
                </c:pt>
                <c:pt idx="4">
                  <c:v>5.5440995941261555</c:v>
                </c:pt>
                <c:pt idx="5">
                  <c:v>7.7543636012159496</c:v>
                </c:pt>
                <c:pt idx="6">
                  <c:v>10.849421516375481</c:v>
                </c:pt>
                <c:pt idx="7">
                  <c:v>15.184823973481235</c:v>
                </c:pt>
                <c:pt idx="8">
                  <c:v>21.259503869670677</c:v>
                </c:pt>
                <c:pt idx="9">
                  <c:v>29.773785583032616</c:v>
                </c:pt>
                <c:pt idx="10">
                  <c:v>41.710932827889991</c:v>
                </c:pt>
                <c:pt idx="11">
                  <c:v>58.451812108092277</c:v>
                </c:pt>
                <c:pt idx="12">
                  <c:v>81.936154629149854</c:v>
                </c:pt>
                <c:pt idx="13">
                  <c:v>114.88940187419416</c:v>
                </c:pt>
                <c:pt idx="14">
                  <c:v>161.14187260581406</c:v>
                </c:pt>
                <c:pt idx="15">
                  <c:v>226.07791378395936</c:v>
                </c:pt>
                <c:pt idx="16">
                  <c:v>223.66777003883416</c:v>
                </c:pt>
                <c:pt idx="17">
                  <c:v>254.95565122562834</c:v>
                </c:pt>
                <c:pt idx="18">
                  <c:v>286.15657784953424</c:v>
                </c:pt>
                <c:pt idx="19">
                  <c:v>317.28135996753446</c:v>
                </c:pt>
                <c:pt idx="20">
                  <c:v>348.33851163171676</c:v>
                </c:pt>
                <c:pt idx="21">
                  <c:v>325.41022659148729</c:v>
                </c:pt>
                <c:pt idx="22">
                  <c:v>356.21233858420231</c:v>
                </c:pt>
                <c:pt idx="23">
                  <c:v>386.95613821648527</c:v>
                </c:pt>
                <c:pt idx="24">
                  <c:v>417.64690431825039</c:v>
                </c:pt>
                <c:pt idx="25">
                  <c:v>448.28907700291916</c:v>
                </c:pt>
                <c:pt idx="26">
                  <c:v>415.74505644902729</c:v>
                </c:pt>
                <c:pt idx="27">
                  <c:v>444.96580033395315</c:v>
                </c:pt>
                <c:pt idx="28">
                  <c:v>474.14546138612178</c:v>
                </c:pt>
                <c:pt idx="29">
                  <c:v>503.28692006995601</c:v>
                </c:pt>
                <c:pt idx="30">
                  <c:v>532.39269641419367</c:v>
                </c:pt>
                <c:pt idx="31">
                  <c:v>494.52465130521909</c:v>
                </c:pt>
                <c:pt idx="32">
                  <c:v>521.74823465158681</c:v>
                </c:pt>
                <c:pt idx="33">
                  <c:v>548.94188791952308</c:v>
                </c:pt>
                <c:pt idx="34">
                  <c:v>576.10730038492648</c:v>
                </c:pt>
                <c:pt idx="35">
                  <c:v>603.24598921218421</c:v>
                </c:pt>
                <c:pt idx="36">
                  <c:v>564.06341469887707</c:v>
                </c:pt>
                <c:pt idx="37">
                  <c:v>589.79789025240336</c:v>
                </c:pt>
                <c:pt idx="38">
                  <c:v>615.5089949539182</c:v>
                </c:pt>
                <c:pt idx="39">
                  <c:v>641.19784112563684</c:v>
                </c:pt>
                <c:pt idx="40">
                  <c:v>666.86544480724035</c:v>
                </c:pt>
                <c:pt idx="41">
                  <c:v>626.11711964454878</c:v>
                </c:pt>
                <c:pt idx="42">
                  <c:v>650.14854272914738</c:v>
                </c:pt>
                <c:pt idx="43">
                  <c:v>674.16165715210161</c:v>
                </c:pt>
                <c:pt idx="44">
                  <c:v>698.15720599872554</c:v>
                </c:pt>
                <c:pt idx="45">
                  <c:v>722.1358771752989</c:v>
                </c:pt>
                <c:pt idx="46">
                  <c:v>682.63264361743393</c:v>
                </c:pt>
                <c:pt idx="47">
                  <c:v>705.44659634791788</c:v>
                </c:pt>
                <c:pt idx="48">
                  <c:v>728.24546587909117</c:v>
                </c:pt>
                <c:pt idx="49">
                  <c:v>751.02979028364689</c:v>
                </c:pt>
                <c:pt idx="50">
                  <c:v>773.80007236704989</c:v>
                </c:pt>
                <c:pt idx="51">
                  <c:v>735.0587749737989</c:v>
                </c:pt>
                <c:pt idx="52">
                  <c:v>756.19539804826275</c:v>
                </c:pt>
                <c:pt idx="53">
                  <c:v>777.32002696073334</c:v>
                </c:pt>
                <c:pt idx="54">
                  <c:v>798.4330331595902</c:v>
                </c:pt>
                <c:pt idx="55">
                  <c:v>819.534766871947</c:v>
                </c:pt>
                <c:pt idx="56">
                  <c:v>779.6664839173344</c:v>
                </c:pt>
                <c:pt idx="57">
                  <c:v>799.60564429058547</c:v>
                </c:pt>
                <c:pt idx="58">
                  <c:v>819.534766871947</c:v>
                </c:pt>
                <c:pt idx="59">
                  <c:v>839.45412983330732</c:v>
                </c:pt>
                <c:pt idx="60">
                  <c:v>859.3639970853128</c:v>
                </c:pt>
                <c:pt idx="61">
                  <c:v>825.8631387791097</c:v>
                </c:pt>
                <c:pt idx="62">
                  <c:v>845.0766903726344</c:v>
                </c:pt>
                <c:pt idx="63">
                  <c:v>864.28147186626654</c:v>
                </c:pt>
                <c:pt idx="64">
                  <c:v>883.47770534147287</c:v>
                </c:pt>
                <c:pt idx="65">
                  <c:v>902.66560245436619</c:v>
                </c:pt>
                <c:pt idx="66">
                  <c:v>866.62292927270744</c:v>
                </c:pt>
                <c:pt idx="67">
                  <c:v>884.41389205494636</c:v>
                </c:pt>
                <c:pt idx="68">
                  <c:v>902.19770254628736</c:v>
                </c:pt>
                <c:pt idx="69">
                  <c:v>919.97452141940721</c:v>
                </c:pt>
                <c:pt idx="70">
                  <c:v>937.74450263901326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9.5169979671789093</c:v>
                </c:pt>
                <c:pt idx="2">
                  <c:v>18.617705008577001</c:v>
                </c:pt>
                <c:pt idx="3">
                  <c:v>27.583970977445158</c:v>
                </c:pt>
                <c:pt idx="4">
                  <c:v>36.467364341107171</c:v>
                </c:pt>
                <c:pt idx="5">
                  <c:v>45.291257619480326</c:v>
                </c:pt>
                <c:pt idx="6">
                  <c:v>54.068983473755416</c:v>
                </c:pt>
                <c:pt idx="7">
                  <c:v>62.80913695508724</c:v>
                </c:pt>
                <c:pt idx="8">
                  <c:v>71.517704855937595</c:v>
                </c:pt>
                <c:pt idx="9">
                  <c:v>80.19908754492397</c:v>
                </c:pt>
                <c:pt idx="10">
                  <c:v>88.85665016470476</c:v>
                </c:pt>
                <c:pt idx="11">
                  <c:v>97.493045883044317</c:v>
                </c:pt>
                <c:pt idx="12">
                  <c:v>106.11041780502711</c:v>
                </c:pt>
                <c:pt idx="13">
                  <c:v>114.71053148340779</c:v>
                </c:pt>
                <c:pt idx="14">
                  <c:v>123.29486541747771</c:v>
                </c:pt>
                <c:pt idx="15">
                  <c:v>131.86467492395187</c:v>
                </c:pt>
                <c:pt idx="16">
                  <c:v>140.42103847477497</c:v>
                </c:pt>
                <c:pt idx="17">
                  <c:v>148.96489211346997</c:v>
                </c:pt>
                <c:pt idx="18">
                  <c:v>157.4970555398767</c:v>
                </c:pt>
                <c:pt idx="19">
                  <c:v>166.01825223209946</c:v>
                </c:pt>
                <c:pt idx="20">
                  <c:v>174.52912521140465</c:v>
                </c:pt>
                <c:pt idx="21">
                  <c:v>183.0302495645376</c:v>
                </c:pt>
                <c:pt idx="22">
                  <c:v>191.52214251325447</c:v>
                </c:pt>
                <c:pt idx="23">
                  <c:v>200.00527160127737</c:v>
                </c:pt>
                <c:pt idx="24">
                  <c:v>208.48006141725565</c:v>
                </c:pt>
                <c:pt idx="25">
                  <c:v>216.94689916565926</c:v>
                </c:pt>
                <c:pt idx="26">
                  <c:v>225.40613932124006</c:v>
                </c:pt>
                <c:pt idx="27">
                  <c:v>233.85810754728024</c:v>
                </c:pt>
                <c:pt idx="28">
                  <c:v>242.30310401704142</c:v>
                </c:pt>
                <c:pt idx="29">
                  <c:v>250.74140624738729</c:v>
                </c:pt>
                <c:pt idx="30">
                  <c:v>259.17327153058113</c:v>
                </c:pt>
                <c:pt idx="31">
                  <c:v>267.59893903273559</c:v>
                </c:pt>
                <c:pt idx="32">
                  <c:v>276.01863161388769</c:v>
                </c:pt>
                <c:pt idx="33">
                  <c:v>284.43255741417448</c:v>
                </c:pt>
                <c:pt idx="34">
                  <c:v>292.84091124234214</c:v>
                </c:pt>
                <c:pt idx="35">
                  <c:v>301.24387579631144</c:v>
                </c:pt>
                <c:pt idx="36">
                  <c:v>309.64162274032839</c:v>
                </c:pt>
                <c:pt idx="37">
                  <c:v>318.03431365906772</c:v>
                </c:pt>
                <c:pt idx="38">
                  <c:v>326.42210090568886</c:v>
                </c:pt>
                <c:pt idx="39">
                  <c:v>334.8051283581114</c:v>
                </c:pt>
                <c:pt idx="40">
                  <c:v>343.18353209554238</c:v>
                </c:pt>
                <c:pt idx="41">
                  <c:v>351.55744100544524</c:v>
                </c:pt>
                <c:pt idx="42">
                  <c:v>359.926977329625</c:v>
                </c:pt>
                <c:pt idx="43">
                  <c:v>368.29225715684197</c:v>
                </c:pt>
                <c:pt idx="44">
                  <c:v>376.65339086830772</c:v>
                </c:pt>
                <c:pt idx="45">
                  <c:v>250.57709463171037</c:v>
                </c:pt>
                <c:pt idx="46">
                  <c:v>267.87528559675684</c:v>
                </c:pt>
                <c:pt idx="47">
                  <c:v>285.1483240025587</c:v>
                </c:pt>
                <c:pt idx="48">
                  <c:v>302.39794771293754</c:v>
                </c:pt>
                <c:pt idx="49">
                  <c:v>319.62568011522256</c:v>
                </c:pt>
                <c:pt idx="50">
                  <c:v>336.83286696636702</c:v>
                </c:pt>
                <c:pt idx="51">
                  <c:v>354.02070531132603</c:v>
                </c:pt>
                <c:pt idx="52">
                  <c:v>280.77479448156629</c:v>
                </c:pt>
                <c:pt idx="53">
                  <c:v>296.84856431347328</c:v>
                </c:pt>
                <c:pt idx="54">
                  <c:v>312.90293466909122</c:v>
                </c:pt>
                <c:pt idx="55">
                  <c:v>328.93904092472866</c:v>
                </c:pt>
                <c:pt idx="56">
                  <c:v>344.95789871482958</c:v>
                </c:pt>
                <c:pt idx="57">
                  <c:v>360.96042165106059</c:v>
                </c:pt>
                <c:pt idx="58">
                  <c:v>376.94743573394459</c:v>
                </c:pt>
                <c:pt idx="59">
                  <c:v>392.91969119131994</c:v>
                </c:pt>
                <c:pt idx="60">
                  <c:v>313.20060005742351</c:v>
                </c:pt>
                <c:pt idx="61">
                  <c:v>328.05424844901307</c:v>
                </c:pt>
                <c:pt idx="62">
                  <c:v>342.89305423749806</c:v>
                </c:pt>
                <c:pt idx="63">
                  <c:v>357.71775017102681</c:v>
                </c:pt>
                <c:pt idx="64">
                  <c:v>372.52900330652966</c:v>
                </c:pt>
                <c:pt idx="65">
                  <c:v>387.32742333138373</c:v>
                </c:pt>
                <c:pt idx="66">
                  <c:v>402.11356954670413</c:v>
                </c:pt>
                <c:pt idx="67">
                  <c:v>416.88795676980072</c:v>
                </c:pt>
                <c:pt idx="68">
                  <c:v>352.69805869060701</c:v>
                </c:pt>
                <c:pt idx="69">
                  <c:v>366.83614442258437</c:v>
                </c:pt>
                <c:pt idx="70">
                  <c:v>380.96233727738235</c:v>
                </c:pt>
                <c:pt idx="71">
                  <c:v>395.07714034322407</c:v>
                </c:pt>
                <c:pt idx="72">
                  <c:v>409.18101782903983</c:v>
                </c:pt>
                <c:pt idx="73">
                  <c:v>423.27439933376741</c:v>
                </c:pt>
                <c:pt idx="74">
                  <c:v>437.35768351738119</c:v>
                </c:pt>
                <c:pt idx="75">
                  <c:v>451.43124127443997</c:v>
                </c:pt>
                <c:pt idx="76">
                  <c:v>388.97226287682361</c:v>
                </c:pt>
                <c:pt idx="77">
                  <c:v>402.59198257385259</c:v>
                </c:pt>
                <c:pt idx="78">
                  <c:v>416.20173816561481</c:v>
                </c:pt>
                <c:pt idx="79">
                  <c:v>429.80190135815616</c:v>
                </c:pt>
                <c:pt idx="80">
                  <c:v>443.39281841645192</c:v>
                </c:pt>
                <c:pt idx="81">
                  <c:v>456.97481264851632</c:v>
                </c:pt>
                <c:pt idx="82">
                  <c:v>470.54818657881651</c:v>
                </c:pt>
                <c:pt idx="83">
                  <c:v>484.11322385787417</c:v>
                </c:pt>
                <c:pt idx="84">
                  <c:v>497.67019094671747</c:v>
                </c:pt>
                <c:pt idx="85">
                  <c:v>424.43690094764094</c:v>
                </c:pt>
                <c:pt idx="86">
                  <c:v>437.40359696866108</c:v>
                </c:pt>
                <c:pt idx="87">
                  <c:v>450.36204849292579</c:v>
                </c:pt>
                <c:pt idx="88">
                  <c:v>463.31252615094513</c:v>
                </c:pt>
                <c:pt idx="89">
                  <c:v>476.25528421118867</c:v>
                </c:pt>
                <c:pt idx="90">
                  <c:v>489.190561996447</c:v>
                </c:pt>
                <c:pt idx="91">
                  <c:v>502.11858514260081</c:v>
                </c:pt>
                <c:pt idx="92">
                  <c:v>515.03956672102765</c:v>
                </c:pt>
                <c:pt idx="93">
                  <c:v>527.95370824253109</c:v>
                </c:pt>
                <c:pt idx="94">
                  <c:v>466.93492020790245</c:v>
                </c:pt>
                <c:pt idx="95">
                  <c:v>479.85744571942934</c:v>
                </c:pt>
                <c:pt idx="96">
                  <c:v>492.77257586023921</c:v>
                </c:pt>
                <c:pt idx="97">
                  <c:v>505.68053173775678</c:v>
                </c:pt>
                <c:pt idx="98">
                  <c:v>518.58152225284664</c:v>
                </c:pt>
                <c:pt idx="99">
                  <c:v>531.47574506697708</c:v>
                </c:pt>
                <c:pt idx="100">
                  <c:v>544.36338747066077</c:v>
                </c:pt>
                <c:pt idx="101">
                  <c:v>557.24462716539813</c:v>
                </c:pt>
                <c:pt idx="102">
                  <c:v>570.11963296957981</c:v>
                </c:pt>
                <c:pt idx="103">
                  <c:v>582.98856545732633</c:v>
                </c:pt>
                <c:pt idx="104">
                  <c:v>498.82016739612618</c:v>
                </c:pt>
                <c:pt idx="105">
                  <c:v>511.31298927350804</c:v>
                </c:pt>
                <c:pt idx="106">
                  <c:v>523.79936555998472</c:v>
                </c:pt>
                <c:pt idx="107">
                  <c:v>536.2794715308786</c:v>
                </c:pt>
                <c:pt idx="108">
                  <c:v>548.75347363998856</c:v>
                </c:pt>
                <c:pt idx="109">
                  <c:v>561.22153015822335</c:v>
                </c:pt>
                <c:pt idx="110">
                  <c:v>573.68379175254745</c:v>
                </c:pt>
                <c:pt idx="111">
                  <c:v>586.14040201201863</c:v>
                </c:pt>
                <c:pt idx="112">
                  <c:v>598.59149792679898</c:v>
                </c:pt>
                <c:pt idx="113">
                  <c:v>611.03721032525084</c:v>
                </c:pt>
                <c:pt idx="114">
                  <c:v>546.676484422974</c:v>
                </c:pt>
                <c:pt idx="115">
                  <c:v>559.66971616139938</c:v>
                </c:pt>
                <c:pt idx="116">
                  <c:v>572.65663538260117</c:v>
                </c:pt>
                <c:pt idx="117">
                  <c:v>585.63740537030219</c:v>
                </c:pt>
                <c:pt idx="118">
                  <c:v>598.61218158207078</c:v>
                </c:pt>
                <c:pt idx="119">
                  <c:v>611.58111218947352</c:v>
                </c:pt>
                <c:pt idx="120">
                  <c:v>624.54433857004949</c:v>
                </c:pt>
                <c:pt idx="121">
                  <c:v>637.50199575633144</c:v>
                </c:pt>
                <c:pt idx="122">
                  <c:v>650.45421284648023</c:v>
                </c:pt>
                <c:pt idx="123">
                  <c:v>663.40111338052748</c:v>
                </c:pt>
                <c:pt idx="124">
                  <c:v>676.3428156857384</c:v>
                </c:pt>
                <c:pt idx="125">
                  <c:v>689.27943319417818</c:v>
                </c:pt>
                <c:pt idx="126">
                  <c:v>584.80966977593391</c:v>
                </c:pt>
                <c:pt idx="127">
                  <c:v>597.63048708648239</c:v>
                </c:pt>
                <c:pt idx="128">
                  <c:v>610.44558636377303</c:v>
                </c:pt>
                <c:pt idx="129">
                  <c:v>623.25510451599882</c:v>
                </c:pt>
                <c:pt idx="130">
                  <c:v>636.05917236713924</c:v>
                </c:pt>
                <c:pt idx="131">
                  <c:v>648.85791504693748</c:v>
                </c:pt>
                <c:pt idx="132">
                  <c:v>661.65145234852423</c:v>
                </c:pt>
                <c:pt idx="133">
                  <c:v>674.43989905695594</c:v>
                </c:pt>
                <c:pt idx="134">
                  <c:v>687.22336525155697</c:v>
                </c:pt>
                <c:pt idx="135">
                  <c:v>700.00195658460473</c:v>
                </c:pt>
                <c:pt idx="136">
                  <c:v>712.7757745386233</c:v>
                </c:pt>
                <c:pt idx="137">
                  <c:v>725.54491666428305</c:v>
                </c:pt>
                <c:pt idx="138">
                  <c:v>613.14119609980673</c:v>
                </c:pt>
                <c:pt idx="139">
                  <c:v>625.58554162845132</c:v>
                </c:pt>
                <c:pt idx="140">
                  <c:v>638.02476422171958</c:v>
                </c:pt>
                <c:pt idx="141">
                  <c:v>650.45897779350139</c:v>
                </c:pt>
                <c:pt idx="142">
                  <c:v>662.88829154928669</c:v>
                </c:pt>
                <c:pt idx="143">
                  <c:v>675.31281026725912</c:v>
                </c:pt>
                <c:pt idx="144">
                  <c:v>687.73263455763981</c:v>
                </c:pt>
                <c:pt idx="145">
                  <c:v>700.14786110232933</c:v>
                </c:pt>
                <c:pt idx="146">
                  <c:v>712.55858287668445</c:v>
                </c:pt>
                <c:pt idx="147">
                  <c:v>724.96488935504669</c:v>
                </c:pt>
                <c:pt idx="148">
                  <c:v>737.36686670147856</c:v>
                </c:pt>
                <c:pt idx="149">
                  <c:v>749.76459794701361</c:v>
                </c:pt>
                <c:pt idx="150">
                  <c:v>464.02702893675587</c:v>
                </c:pt>
                <c:pt idx="151">
                  <c:v>471.49271979345627</c:v>
                </c:pt>
                <c:pt idx="152">
                  <c:v>478.95589373663535</c:v>
                </c:pt>
                <c:pt idx="153">
                  <c:v>486.41659553463325</c:v>
                </c:pt>
                <c:pt idx="154">
                  <c:v>318.90827691847295</c:v>
                </c:pt>
                <c:pt idx="155">
                  <c:v>323.36831753272389</c:v>
                </c:pt>
                <c:pt idx="156">
                  <c:v>327.8269981665465</c:v>
                </c:pt>
                <c:pt idx="157">
                  <c:v>332.28433995451422</c:v>
                </c:pt>
                <c:pt idx="158">
                  <c:v>222.4929177269164</c:v>
                </c:pt>
                <c:pt idx="159">
                  <c:v>225.22882601301455</c:v>
                </c:pt>
                <c:pt idx="160">
                  <c:v>227.96397272956767</c:v>
                </c:pt>
                <c:pt idx="161">
                  <c:v>230.69836832699798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56" t="s">
        <v>291</v>
      </c>
      <c r="C12" s="256"/>
      <c r="D12" s="256"/>
      <c r="E12" s="256"/>
      <c r="F12" s="256"/>
      <c r="G12" s="256"/>
      <c r="H12" s="256"/>
      <c r="I12" s="256"/>
      <c r="J12" s="256"/>
      <c r="K12" s="256"/>
      <c r="L12" s="256"/>
      <c r="M12" s="256"/>
    </row>
    <row r="13" spans="2:13" ht="15" customHeight="1" x14ac:dyDescent="0.2">
      <c r="B13" s="256"/>
      <c r="C13" s="256"/>
      <c r="D13" s="256"/>
      <c r="E13" s="256"/>
      <c r="F13" s="256"/>
      <c r="G13" s="256"/>
      <c r="H13" s="256"/>
      <c r="I13" s="256"/>
      <c r="J13" s="256"/>
      <c r="K13" s="256"/>
      <c r="L13" s="256"/>
      <c r="M13" s="256"/>
    </row>
    <row r="14" spans="2:13" ht="15" customHeight="1" x14ac:dyDescent="0.2">
      <c r="B14" s="256"/>
      <c r="C14" s="256"/>
      <c r="D14" s="256"/>
      <c r="E14" s="256"/>
      <c r="F14" s="256"/>
      <c r="G14" s="256"/>
      <c r="H14" s="256"/>
      <c r="I14" s="256"/>
      <c r="J14" s="256"/>
      <c r="K14" s="256"/>
      <c r="L14" s="256"/>
      <c r="M14" s="256"/>
    </row>
    <row r="15" spans="2:13" ht="18.75" customHeight="1" x14ac:dyDescent="0.2">
      <c r="B15" s="256"/>
      <c r="C15" s="256"/>
      <c r="D15" s="256"/>
      <c r="E15" s="256"/>
      <c r="F15" s="256"/>
      <c r="G15" s="256"/>
      <c r="H15" s="256"/>
      <c r="I15" s="256"/>
      <c r="J15" s="256"/>
      <c r="K15" s="256"/>
      <c r="L15" s="256"/>
      <c r="M15" s="256"/>
    </row>
    <row r="16" spans="2:13" ht="18.75" customHeight="1" x14ac:dyDescent="0.2">
      <c r="B16" s="256"/>
      <c r="C16" s="256"/>
      <c r="D16" s="256"/>
      <c r="E16" s="256"/>
      <c r="F16" s="256"/>
      <c r="G16" s="256"/>
      <c r="H16" s="256"/>
      <c r="I16" s="256"/>
      <c r="J16" s="256"/>
      <c r="K16" s="256"/>
      <c r="L16" s="256"/>
      <c r="M16" s="256"/>
    </row>
    <row r="18" spans="2:13" ht="12" customHeight="1" x14ac:dyDescent="0.2">
      <c r="B18" s="256" t="s">
        <v>292</v>
      </c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</row>
    <row r="19" spans="2:13" ht="12" customHeight="1" x14ac:dyDescent="0.2">
      <c r="B19" s="256"/>
      <c r="C19" s="256"/>
      <c r="D19" s="256"/>
      <c r="E19" s="256"/>
      <c r="F19" s="256"/>
      <c r="G19" s="256"/>
      <c r="H19" s="256"/>
      <c r="I19" s="256"/>
      <c r="J19" s="256"/>
      <c r="K19" s="256"/>
      <c r="L19" s="256"/>
      <c r="M19" s="256"/>
    </row>
    <row r="20" spans="2:13" ht="12" customHeight="1" x14ac:dyDescent="0.2">
      <c r="B20" s="256"/>
      <c r="C20" s="256"/>
      <c r="D20" s="256"/>
      <c r="E20" s="256"/>
      <c r="F20" s="256"/>
      <c r="G20" s="256"/>
      <c r="H20" s="256"/>
      <c r="I20" s="256"/>
      <c r="J20" s="256"/>
      <c r="K20" s="256"/>
      <c r="L20" s="256"/>
      <c r="M20" s="256"/>
    </row>
    <row r="21" spans="2:13" ht="12" customHeight="1" x14ac:dyDescent="0.2">
      <c r="B21" s="256"/>
      <c r="C21" s="256"/>
      <c r="D21" s="256"/>
      <c r="E21" s="256"/>
      <c r="F21" s="256"/>
      <c r="G21" s="256"/>
      <c r="H21" s="256"/>
      <c r="I21" s="256"/>
      <c r="J21" s="256"/>
      <c r="K21" s="256"/>
      <c r="L21" s="256"/>
      <c r="M21" s="256"/>
    </row>
    <row r="22" spans="2:13" ht="12" customHeight="1" x14ac:dyDescent="0.2">
      <c r="B22" s="256"/>
      <c r="C22" s="256"/>
      <c r="D22" s="256"/>
      <c r="E22" s="256"/>
      <c r="F22" s="256"/>
      <c r="G22" s="256"/>
      <c r="H22" s="256"/>
      <c r="I22" s="256"/>
      <c r="J22" s="256"/>
      <c r="K22" s="256"/>
      <c r="L22" s="256"/>
      <c r="M22" s="256"/>
    </row>
    <row r="23" spans="2:13" ht="12" customHeight="1" x14ac:dyDescent="0.2">
      <c r="B23" s="256"/>
      <c r="C23" s="256"/>
      <c r="D23" s="256"/>
      <c r="E23" s="256"/>
      <c r="F23" s="256"/>
      <c r="G23" s="256"/>
      <c r="H23" s="256"/>
      <c r="I23" s="256"/>
      <c r="J23" s="256"/>
      <c r="K23" s="256"/>
      <c r="L23" s="256"/>
      <c r="M23" s="256"/>
    </row>
    <row r="24" spans="2:13" ht="12" customHeight="1" x14ac:dyDescent="0.2">
      <c r="B24" s="256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</row>
    <row r="25" spans="2:13" ht="12" customHeight="1" x14ac:dyDescent="0.2">
      <c r="B25" s="256"/>
      <c r="C25" s="256"/>
      <c r="D25" s="256"/>
      <c r="E25" s="256"/>
      <c r="F25" s="256"/>
      <c r="G25" s="256"/>
      <c r="H25" s="256"/>
      <c r="I25" s="256"/>
      <c r="J25" s="256"/>
      <c r="K25" s="256"/>
      <c r="L25" s="256"/>
      <c r="M25" s="256"/>
    </row>
    <row r="26" spans="2:13" ht="12" customHeight="1" x14ac:dyDescent="0.2">
      <c r="B26" s="256"/>
      <c r="C26" s="256"/>
      <c r="D26" s="256"/>
      <c r="E26" s="256"/>
      <c r="F26" s="256"/>
      <c r="G26" s="256"/>
      <c r="H26" s="256"/>
      <c r="I26" s="256"/>
      <c r="J26" s="256"/>
      <c r="K26" s="256"/>
      <c r="L26" s="256"/>
      <c r="M26" s="256"/>
    </row>
    <row r="27" spans="2:13" ht="12" customHeight="1" x14ac:dyDescent="0.2">
      <c r="B27" s="256"/>
      <c r="C27" s="256"/>
      <c r="D27" s="256"/>
      <c r="E27" s="256"/>
      <c r="F27" s="256"/>
      <c r="G27" s="256"/>
      <c r="H27" s="256"/>
      <c r="I27" s="256"/>
      <c r="J27" s="256"/>
      <c r="K27" s="256"/>
      <c r="L27" s="256"/>
      <c r="M27" s="256"/>
    </row>
    <row r="28" spans="2:13" ht="12" customHeight="1" x14ac:dyDescent="0.2">
      <c r="B28" s="256"/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</row>
    <row r="29" spans="2:13" ht="12" customHeight="1" x14ac:dyDescent="0.2">
      <c r="B29" s="256"/>
      <c r="C29" s="256"/>
      <c r="D29" s="256"/>
      <c r="E29" s="256"/>
      <c r="F29" s="256"/>
      <c r="G29" s="256"/>
      <c r="H29" s="256"/>
      <c r="I29" s="256"/>
      <c r="J29" s="256"/>
      <c r="K29" s="256"/>
      <c r="L29" s="256"/>
      <c r="M29" s="256"/>
    </row>
    <row r="30" spans="2:13" ht="12" customHeight="1" x14ac:dyDescent="0.2">
      <c r="B30" s="256"/>
      <c r="C30" s="256"/>
      <c r="D30" s="256"/>
      <c r="E30" s="256"/>
      <c r="F30" s="256"/>
      <c r="G30" s="256"/>
      <c r="H30" s="256"/>
      <c r="I30" s="256"/>
      <c r="J30" s="256"/>
      <c r="K30" s="256"/>
      <c r="L30" s="256"/>
      <c r="M30" s="256"/>
    </row>
    <row r="31" spans="2:13" ht="12" customHeight="1" x14ac:dyDescent="0.2">
      <c r="B31" s="256"/>
      <c r="C31" s="256"/>
      <c r="D31" s="256"/>
      <c r="E31" s="256"/>
      <c r="F31" s="256"/>
      <c r="G31" s="256"/>
      <c r="H31" s="256"/>
      <c r="I31" s="256"/>
      <c r="J31" s="256"/>
      <c r="K31" s="256"/>
      <c r="L31" s="256"/>
      <c r="M31" s="25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8" zoomScale="80" zoomScaleNormal="80" workbookViewId="0">
      <selection activeCell="H10" sqref="H10"/>
    </sheetView>
  </sheetViews>
  <sheetFormatPr baseColWidth="10" defaultColWidth="11.5" defaultRowHeight="15" x14ac:dyDescent="0.2"/>
  <cols>
    <col min="1" max="1" width="13.6640625" style="23" customWidth="1"/>
    <col min="2" max="2" width="36.1640625" style="23" customWidth="1"/>
    <col min="3" max="3" width="14.83203125" style="23" bestFit="1" customWidth="1"/>
    <col min="4" max="4" width="16.5" style="23" customWidth="1"/>
    <col min="5" max="5" width="23.33203125" style="23" customWidth="1"/>
    <col min="6" max="6" width="28.83203125" style="23" bestFit="1" customWidth="1"/>
    <col min="7" max="8" width="14.6640625" style="23" customWidth="1"/>
    <col min="9" max="9" width="17" style="23" customWidth="1"/>
    <col min="10" max="10" width="13.83203125" style="23" customWidth="1"/>
    <col min="11" max="16384" width="11.5" style="23"/>
  </cols>
  <sheetData>
    <row r="1" spans="1:38" x14ac:dyDescent="0.2">
      <c r="A1" s="4"/>
      <c r="B1" s="4"/>
      <c r="C1" s="257" t="s">
        <v>190</v>
      </c>
      <c r="D1" s="257"/>
      <c r="E1" s="25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6" thickBot="1" x14ac:dyDescent="0.25">
      <c r="A2" s="4"/>
      <c r="B2" s="4"/>
      <c r="C2" s="4"/>
      <c r="D2" s="4"/>
      <c r="E2" s="4"/>
      <c r="F2" s="4"/>
      <c r="G2" s="4"/>
      <c r="H2" s="4"/>
      <c r="I2" s="210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25">
      <c r="A3" s="4"/>
      <c r="B3" s="262" t="s">
        <v>192</v>
      </c>
      <c r="C3" s="263"/>
      <c r="D3" s="263"/>
      <c r="E3" s="263"/>
      <c r="F3" s="264"/>
      <c r="G3" s="89"/>
      <c r="I3" s="210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2">
      <c r="A4" s="90"/>
      <c r="B4" s="90"/>
      <c r="C4" s="90"/>
      <c r="D4" s="90"/>
      <c r="E4" s="90"/>
      <c r="F4" s="90"/>
      <c r="G4" s="217"/>
      <c r="I4" s="210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2">
      <c r="A5" s="267" t="s">
        <v>231</v>
      </c>
      <c r="B5" s="267"/>
      <c r="C5" s="24">
        <v>7</v>
      </c>
      <c r="D5" s="268" t="s">
        <v>229</v>
      </c>
      <c r="E5" s="269"/>
      <c r="F5" s="90"/>
      <c r="G5" s="217"/>
      <c r="H5" s="217"/>
      <c r="I5" s="217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">
      <c r="A6" s="91"/>
      <c r="B6" s="91"/>
      <c r="C6" s="4"/>
      <c r="D6" s="86"/>
      <c r="E6" s="86"/>
      <c r="F6" s="26"/>
      <c r="G6" s="204"/>
      <c r="H6" s="204"/>
      <c r="I6" s="20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2">
      <c r="A7" s="266" t="s">
        <v>226</v>
      </c>
      <c r="B7" s="266"/>
      <c r="C7" s="90"/>
      <c r="D7" s="90"/>
      <c r="E7" s="4"/>
      <c r="F7" s="90"/>
      <c r="G7" s="217"/>
      <c r="H7" s="217"/>
      <c r="I7" s="217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">
      <c r="A9" s="30" t="s">
        <v>165</v>
      </c>
      <c r="B9" s="31" t="s">
        <v>18</v>
      </c>
      <c r="C9" s="32">
        <v>0.75</v>
      </c>
      <c r="D9" s="33">
        <f t="shared" ref="D9:D18" si="0">C9*$C$5</f>
        <v>5.25</v>
      </c>
      <c r="E9" s="34">
        <v>70</v>
      </c>
      <c r="F9" s="35" t="str">
        <f t="array" ref="F9">IF(E9="","",IF(INDEX(A:A,MAX(IF(ISNUMBER($A$36:$A$55),ROW($A$36:$A$55),"")))&lt;&gt;E9,"Corrigez : révolution incorrecte","OK"))</f>
        <v>OK</v>
      </c>
      <c r="G9" s="227" t="s">
        <v>306</v>
      </c>
      <c r="H9" s="23" t="s">
        <v>325</v>
      </c>
      <c r="I9" s="225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">
      <c r="A10" s="30" t="s">
        <v>166</v>
      </c>
      <c r="B10" s="31" t="s">
        <v>14</v>
      </c>
      <c r="C10" s="32">
        <v>0.25</v>
      </c>
      <c r="D10" s="33">
        <f t="shared" si="0"/>
        <v>1.75</v>
      </c>
      <c r="E10" s="34">
        <v>161</v>
      </c>
      <c r="F10" s="35" t="str">
        <f t="array" ref="F10">IF(E10="","",IF(INDEX(A:A,MAX(IF(ISNUMBER($A$62:$A$81),ROW($A$62:$A$81),"")))&lt;&gt;E10,"Corrigez : révolution incorrecte","OK"))</f>
        <v>OK</v>
      </c>
      <c r="H10" s="23" t="s">
        <v>324</v>
      </c>
      <c r="I10" s="225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5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5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5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5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5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5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5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5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">
      <c r="A19" s="78"/>
      <c r="B19" s="36" t="s">
        <v>175</v>
      </c>
      <c r="C19" s="37">
        <f>SUM(C9:C18)</f>
        <v>1</v>
      </c>
      <c r="D19" s="38">
        <f>SUM(D9:D18)</f>
        <v>7</v>
      </c>
      <c r="E19" s="4"/>
      <c r="F19" s="92"/>
      <c r="G19" s="218"/>
      <c r="H19" s="218"/>
      <c r="I19" s="218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">
      <c r="A20" s="78"/>
      <c r="B20" s="39" t="s">
        <v>230</v>
      </c>
      <c r="C20" s="40" t="str">
        <f>IF(C19&gt;100%,"Erreur : corrigez","OK")</f>
        <v>OK</v>
      </c>
      <c r="D20" s="221"/>
      <c r="F20" s="204"/>
      <c r="G20" s="204"/>
      <c r="H20" s="218"/>
      <c r="I20" s="218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">
      <c r="A21" s="4"/>
      <c r="B21" s="4"/>
      <c r="C21" s="4"/>
      <c r="H21" s="219"/>
      <c r="I21" s="219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25">
      <c r="A22" s="265" t="s">
        <v>232</v>
      </c>
      <c r="B22" s="26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1"/>
      <c r="I24" s="201"/>
      <c r="J24" s="220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">
      <c r="A25" s="41" t="s">
        <v>220</v>
      </c>
      <c r="B25" s="42" t="s">
        <v>219</v>
      </c>
      <c r="C25" s="45">
        <v>0.1</v>
      </c>
      <c r="D25" s="94"/>
      <c r="E25" s="4"/>
      <c r="F25" s="94"/>
      <c r="G25" s="220"/>
      <c r="I25" s="220"/>
      <c r="J25" s="220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1"/>
      <c r="I26" s="201"/>
      <c r="J26" s="201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1"/>
      <c r="I27" s="201"/>
      <c r="J27" s="201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">
      <c r="A30" s="266" t="s">
        <v>227</v>
      </c>
      <c r="B30" s="266"/>
      <c r="D30" s="222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">
      <c r="A31" s="4"/>
      <c r="B31" s="4"/>
      <c r="K31" s="222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">
      <c r="A32" s="46" t="s">
        <v>165</v>
      </c>
      <c r="B32" s="47" t="str">
        <f>IF(B9="","",B9)</f>
        <v>Douglas</v>
      </c>
      <c r="D32" s="228" t="s">
        <v>307</v>
      </c>
      <c r="K32" s="222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">
      <c r="A33" s="46"/>
      <c r="B33" s="4"/>
      <c r="K33" s="222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2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32" x14ac:dyDescent="0.2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3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">
      <c r="A36" s="50">
        <v>15</v>
      </c>
      <c r="B36" s="60">
        <v>183</v>
      </c>
      <c r="C36" s="60">
        <v>1</v>
      </c>
      <c r="D36" s="60">
        <v>28</v>
      </c>
      <c r="E36" s="51">
        <v>0</v>
      </c>
      <c r="F36" s="51">
        <v>0.56000000000000005</v>
      </c>
      <c r="G36" s="51">
        <v>0.44</v>
      </c>
      <c r="H36" s="51"/>
      <c r="I36" s="49">
        <f>IFERROR(B36/A36,"")</f>
        <v>12.2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">
      <c r="A37" s="50">
        <v>20</v>
      </c>
      <c r="B37" s="60">
        <v>285</v>
      </c>
      <c r="C37" s="60">
        <v>2</v>
      </c>
      <c r="D37" s="60">
        <v>45</v>
      </c>
      <c r="E37" s="51">
        <v>0.2</v>
      </c>
      <c r="F37" s="51">
        <v>0.45</v>
      </c>
      <c r="G37" s="51">
        <v>0.35</v>
      </c>
      <c r="H37" s="51"/>
      <c r="I37" s="53">
        <f t="shared" ref="I37:I55" si="1">IF(A37&lt;&gt;0,(B37-(B36-D36))/(A37-A36),"")</f>
        <v>26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">
      <c r="A38" s="50">
        <v>25</v>
      </c>
      <c r="B38" s="60">
        <v>369</v>
      </c>
      <c r="C38" s="60">
        <v>3</v>
      </c>
      <c r="D38" s="60">
        <v>52</v>
      </c>
      <c r="E38" s="51">
        <v>0.3</v>
      </c>
      <c r="F38" s="51">
        <v>0.39</v>
      </c>
      <c r="G38" s="51">
        <v>0.31</v>
      </c>
      <c r="H38" s="51"/>
      <c r="I38" s="53">
        <f t="shared" si="1"/>
        <v>25.8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">
      <c r="A39" s="50">
        <v>30</v>
      </c>
      <c r="B39" s="60">
        <v>440</v>
      </c>
      <c r="C39" s="60">
        <v>4</v>
      </c>
      <c r="D39" s="60">
        <v>55</v>
      </c>
      <c r="E39" s="51">
        <v>0.4</v>
      </c>
      <c r="F39" s="51">
        <v>0.34</v>
      </c>
      <c r="G39" s="51">
        <v>0.26</v>
      </c>
      <c r="H39" s="51"/>
      <c r="I39" s="49">
        <f t="shared" si="1"/>
        <v>24.6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">
      <c r="A40" s="50">
        <v>35</v>
      </c>
      <c r="B40" s="60">
        <v>500</v>
      </c>
      <c r="C40" s="60">
        <v>5</v>
      </c>
      <c r="D40" s="60">
        <v>55</v>
      </c>
      <c r="E40" s="51">
        <v>0.5</v>
      </c>
      <c r="F40" s="51">
        <v>0.28000000000000003</v>
      </c>
      <c r="G40" s="51">
        <v>0.22</v>
      </c>
      <c r="H40" s="51"/>
      <c r="I40" s="49">
        <f t="shared" si="1"/>
        <v>23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">
      <c r="A41" s="50">
        <v>40</v>
      </c>
      <c r="B41" s="60">
        <v>554</v>
      </c>
      <c r="C41" s="60">
        <v>6</v>
      </c>
      <c r="D41" s="60">
        <v>55</v>
      </c>
      <c r="E41" s="51">
        <v>0.6</v>
      </c>
      <c r="F41" s="51">
        <v>0.22</v>
      </c>
      <c r="G41" s="51">
        <v>0.18</v>
      </c>
      <c r="H41" s="51"/>
      <c r="I41" s="53">
        <f t="shared" si="1"/>
        <v>21.8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">
      <c r="A42" s="50">
        <v>45</v>
      </c>
      <c r="B42" s="60">
        <v>601</v>
      </c>
      <c r="C42" s="60">
        <v>7</v>
      </c>
      <c r="D42" s="60">
        <v>53</v>
      </c>
      <c r="E42" s="51">
        <v>0.7</v>
      </c>
      <c r="F42" s="51">
        <v>0.17</v>
      </c>
      <c r="G42" s="51">
        <v>0.13</v>
      </c>
      <c r="H42" s="51"/>
      <c r="I42" s="53">
        <f t="shared" si="1"/>
        <v>20.399999999999999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">
      <c r="A43" s="50">
        <v>50</v>
      </c>
      <c r="B43" s="60">
        <v>645</v>
      </c>
      <c r="C43" s="60">
        <v>8</v>
      </c>
      <c r="D43" s="60">
        <v>51</v>
      </c>
      <c r="E43" s="51">
        <v>0.7</v>
      </c>
      <c r="F43" s="51">
        <v>0.17</v>
      </c>
      <c r="G43" s="51">
        <v>0.13</v>
      </c>
      <c r="H43" s="51"/>
      <c r="I43" s="49">
        <f t="shared" si="1"/>
        <v>19.399999999999999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">
      <c r="A44" s="50">
        <v>55</v>
      </c>
      <c r="B44" s="60">
        <v>684</v>
      </c>
      <c r="C44" s="60">
        <v>9</v>
      </c>
      <c r="D44" s="60">
        <v>51</v>
      </c>
      <c r="E44" s="51">
        <v>0.8</v>
      </c>
      <c r="F44" s="51">
        <v>0.11</v>
      </c>
      <c r="G44" s="51">
        <v>0.09</v>
      </c>
      <c r="H44" s="51"/>
      <c r="I44" s="49">
        <f t="shared" si="1"/>
        <v>18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">
      <c r="A45" s="50">
        <v>60</v>
      </c>
      <c r="B45" s="60">
        <v>718</v>
      </c>
      <c r="C45" s="60">
        <v>10</v>
      </c>
      <c r="D45" s="60">
        <v>45</v>
      </c>
      <c r="E45" s="51">
        <v>0.8</v>
      </c>
      <c r="F45" s="51">
        <v>0.11</v>
      </c>
      <c r="G45" s="51">
        <v>0.09</v>
      </c>
      <c r="H45" s="51"/>
      <c r="I45" s="49">
        <f t="shared" si="1"/>
        <v>17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">
      <c r="A46" s="50">
        <v>65</v>
      </c>
      <c r="B46" s="60">
        <v>755</v>
      </c>
      <c r="C46" s="60">
        <v>11</v>
      </c>
      <c r="D46" s="60">
        <v>46</v>
      </c>
      <c r="E46" s="51">
        <v>0.9</v>
      </c>
      <c r="F46" s="51">
        <v>0.06</v>
      </c>
      <c r="G46" s="51">
        <v>0.04</v>
      </c>
      <c r="H46" s="51"/>
      <c r="I46" s="49">
        <f t="shared" si="1"/>
        <v>16.399999999999999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">
      <c r="A47" s="50">
        <v>70</v>
      </c>
      <c r="B47" s="60">
        <v>785</v>
      </c>
      <c r="C47" s="60">
        <v>12</v>
      </c>
      <c r="D47" s="60">
        <v>785</v>
      </c>
      <c r="E47" s="51">
        <v>0.9</v>
      </c>
      <c r="F47" s="51">
        <v>0.06</v>
      </c>
      <c r="G47" s="51">
        <v>0.04</v>
      </c>
      <c r="H47" s="51"/>
      <c r="I47" s="49">
        <f t="shared" si="1"/>
        <v>15.2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">
      <c r="A58" s="46" t="s">
        <v>166</v>
      </c>
      <c r="B58" s="52" t="str">
        <f>IF(B10="","",B10)</f>
        <v>Chêne sessile</v>
      </c>
      <c r="D58" s="228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2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32" x14ac:dyDescent="0.2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3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">
      <c r="A62" s="50">
        <v>44</v>
      </c>
      <c r="B62" s="60">
        <v>190.75</v>
      </c>
      <c r="C62" s="60">
        <v>1</v>
      </c>
      <c r="D62" s="60">
        <v>74.010000000000005</v>
      </c>
      <c r="E62" s="51">
        <v>0.2</v>
      </c>
      <c r="F62" s="51"/>
      <c r="G62" s="51"/>
      <c r="H62" s="51">
        <v>0.8</v>
      </c>
      <c r="I62" s="53">
        <f>IFERROR(B62/A62,"")</f>
        <v>4.3352272727272725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">
      <c r="A63" s="50">
        <v>51</v>
      </c>
      <c r="B63" s="60">
        <v>179.02</v>
      </c>
      <c r="C63" s="60">
        <v>2</v>
      </c>
      <c r="D63" s="60">
        <v>46.13</v>
      </c>
      <c r="E63" s="51">
        <v>0.2</v>
      </c>
      <c r="F63" s="51"/>
      <c r="G63" s="51"/>
      <c r="H63" s="51">
        <v>0.8</v>
      </c>
      <c r="I63" s="49">
        <f>IF(A63&lt;&gt;0,(B63-(B62-D62))/(A63-A62),"")</f>
        <v>8.8971428571428586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">
      <c r="A64" s="50">
        <v>59</v>
      </c>
      <c r="B64" s="60">
        <v>199.19</v>
      </c>
      <c r="C64" s="60">
        <v>3</v>
      </c>
      <c r="D64" s="60">
        <v>48.96</v>
      </c>
      <c r="E64" s="51">
        <v>0.2</v>
      </c>
      <c r="F64" s="51"/>
      <c r="G64" s="51"/>
      <c r="H64" s="51">
        <v>0.8</v>
      </c>
      <c r="I64" s="49">
        <f>IF(A64&lt;&gt;0,(B64-(B63-D63))/(A64-A63),"")</f>
        <v>8.2874999999999979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">
      <c r="A65" s="50">
        <v>67</v>
      </c>
      <c r="B65" s="60">
        <v>211.64</v>
      </c>
      <c r="C65" s="60">
        <v>4</v>
      </c>
      <c r="D65" s="60">
        <v>40.630000000000003</v>
      </c>
      <c r="E65" s="51">
        <v>0.3</v>
      </c>
      <c r="F65" s="51"/>
      <c r="G65" s="51"/>
      <c r="H65" s="51">
        <v>0.7</v>
      </c>
      <c r="I65" s="49">
        <f>IF(A65&lt;&gt;0,(B65-(B64-D64))/(A65-A64),"")</f>
        <v>7.6762499999999996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">
      <c r="A66" s="50">
        <v>75</v>
      </c>
      <c r="B66" s="60">
        <v>229.61</v>
      </c>
      <c r="C66" s="60">
        <v>5</v>
      </c>
      <c r="D66" s="60">
        <v>39.54</v>
      </c>
      <c r="E66" s="51">
        <v>0.3</v>
      </c>
      <c r="F66" s="51"/>
      <c r="G66" s="51"/>
      <c r="H66" s="51">
        <v>0.7</v>
      </c>
      <c r="I66" s="49">
        <f t="shared" ref="I66:I81" si="2">IF(A66&lt;&gt;0,(B66-(B65-D65))/(A66-A65),"")</f>
        <v>7.3250000000000028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">
      <c r="A67" s="50">
        <v>84</v>
      </c>
      <c r="B67" s="60">
        <v>253.71</v>
      </c>
      <c r="C67" s="60">
        <v>6</v>
      </c>
      <c r="D67" s="60">
        <v>44.89</v>
      </c>
      <c r="E67" s="51">
        <v>0.4</v>
      </c>
      <c r="F67" s="51"/>
      <c r="G67" s="51"/>
      <c r="H67" s="51">
        <v>0.6</v>
      </c>
      <c r="I67" s="49">
        <f t="shared" si="2"/>
        <v>7.0711111111111098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">
      <c r="A68" s="50">
        <v>93</v>
      </c>
      <c r="B68" s="60">
        <v>269.52</v>
      </c>
      <c r="C68" s="60">
        <v>7</v>
      </c>
      <c r="D68" s="60">
        <v>38.57</v>
      </c>
      <c r="E68" s="51">
        <v>0.4</v>
      </c>
      <c r="F68" s="51"/>
      <c r="G68" s="51"/>
      <c r="H68" s="51">
        <v>0.6</v>
      </c>
      <c r="I68" s="49">
        <f t="shared" si="2"/>
        <v>6.7444444444444436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">
      <c r="A69" s="50">
        <v>103</v>
      </c>
      <c r="B69" s="50">
        <v>298.3</v>
      </c>
      <c r="C69" s="50">
        <v>8</v>
      </c>
      <c r="D69" s="50">
        <v>50.51</v>
      </c>
      <c r="E69" s="51">
        <v>0.5</v>
      </c>
      <c r="F69" s="51"/>
      <c r="G69" s="51"/>
      <c r="H69" s="51">
        <v>0.5</v>
      </c>
      <c r="I69" s="49">
        <f t="shared" si="2"/>
        <v>6.7350000000000021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">
      <c r="A70" s="50">
        <v>113</v>
      </c>
      <c r="B70" s="50">
        <v>312.99</v>
      </c>
      <c r="C70" s="50">
        <v>9</v>
      </c>
      <c r="D70" s="50">
        <v>40.479999999999997</v>
      </c>
      <c r="E70" s="51">
        <v>0.5</v>
      </c>
      <c r="F70" s="51"/>
      <c r="G70" s="51"/>
      <c r="H70" s="51">
        <v>0.5</v>
      </c>
      <c r="I70" s="49">
        <f t="shared" si="2"/>
        <v>6.5199999999999987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">
      <c r="A71" s="50">
        <v>125</v>
      </c>
      <c r="B71" s="50">
        <v>354.04</v>
      </c>
      <c r="C71" s="50">
        <v>10</v>
      </c>
      <c r="D71" s="50">
        <v>61.5</v>
      </c>
      <c r="E71" s="51">
        <v>0.6</v>
      </c>
      <c r="F71" s="51"/>
      <c r="G71" s="51"/>
      <c r="H71" s="51">
        <v>0.4</v>
      </c>
      <c r="I71" s="49">
        <f t="shared" si="2"/>
        <v>6.7941666666666691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">
      <c r="A72" s="50">
        <v>137</v>
      </c>
      <c r="B72" s="50">
        <v>373.1</v>
      </c>
      <c r="C72" s="50">
        <v>11</v>
      </c>
      <c r="D72" s="50">
        <v>65.53</v>
      </c>
      <c r="E72" s="51">
        <v>0.7</v>
      </c>
      <c r="F72" s="51"/>
      <c r="G72" s="51"/>
      <c r="H72" s="51">
        <v>0.3</v>
      </c>
      <c r="I72" s="49">
        <f t="shared" si="2"/>
        <v>6.7133333333333338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">
      <c r="A73" s="50">
        <v>149</v>
      </c>
      <c r="B73" s="50">
        <v>385.84</v>
      </c>
      <c r="C73" s="50">
        <v>12</v>
      </c>
      <c r="D73" s="50">
        <v>153.56</v>
      </c>
      <c r="E73" s="51">
        <v>0.7</v>
      </c>
      <c r="F73" s="51"/>
      <c r="G73" s="51"/>
      <c r="H73" s="51">
        <v>0.3</v>
      </c>
      <c r="I73" s="49">
        <f t="shared" si="2"/>
        <v>6.5224999999999937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">
      <c r="A74" s="50">
        <v>153</v>
      </c>
      <c r="B74" s="50">
        <v>247.84</v>
      </c>
      <c r="C74" s="50">
        <v>13</v>
      </c>
      <c r="D74" s="50">
        <v>89.29</v>
      </c>
      <c r="E74" s="51">
        <v>0.7</v>
      </c>
      <c r="F74" s="51"/>
      <c r="G74" s="51"/>
      <c r="H74" s="51">
        <v>0.3</v>
      </c>
      <c r="I74" s="49">
        <f t="shared" si="2"/>
        <v>3.8900000000000077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">
      <c r="A75" s="50">
        <v>157</v>
      </c>
      <c r="B75" s="50">
        <v>167.77</v>
      </c>
      <c r="C75" s="50">
        <v>14</v>
      </c>
      <c r="D75" s="50">
        <v>57.95</v>
      </c>
      <c r="E75" s="51">
        <v>0.7</v>
      </c>
      <c r="F75" s="51"/>
      <c r="G75" s="51"/>
      <c r="H75" s="51">
        <v>0.3</v>
      </c>
      <c r="I75" s="49">
        <f t="shared" si="2"/>
        <v>2.3049999999999997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">
      <c r="A76" s="50">
        <v>161</v>
      </c>
      <c r="B76" s="50">
        <v>115.43</v>
      </c>
      <c r="C76" s="50">
        <v>15</v>
      </c>
      <c r="D76" s="50">
        <v>115.43</v>
      </c>
      <c r="E76" s="51">
        <v>0.8</v>
      </c>
      <c r="F76" s="51"/>
      <c r="G76" s="51"/>
      <c r="H76" s="51">
        <v>0.2</v>
      </c>
      <c r="I76" s="49">
        <f t="shared" si="2"/>
        <v>1.4024999999999999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">
      <c r="A84" s="46" t="s">
        <v>167</v>
      </c>
      <c r="B84" s="52" t="str">
        <f>IF(B11="","",B11)</f>
        <v/>
      </c>
      <c r="D84" s="228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32" x14ac:dyDescent="0.2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">
      <c r="A110" s="46" t="s">
        <v>168</v>
      </c>
      <c r="B110" s="52" t="str">
        <f>IF(B12="","",B12)</f>
        <v/>
      </c>
      <c r="D110" s="228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32" x14ac:dyDescent="0.2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">
      <c r="A136" s="46" t="s">
        <v>169</v>
      </c>
      <c r="B136" s="52" t="str">
        <f>IF(B13="","",B13)</f>
        <v/>
      </c>
      <c r="D136" s="228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32" x14ac:dyDescent="0.2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">
      <c r="A162" s="46" t="s">
        <v>170</v>
      </c>
      <c r="B162" s="52" t="str">
        <f>IF(B14="","",B14)</f>
        <v/>
      </c>
      <c r="D162" s="228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32" x14ac:dyDescent="0.2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">
      <c r="A188" s="46" t="s">
        <v>171</v>
      </c>
      <c r="B188" s="52" t="str">
        <f>IF(B15="","",B15)</f>
        <v/>
      </c>
      <c r="D188" s="228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32" x14ac:dyDescent="0.2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">
      <c r="A214" s="46" t="s">
        <v>172</v>
      </c>
      <c r="B214" s="52" t="str">
        <f>IF(B16="","",B16)</f>
        <v/>
      </c>
      <c r="D214" s="228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32" x14ac:dyDescent="0.2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">
      <c r="A240" s="46" t="s">
        <v>173</v>
      </c>
      <c r="B240" s="52" t="str">
        <f>IF(B17="","",B17)</f>
        <v/>
      </c>
      <c r="D240" s="228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32" x14ac:dyDescent="0.2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">
      <c r="A266" s="46" t="s">
        <v>174</v>
      </c>
      <c r="B266" s="52" t="str">
        <f>IF(B18="","",B18)</f>
        <v/>
      </c>
      <c r="D266" s="228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32" x14ac:dyDescent="0.2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5" sqref="G15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35">
      <c r="A2" s="4"/>
      <c r="B2" s="271" t="s">
        <v>191</v>
      </c>
      <c r="C2" s="272"/>
      <c r="D2" s="272"/>
      <c r="E2" s="272"/>
      <c r="F2" s="272"/>
      <c r="G2" s="27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">
      <c r="A4" s="4"/>
      <c r="B4" s="270"/>
      <c r="C4" s="270"/>
      <c r="D4" s="270"/>
      <c r="E4" s="270"/>
      <c r="F4" s="270"/>
      <c r="G4" s="27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">
      <c r="A6" s="23"/>
      <c r="B6" s="216"/>
      <c r="C6" s="216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">
      <c r="A7" s="99"/>
      <c r="B7" s="26" t="s">
        <v>295</v>
      </c>
      <c r="C7" s="100" t="s">
        <v>214</v>
      </c>
      <c r="D7" s="214"/>
      <c r="E7" s="101"/>
      <c r="F7" s="26" t="s">
        <v>295</v>
      </c>
      <c r="G7" s="100" t="s">
        <v>215</v>
      </c>
      <c r="H7" s="215"/>
      <c r="I7" s="215"/>
      <c r="J7" s="215"/>
      <c r="K7" s="215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">
      <c r="A13" s="215"/>
      <c r="B13" s="107"/>
      <c r="C13" s="98" t="s">
        <v>273</v>
      </c>
      <c r="D13" s="215"/>
      <c r="E13" s="99"/>
      <c r="F13" s="107"/>
      <c r="G13" s="98" t="s">
        <v>301</v>
      </c>
      <c r="H13" s="215"/>
      <c r="I13" s="215"/>
      <c r="J13" s="215"/>
      <c r="K13" s="215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">
      <c r="A14" s="215"/>
      <c r="B14" s="107"/>
      <c r="C14" s="98" t="s">
        <v>309</v>
      </c>
      <c r="D14" s="215"/>
      <c r="E14" s="99"/>
      <c r="F14" s="107"/>
      <c r="G14" s="98" t="s">
        <v>294</v>
      </c>
      <c r="H14" s="215"/>
      <c r="I14" s="215"/>
      <c r="J14" s="215"/>
      <c r="K14" s="215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">
      <c r="A15" s="23"/>
      <c r="B15" s="26" t="s">
        <v>295</v>
      </c>
      <c r="C15" s="4"/>
      <c r="D15" s="23"/>
      <c r="E15" s="4"/>
      <c r="F15" s="4"/>
      <c r="G15" s="2" t="s">
        <v>19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">
      <c r="C104" s="4"/>
      <c r="F104" s="4"/>
    </row>
    <row r="105" spans="3:35" x14ac:dyDescent="0.2">
      <c r="C105" s="4"/>
      <c r="F105" s="4"/>
    </row>
    <row r="106" spans="3:35" x14ac:dyDescent="0.2">
      <c r="C106" s="4"/>
      <c r="F106" s="4"/>
    </row>
    <row r="107" spans="3:35" x14ac:dyDescent="0.2">
      <c r="C107" s="4"/>
      <c r="F107" s="4"/>
    </row>
    <row r="108" spans="3:35" x14ac:dyDescent="0.2">
      <c r="C108" s="4"/>
      <c r="F108" s="4"/>
    </row>
    <row r="109" spans="3:35" x14ac:dyDescent="0.2">
      <c r="C109" s="4"/>
      <c r="F109" s="4"/>
    </row>
    <row r="110" spans="3:35" x14ac:dyDescent="0.2">
      <c r="C110" s="4"/>
      <c r="F110" s="4"/>
    </row>
    <row r="111" spans="3:35" x14ac:dyDescent="0.2">
      <c r="C111" s="4"/>
      <c r="F111" s="4"/>
    </row>
    <row r="112" spans="3:35" x14ac:dyDescent="0.2">
      <c r="C112" s="4"/>
      <c r="F112" s="4"/>
    </row>
    <row r="113" spans="3:6" x14ac:dyDescent="0.2">
      <c r="C113" s="4"/>
      <c r="F113" s="4"/>
    </row>
    <row r="114" spans="3:6" x14ac:dyDescent="0.2">
      <c r="C114" s="4"/>
      <c r="F114" s="4"/>
    </row>
    <row r="115" spans="3:6" x14ac:dyDescent="0.2">
      <c r="C115" s="4"/>
      <c r="F115" s="4"/>
    </row>
    <row r="116" spans="3:6" x14ac:dyDescent="0.2">
      <c r="C116" s="4"/>
      <c r="F116" s="4"/>
    </row>
    <row r="117" spans="3:6" x14ac:dyDescent="0.2">
      <c r="C117" s="4"/>
      <c r="F117" s="4"/>
    </row>
    <row r="118" spans="3:6" x14ac:dyDescent="0.2">
      <c r="C118" s="4"/>
      <c r="F118" s="4"/>
    </row>
    <row r="119" spans="3:6" x14ac:dyDescent="0.2">
      <c r="C119" s="4"/>
      <c r="F119" s="4"/>
    </row>
    <row r="120" spans="3:6" x14ac:dyDescent="0.2">
      <c r="C120" s="4"/>
      <c r="F120" s="4"/>
    </row>
    <row r="121" spans="3:6" x14ac:dyDescent="0.2">
      <c r="C121" s="4"/>
      <c r="F121" s="4"/>
    </row>
    <row r="122" spans="3:6" x14ac:dyDescent="0.2">
      <c r="C122" s="4"/>
      <c r="F122" s="4"/>
    </row>
    <row r="123" spans="3:6" x14ac:dyDescent="0.2">
      <c r="C123" s="4"/>
      <c r="F123" s="4"/>
    </row>
    <row r="124" spans="3:6" x14ac:dyDescent="0.2">
      <c r="C124" s="4"/>
      <c r="F124" s="4"/>
    </row>
    <row r="125" spans="3:6" x14ac:dyDescent="0.2">
      <c r="C125" s="4"/>
      <c r="F125" s="4"/>
    </row>
    <row r="126" spans="3:6" x14ac:dyDescent="0.2">
      <c r="C126" s="4"/>
      <c r="F126" s="4"/>
    </row>
    <row r="127" spans="3:6" x14ac:dyDescent="0.2">
      <c r="C127" s="4"/>
      <c r="F127" s="4"/>
    </row>
    <row r="128" spans="3:6" x14ac:dyDescent="0.2">
      <c r="C128" s="4"/>
      <c r="F128" s="4"/>
    </row>
    <row r="129" spans="3:6" x14ac:dyDescent="0.2">
      <c r="C129" s="4"/>
      <c r="F129" s="4"/>
    </row>
    <row r="130" spans="3:6" x14ac:dyDescent="0.2">
      <c r="C130" s="4"/>
      <c r="F130" s="4"/>
    </row>
    <row r="131" spans="3:6" x14ac:dyDescent="0.2">
      <c r="C131" s="4"/>
      <c r="F131" s="4"/>
    </row>
    <row r="132" spans="3:6" x14ac:dyDescent="0.2">
      <c r="F132" s="4"/>
    </row>
    <row r="133" spans="3:6" x14ac:dyDescent="0.2">
      <c r="F133" s="4"/>
    </row>
    <row r="134" spans="3:6" x14ac:dyDescent="0.2">
      <c r="F134" s="4"/>
    </row>
    <row r="135" spans="3:6" x14ac:dyDescent="0.2">
      <c r="F135" s="4"/>
    </row>
    <row r="136" spans="3:6" x14ac:dyDescent="0.2">
      <c r="F136" s="4"/>
    </row>
    <row r="137" spans="3:6" x14ac:dyDescent="0.2">
      <c r="F137" s="4"/>
    </row>
    <row r="138" spans="3:6" x14ac:dyDescent="0.2">
      <c r="F138" s="4"/>
    </row>
    <row r="139" spans="3:6" x14ac:dyDescent="0.2">
      <c r="F139" s="4"/>
    </row>
    <row r="140" spans="3:6" x14ac:dyDescent="0.2">
      <c r="F140" s="4"/>
    </row>
    <row r="141" spans="3:6" x14ac:dyDescent="0.2">
      <c r="F141" s="4"/>
    </row>
    <row r="142" spans="3:6" x14ac:dyDescent="0.2">
      <c r="F142" s="4"/>
    </row>
    <row r="143" spans="3:6" x14ac:dyDescent="0.2">
      <c r="F143" s="4"/>
    </row>
    <row r="144" spans="3:6" x14ac:dyDescent="0.2">
      <c r="F144" s="4"/>
    </row>
    <row r="145" spans="6:6" x14ac:dyDescent="0.2">
      <c r="F145" s="4"/>
    </row>
    <row r="146" spans="6:6" x14ac:dyDescent="0.2">
      <c r="F146" s="4"/>
    </row>
    <row r="147" spans="6:6" x14ac:dyDescent="0.2">
      <c r="F147" s="4"/>
    </row>
    <row r="148" spans="6:6" x14ac:dyDescent="0.2">
      <c r="F148" s="4"/>
    </row>
    <row r="149" spans="6:6" x14ac:dyDescent="0.2">
      <c r="F149" s="4"/>
    </row>
    <row r="150" spans="6:6" x14ac:dyDescent="0.2">
      <c r="F150" s="4"/>
    </row>
    <row r="151" spans="6:6" x14ac:dyDescent="0.2">
      <c r="F151" s="4"/>
    </row>
    <row r="152" spans="6:6" x14ac:dyDescent="0.2">
      <c r="F152" s="4"/>
    </row>
    <row r="153" spans="6:6" x14ac:dyDescent="0.2">
      <c r="F153" s="4"/>
    </row>
    <row r="154" spans="6:6" x14ac:dyDescent="0.2">
      <c r="F154" s="4"/>
    </row>
    <row r="155" spans="6:6" x14ac:dyDescent="0.2">
      <c r="F155" s="4"/>
    </row>
    <row r="156" spans="6:6" x14ac:dyDescent="0.2">
      <c r="F156" s="4"/>
    </row>
    <row r="157" spans="6:6" x14ac:dyDescent="0.2">
      <c r="F157" s="4"/>
    </row>
    <row r="158" spans="6:6" x14ac:dyDescent="0.2">
      <c r="F158" s="4"/>
    </row>
    <row r="159" spans="6:6" x14ac:dyDescent="0.2">
      <c r="F159" s="4"/>
    </row>
    <row r="160" spans="6:6" x14ac:dyDescent="0.2">
      <c r="F160" s="4"/>
    </row>
    <row r="161" spans="6:6" x14ac:dyDescent="0.2">
      <c r="F161" s="4"/>
    </row>
    <row r="162" spans="6:6" x14ac:dyDescent="0.2">
      <c r="F162" s="4"/>
    </row>
    <row r="163" spans="6:6" x14ac:dyDescent="0.2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 x14ac:dyDescent="0.2"/>
  <cols>
    <col min="1" max="1" width="6.83203125" style="4" bestFit="1" customWidth="1"/>
    <col min="2" max="4" width="11.5" style="4"/>
    <col min="5" max="5" width="9.5" style="4" customWidth="1"/>
    <col min="6" max="7" width="11.5" style="4"/>
    <col min="8" max="8" width="10.6640625" style="4" customWidth="1"/>
    <col min="9" max="9" width="9.5" style="4" customWidth="1"/>
    <col min="10" max="11" width="10.5" style="4" bestFit="1" customWidth="1"/>
    <col min="12" max="12" width="14" style="4" bestFit="1" customWidth="1"/>
    <col min="13" max="13" width="14" style="4" customWidth="1"/>
    <col min="14" max="23" width="11.5" style="4"/>
    <col min="24" max="24" width="11.6640625" style="4" bestFit="1" customWidth="1"/>
    <col min="25" max="25" width="14.5" style="4" bestFit="1" customWidth="1"/>
    <col min="26" max="26" width="12.5" style="4" bestFit="1" customWidth="1"/>
    <col min="27" max="27" width="9.6640625" style="4" bestFit="1" customWidth="1"/>
    <col min="28" max="28" width="11" style="4" bestFit="1" customWidth="1"/>
    <col min="29" max="29" width="9.5" style="4" bestFit="1" customWidth="1"/>
    <col min="30" max="31" width="9.5" style="4" customWidth="1"/>
    <col min="32" max="32" width="11.5" style="4"/>
    <col min="33" max="34" width="14" style="4" bestFit="1" customWidth="1"/>
    <col min="35" max="35" width="10.5" style="4" bestFit="1" customWidth="1"/>
    <col min="36" max="36" width="9.5" style="4" bestFit="1" customWidth="1"/>
    <col min="37" max="38" width="10.5" style="4" bestFit="1" customWidth="1"/>
    <col min="39" max="41" width="10.5" style="4" customWidth="1"/>
    <col min="42" max="42" width="9" style="4" bestFit="1" customWidth="1"/>
    <col min="43" max="43" width="10.5" style="4" bestFit="1" customWidth="1"/>
    <col min="44" max="44" width="9.33203125" style="4" bestFit="1" customWidth="1"/>
    <col min="45" max="45" width="11.6640625" style="4" bestFit="1" customWidth="1"/>
    <col min="46" max="46" width="8.5" style="4" bestFit="1" customWidth="1"/>
    <col min="47" max="47" width="9.5" style="4" bestFit="1" customWidth="1"/>
    <col min="48" max="48" width="9.6640625" style="4" bestFit="1" customWidth="1"/>
    <col min="49" max="49" width="11" style="4" bestFit="1" customWidth="1"/>
    <col min="50" max="50" width="9.5" style="4" bestFit="1" customWidth="1"/>
    <col min="51" max="52" width="9.5" style="4" customWidth="1"/>
    <col min="53" max="53" width="10.5" style="4" bestFit="1" customWidth="1"/>
    <col min="54" max="54" width="14.33203125" style="4" customWidth="1"/>
    <col min="55" max="55" width="14" style="4" customWidth="1"/>
    <col min="56" max="56" width="10.5" style="4" bestFit="1" customWidth="1"/>
    <col min="57" max="57" width="9.5" style="4" bestFit="1" customWidth="1"/>
    <col min="58" max="59" width="10.5" style="4" bestFit="1" customWidth="1"/>
    <col min="60" max="62" width="10.5" style="4" customWidth="1"/>
    <col min="63" max="63" width="9" style="4" bestFit="1" customWidth="1"/>
    <col min="64" max="64" width="10.5" style="4" bestFit="1" customWidth="1"/>
    <col min="65" max="65" width="9.33203125" style="4" bestFit="1" customWidth="1"/>
    <col min="66" max="66" width="11.6640625" style="4" bestFit="1" customWidth="1"/>
    <col min="67" max="67" width="8.5" style="4" bestFit="1" customWidth="1"/>
    <col min="68" max="68" width="9.5" style="4" bestFit="1" customWidth="1"/>
    <col min="69" max="69" width="9.6640625" style="4" bestFit="1" customWidth="1"/>
    <col min="70" max="70" width="11" style="4" bestFit="1" customWidth="1"/>
    <col min="71" max="71" width="9.5" style="4" bestFit="1" customWidth="1"/>
    <col min="72" max="73" width="9.5" style="4" customWidth="1"/>
    <col min="74" max="74" width="10.5" style="4" bestFit="1" customWidth="1"/>
    <col min="75" max="75" width="14" style="4" bestFit="1" customWidth="1"/>
    <col min="76" max="76" width="13.83203125" style="4" customWidth="1"/>
    <col min="77" max="77" width="10.5" style="4" bestFit="1" customWidth="1"/>
    <col min="78" max="78" width="9.5" style="4" bestFit="1" customWidth="1"/>
    <col min="79" max="80" width="10.5" style="4" bestFit="1" customWidth="1"/>
    <col min="81" max="83" width="10.5" style="4" customWidth="1"/>
    <col min="84" max="84" width="11.5" style="4"/>
    <col min="85" max="85" width="10.5" style="4" bestFit="1" customWidth="1"/>
    <col min="86" max="86" width="9.33203125" style="4" bestFit="1" customWidth="1"/>
    <col min="87" max="87" width="11.6640625" style="4" bestFit="1" customWidth="1"/>
    <col min="88" max="88" width="8.5" style="4" bestFit="1" customWidth="1"/>
    <col min="89" max="89" width="9.5" style="4" bestFit="1" customWidth="1"/>
    <col min="90" max="90" width="9.6640625" style="4" bestFit="1" customWidth="1"/>
    <col min="91" max="91" width="11" style="4" bestFit="1" customWidth="1"/>
    <col min="92" max="92" width="9.5" style="4" bestFit="1" customWidth="1"/>
    <col min="93" max="94" width="9.5" style="4" customWidth="1"/>
    <col min="95" max="95" width="11.5" style="4"/>
    <col min="96" max="97" width="14" style="4" customWidth="1"/>
    <col min="98" max="98" width="10.5" style="4" bestFit="1" customWidth="1"/>
    <col min="99" max="99" width="9.5" style="4" bestFit="1" customWidth="1"/>
    <col min="100" max="101" width="10.5" style="4" bestFit="1" customWidth="1"/>
    <col min="102" max="104" width="10.5" style="4" customWidth="1"/>
    <col min="105" max="105" width="9" style="4" bestFit="1" customWidth="1"/>
    <col min="106" max="106" width="10.5" style="4" bestFit="1" customWidth="1"/>
    <col min="107" max="107" width="9.33203125" style="4" bestFit="1" customWidth="1"/>
    <col min="108" max="108" width="11.6640625" style="4" bestFit="1" customWidth="1"/>
    <col min="109" max="109" width="8.5" style="4" bestFit="1" customWidth="1"/>
    <col min="110" max="110" width="9.5" style="4" bestFit="1" customWidth="1"/>
    <col min="111" max="111" width="9.6640625" style="4" bestFit="1" customWidth="1"/>
    <col min="112" max="112" width="11" style="4" bestFit="1" customWidth="1"/>
    <col min="113" max="113" width="9.5" style="4" bestFit="1" customWidth="1"/>
    <col min="114" max="115" width="9.5" style="4" customWidth="1"/>
    <col min="116" max="116" width="10.5" style="4" bestFit="1" customWidth="1"/>
    <col min="117" max="117" width="14.33203125" style="4" customWidth="1"/>
    <col min="118" max="118" width="14" style="4" bestFit="1" customWidth="1"/>
    <col min="119" max="119" width="10.5" style="4" bestFit="1" customWidth="1"/>
    <col min="120" max="120" width="9.5" style="4" bestFit="1" customWidth="1"/>
    <col min="121" max="122" width="10.5" style="4" bestFit="1" customWidth="1"/>
    <col min="123" max="125" width="10.5" style="4" customWidth="1"/>
    <col min="126" max="126" width="9" style="4" bestFit="1" customWidth="1"/>
    <col min="127" max="127" width="10.5" style="4" bestFit="1" customWidth="1"/>
    <col min="128" max="128" width="9.33203125" style="4" bestFit="1" customWidth="1"/>
    <col min="129" max="129" width="11.6640625" style="4" bestFit="1" customWidth="1"/>
    <col min="130" max="130" width="8.5" style="4" bestFit="1" customWidth="1"/>
    <col min="131" max="131" width="9.5" style="4" bestFit="1" customWidth="1"/>
    <col min="132" max="132" width="9.6640625" style="4" bestFit="1" customWidth="1"/>
    <col min="133" max="133" width="11" style="4" bestFit="1" customWidth="1"/>
    <col min="134" max="134" width="9.5" style="4" bestFit="1" customWidth="1"/>
    <col min="135" max="136" width="9.5" style="4" customWidth="1"/>
    <col min="137" max="137" width="10.5" style="4" bestFit="1" customWidth="1"/>
    <col min="138" max="139" width="14" style="4" customWidth="1"/>
    <col min="140" max="140" width="10.5" style="4" bestFit="1" customWidth="1"/>
    <col min="141" max="141" width="9.5" style="4" bestFit="1" customWidth="1"/>
    <col min="142" max="143" width="10.5" style="4" bestFit="1" customWidth="1"/>
    <col min="144" max="146" width="10.5" style="4" customWidth="1"/>
    <col min="147" max="147" width="9" style="4" bestFit="1" customWidth="1"/>
    <col min="148" max="148" width="10.5" style="4" bestFit="1" customWidth="1"/>
    <col min="149" max="149" width="9.33203125" style="4" bestFit="1" customWidth="1"/>
    <col min="150" max="150" width="11.6640625" style="4" bestFit="1" customWidth="1"/>
    <col min="151" max="151" width="8.5" style="4" bestFit="1" customWidth="1"/>
    <col min="152" max="152" width="9.5" style="4" bestFit="1" customWidth="1"/>
    <col min="153" max="153" width="9.6640625" style="4" bestFit="1" customWidth="1"/>
    <col min="154" max="154" width="11" style="4" bestFit="1" customWidth="1"/>
    <col min="155" max="155" width="9.5" style="4" bestFit="1" customWidth="1"/>
    <col min="156" max="157" width="9.5" style="4" customWidth="1"/>
    <col min="158" max="158" width="11.5" style="4"/>
    <col min="159" max="160" width="14" style="4" bestFit="1" customWidth="1"/>
    <col min="161" max="161" width="10.5" style="4" bestFit="1" customWidth="1"/>
    <col min="162" max="162" width="9.5" style="4" bestFit="1" customWidth="1"/>
    <col min="163" max="164" width="10.5" style="4" bestFit="1" customWidth="1"/>
    <col min="165" max="167" width="10.5" style="4" customWidth="1"/>
    <col min="168" max="168" width="9" style="4" bestFit="1" customWidth="1"/>
    <col min="169" max="169" width="10.5" style="4" bestFit="1" customWidth="1"/>
    <col min="170" max="170" width="9.33203125" style="4" bestFit="1" customWidth="1"/>
    <col min="171" max="171" width="11.6640625" style="4" bestFit="1" customWidth="1"/>
    <col min="172" max="172" width="8.1640625" style="4" bestFit="1" customWidth="1"/>
    <col min="173" max="173" width="9.5" style="4" bestFit="1" customWidth="1"/>
    <col min="174" max="174" width="9.6640625" style="4" bestFit="1" customWidth="1"/>
    <col min="175" max="175" width="11" style="4" bestFit="1" customWidth="1"/>
    <col min="176" max="176" width="9.5" style="4" bestFit="1" customWidth="1"/>
    <col min="177" max="178" width="9.5" style="4" customWidth="1"/>
    <col min="179" max="179" width="10.5" style="4" bestFit="1" customWidth="1"/>
    <col min="180" max="181" width="14" style="4" bestFit="1" customWidth="1"/>
    <col min="182" max="182" width="10.5" style="4" bestFit="1" customWidth="1"/>
    <col min="183" max="183" width="9.5" style="4" bestFit="1" customWidth="1"/>
    <col min="184" max="185" width="10.5" style="4" bestFit="1" customWidth="1"/>
    <col min="186" max="188" width="10.5" style="4" customWidth="1"/>
    <col min="189" max="189" width="9" style="4" bestFit="1" customWidth="1"/>
    <col min="190" max="190" width="10.5" style="4" bestFit="1" customWidth="1"/>
    <col min="191" max="191" width="9.33203125" style="4" bestFit="1" customWidth="1"/>
    <col min="192" max="192" width="11.5" style="4"/>
    <col min="193" max="193" width="8.5" style="4" bestFit="1" customWidth="1"/>
    <col min="194" max="194" width="9.5" style="4" bestFit="1" customWidth="1"/>
    <col min="195" max="195" width="9.6640625" style="4" bestFit="1" customWidth="1"/>
    <col min="196" max="196" width="11" style="4" bestFit="1" customWidth="1"/>
    <col min="197" max="197" width="9.5" style="4" bestFit="1" customWidth="1"/>
    <col min="198" max="199" width="9.5" style="4" customWidth="1"/>
    <col min="200" max="200" width="10.5" style="4" bestFit="1" customWidth="1"/>
    <col min="201" max="201" width="14" style="4" customWidth="1"/>
    <col min="202" max="202" width="14.33203125" style="4" customWidth="1"/>
    <col min="203" max="203" width="10.5" style="4" bestFit="1" customWidth="1"/>
    <col min="204" max="204" width="9.5" style="4" bestFit="1" customWidth="1"/>
    <col min="205" max="206" width="10.5" style="4" bestFit="1" customWidth="1"/>
    <col min="207" max="209" width="10.5" style="4" customWidth="1"/>
    <col min="210" max="210" width="9" style="4" bestFit="1" customWidth="1"/>
    <col min="211" max="211" width="10.5" style="4" bestFit="1" customWidth="1"/>
    <col min="212" max="212" width="9.33203125" style="4" bestFit="1" customWidth="1"/>
    <col min="213" max="213" width="11.6640625" style="4" bestFit="1" customWidth="1"/>
    <col min="214" max="214" width="8.5" style="4" bestFit="1" customWidth="1"/>
    <col min="215" max="215" width="9.5" style="4" bestFit="1" customWidth="1"/>
    <col min="216" max="216" width="9.6640625" style="4" bestFit="1" customWidth="1"/>
    <col min="217" max="217" width="11" style="4" bestFit="1" customWidth="1"/>
    <col min="218" max="218" width="9.5" style="4" bestFit="1" customWidth="1"/>
    <col min="219" max="16384" width="11.5" style="4"/>
  </cols>
  <sheetData>
    <row r="1" spans="1:218" ht="27" thickBot="1" x14ac:dyDescent="0.35">
      <c r="B1" s="277" t="s">
        <v>176</v>
      </c>
      <c r="C1" s="278"/>
      <c r="D1" s="278"/>
      <c r="E1" s="278"/>
      <c r="F1" s="278"/>
      <c r="G1" s="278"/>
      <c r="H1" s="279"/>
      <c r="I1" s="274" t="str">
        <f>IF('Données projet'!$B$9="","",'Données projet'!$B$9)</f>
        <v>Douglas</v>
      </c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6"/>
      <c r="AD1" s="275" t="str">
        <f>IF('Données projet'!$B$10="","",'Données projet'!$B$10)</f>
        <v>Chêne sessile</v>
      </c>
      <c r="AE1" s="275"/>
      <c r="AF1" s="275"/>
      <c r="AG1" s="275"/>
      <c r="AH1" s="275"/>
      <c r="AI1" s="275"/>
      <c r="AJ1" s="275"/>
      <c r="AK1" s="275"/>
      <c r="AL1" s="275"/>
      <c r="AM1" s="275"/>
      <c r="AN1" s="275"/>
      <c r="AO1" s="275"/>
      <c r="AP1" s="275"/>
      <c r="AQ1" s="275"/>
      <c r="AR1" s="275"/>
      <c r="AS1" s="275"/>
      <c r="AT1" s="275"/>
      <c r="AU1" s="275"/>
      <c r="AV1" s="275"/>
      <c r="AW1" s="275"/>
      <c r="AX1" s="276"/>
      <c r="AY1" s="274" t="str">
        <f>IF('Données projet'!$B$11="","",'Données projet'!$B$11)</f>
        <v/>
      </c>
      <c r="AZ1" s="275"/>
      <c r="BA1" s="275"/>
      <c r="BB1" s="275"/>
      <c r="BC1" s="275"/>
      <c r="BD1" s="275"/>
      <c r="BE1" s="275"/>
      <c r="BF1" s="275"/>
      <c r="BG1" s="275"/>
      <c r="BH1" s="275"/>
      <c r="BI1" s="275"/>
      <c r="BJ1" s="275"/>
      <c r="BK1" s="275"/>
      <c r="BL1" s="275"/>
      <c r="BM1" s="275"/>
      <c r="BN1" s="275"/>
      <c r="BO1" s="275"/>
      <c r="BP1" s="275"/>
      <c r="BQ1" s="275"/>
      <c r="BR1" s="275"/>
      <c r="BS1" s="276"/>
      <c r="BT1" s="274" t="str">
        <f>IF('Données projet'!$B$12="","",'Données projet'!$B$12)</f>
        <v/>
      </c>
      <c r="BU1" s="275"/>
      <c r="BV1" s="275"/>
      <c r="BW1" s="275"/>
      <c r="BX1" s="275"/>
      <c r="BY1" s="275"/>
      <c r="BZ1" s="275"/>
      <c r="CA1" s="275"/>
      <c r="CB1" s="275"/>
      <c r="CC1" s="275"/>
      <c r="CD1" s="275"/>
      <c r="CE1" s="275"/>
      <c r="CF1" s="275"/>
      <c r="CG1" s="275"/>
      <c r="CH1" s="275"/>
      <c r="CI1" s="275"/>
      <c r="CJ1" s="275"/>
      <c r="CK1" s="275"/>
      <c r="CL1" s="275"/>
      <c r="CM1" s="275"/>
      <c r="CN1" s="276"/>
      <c r="CO1" s="274" t="str">
        <f>IF('Données projet'!$B$13="","",'Données projet'!$B$13)</f>
        <v/>
      </c>
      <c r="CP1" s="275"/>
      <c r="CQ1" s="275"/>
      <c r="CR1" s="275"/>
      <c r="CS1" s="275"/>
      <c r="CT1" s="275"/>
      <c r="CU1" s="275"/>
      <c r="CV1" s="275"/>
      <c r="CW1" s="275"/>
      <c r="CX1" s="275"/>
      <c r="CY1" s="275"/>
      <c r="CZ1" s="275"/>
      <c r="DA1" s="275"/>
      <c r="DB1" s="275"/>
      <c r="DC1" s="275"/>
      <c r="DD1" s="275"/>
      <c r="DE1" s="275"/>
      <c r="DF1" s="275"/>
      <c r="DG1" s="275"/>
      <c r="DH1" s="275"/>
      <c r="DI1" s="276"/>
      <c r="DJ1" s="274" t="str">
        <f>IF('Données projet'!$B$14="","",'Données projet'!$B$14)</f>
        <v/>
      </c>
      <c r="DK1" s="275"/>
      <c r="DL1" s="275"/>
      <c r="DM1" s="275"/>
      <c r="DN1" s="275"/>
      <c r="DO1" s="275"/>
      <c r="DP1" s="275"/>
      <c r="DQ1" s="275"/>
      <c r="DR1" s="275"/>
      <c r="DS1" s="275"/>
      <c r="DT1" s="275"/>
      <c r="DU1" s="275"/>
      <c r="DV1" s="275"/>
      <c r="DW1" s="275"/>
      <c r="DX1" s="275"/>
      <c r="DY1" s="275"/>
      <c r="DZ1" s="275"/>
      <c r="EA1" s="275"/>
      <c r="EB1" s="275"/>
      <c r="EC1" s="275"/>
      <c r="ED1" s="276"/>
      <c r="EE1" s="274" t="str">
        <f>IF('Données projet'!$B$15="","",'Données projet'!$B$15)</f>
        <v/>
      </c>
      <c r="EF1" s="275"/>
      <c r="EG1" s="275"/>
      <c r="EH1" s="275"/>
      <c r="EI1" s="275"/>
      <c r="EJ1" s="275"/>
      <c r="EK1" s="275"/>
      <c r="EL1" s="275"/>
      <c r="EM1" s="275"/>
      <c r="EN1" s="275"/>
      <c r="EO1" s="275"/>
      <c r="EP1" s="275"/>
      <c r="EQ1" s="275"/>
      <c r="ER1" s="275"/>
      <c r="ES1" s="275"/>
      <c r="ET1" s="275"/>
      <c r="EU1" s="275"/>
      <c r="EV1" s="275"/>
      <c r="EW1" s="275"/>
      <c r="EX1" s="275"/>
      <c r="EY1" s="276"/>
      <c r="EZ1" s="274" t="str">
        <f>IF('Données projet'!$B$16="","",'Données projet'!$B$16)</f>
        <v/>
      </c>
      <c r="FA1" s="275"/>
      <c r="FB1" s="275"/>
      <c r="FC1" s="275"/>
      <c r="FD1" s="275"/>
      <c r="FE1" s="275"/>
      <c r="FF1" s="275"/>
      <c r="FG1" s="275"/>
      <c r="FH1" s="275"/>
      <c r="FI1" s="275"/>
      <c r="FJ1" s="275"/>
      <c r="FK1" s="275"/>
      <c r="FL1" s="275"/>
      <c r="FM1" s="275"/>
      <c r="FN1" s="275"/>
      <c r="FO1" s="275"/>
      <c r="FP1" s="275"/>
      <c r="FQ1" s="275"/>
      <c r="FR1" s="275"/>
      <c r="FS1" s="275"/>
      <c r="FT1" s="276"/>
      <c r="FU1" s="274" t="str">
        <f>IF('Données projet'!$B$17="","",'Données projet'!$B$17)</f>
        <v/>
      </c>
      <c r="FV1" s="275"/>
      <c r="FW1" s="275"/>
      <c r="FX1" s="275"/>
      <c r="FY1" s="275"/>
      <c r="FZ1" s="275"/>
      <c r="GA1" s="275"/>
      <c r="GB1" s="275"/>
      <c r="GC1" s="275"/>
      <c r="GD1" s="275"/>
      <c r="GE1" s="275"/>
      <c r="GF1" s="275"/>
      <c r="GG1" s="275"/>
      <c r="GH1" s="275"/>
      <c r="GI1" s="275"/>
      <c r="GJ1" s="275"/>
      <c r="GK1" s="275"/>
      <c r="GL1" s="275"/>
      <c r="GM1" s="275"/>
      <c r="GN1" s="275"/>
      <c r="GO1" s="276"/>
      <c r="GP1" s="274" t="str">
        <f>IF('Données projet'!$B$18="","",'Données projet'!$B$18)</f>
        <v/>
      </c>
      <c r="GQ1" s="275"/>
      <c r="GR1" s="275"/>
      <c r="GS1" s="275"/>
      <c r="GT1" s="275"/>
      <c r="GU1" s="275"/>
      <c r="GV1" s="275"/>
      <c r="GW1" s="275"/>
      <c r="GX1" s="275"/>
      <c r="GY1" s="275"/>
      <c r="GZ1" s="275"/>
      <c r="HA1" s="275"/>
      <c r="HB1" s="275"/>
      <c r="HC1" s="275"/>
      <c r="HD1" s="275"/>
      <c r="HE1" s="275"/>
      <c r="HF1" s="275"/>
      <c r="HG1" s="275"/>
      <c r="HH1" s="275"/>
      <c r="HI1" s="275"/>
      <c r="HJ1" s="276"/>
    </row>
    <row r="2" spans="1:218" ht="65" thickBot="1" x14ac:dyDescent="0.2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470.58485082099065</v>
      </c>
      <c r="T3" s="59">
        <f>IF('Données projet'!E9&gt;30,$R$33-$H$33,LOOKUP('Données projet'!$E$9,$A$3:$A$203,R3:R203)-LOOKUP('Données projet'!$E$9,$A$3:$A$203,$H$3:$H$203))</f>
        <v>498.77167507743559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321.13571401604742</v>
      </c>
      <c r="AO3" s="59">
        <f>IF('Données projet'!E10&gt;30,$AM$33-$H$33,LOOKUP('Données projet'!$E$10,$A$3:$A$203,AM3:AM203)-LOOKUP('Données projet'!$E$10,$A$3:$A$203,$H$3:$H$203))</f>
        <v>225.55225019382294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0.48099999999999998</v>
      </c>
      <c r="D4" s="11">
        <f>IFERROR(EXP(-1.0587+0.8836*LN(C4)+0.284),0)</f>
        <v>0.24137676049677712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5.5762416599751221</v>
      </c>
      <c r="H4" s="67">
        <f t="shared" ref="H4:H67" si="1">(B4+E4+F4)*44/12+(C4+D4)*0.475*44/12</f>
        <v>294.5914728578652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12.2</v>
      </c>
      <c r="N4" s="13">
        <f>IF('Données projet'!$A$36&gt;35,N3+M4-V3,IF(A4&lt;'Données projet'!$A$36,$K$205^A4,IF(A4='Données projet'!$A$36,'Données projet'!$B$36,N3+M4-V3)))</f>
        <v>1.4152399275904428</v>
      </c>
      <c r="O4" s="13">
        <f>N4*VLOOKUP('Données projet'!$B$9,Paramètres!$A$1:$I$89,3,0)*VLOOKUP('Données projet'!$B$9,Paramètres!$A$1:$I$89,5,0)</f>
        <v>0.79111911952305758</v>
      </c>
      <c r="P4" s="13">
        <f>EXP(-1.0587+0.8836*LN(O4)+0.284)</f>
        <v>0.37466108847523988</v>
      </c>
      <c r="Q4" s="20">
        <f t="shared" ref="Q4:Q34" si="2">(O4+P4)*0.475*44/12</f>
        <v>2.0304005289303682</v>
      </c>
      <c r="R4" s="59">
        <f t="shared" si="0"/>
        <v>295.3637338622637</v>
      </c>
      <c r="S4" s="59">
        <f ca="1">AVERAGE(OFFSET($R$3,0,0,'Données projet'!$E$9+1,1))-AVERAGE(OFFSET($H$3,0,0,'Données projet'!$E$9+1,1))</f>
        <v>470.58485082099065</v>
      </c>
      <c r="T4" s="59">
        <f>$T$3</f>
        <v>498.77167507743559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4.3352272727272725</v>
      </c>
      <c r="AI4" s="13">
        <f>IF('Données projet'!$A$62&gt;35,AI3+AH4-AQ3,IF(A4&lt;'Données projet'!$A$62,$AF$205^A4,IF(A4='Données projet'!$A$62,'Données projet'!$B$62,AI3+AH4-AQ3)))</f>
        <v>4.3352272727272725</v>
      </c>
      <c r="AJ4" s="13">
        <f>AI4*VLOOKUP('Données projet'!$B$10,Paramètres!$A$1:$I$89,3,0)*VLOOKUP('Données projet'!$B$10,Paramètres!$A$1:$I$89,5,0)</f>
        <v>3.9225136363636359</v>
      </c>
      <c r="AK4" s="13">
        <f>EXP(-1.0587+0.8836*LN(AJ4)+0.284)</f>
        <v>1.5417914165620541</v>
      </c>
      <c r="AL4" s="20">
        <f t="shared" ref="AL4:AL67" si="4">(AJ4+AK4)*0.475*44/12</f>
        <v>9.5169979671789093</v>
      </c>
      <c r="AM4" s="59">
        <f t="shared" ref="AM4:AM67" si="5">AL4+(AD4+AE4)*44/12</f>
        <v>302.85033130051221</v>
      </c>
      <c r="AN4" s="59">
        <f ca="1">AVERAGE(OFFSET($AM$3,0,0,'Données projet'!$E$10+1,1))-AVERAGE(OFFSET($H$3,0,0,'Données projet'!$E$10+1,1))</f>
        <v>321.13571401604742</v>
      </c>
      <c r="AO4" s="59">
        <f>$AO$3</f>
        <v>225.55225019382294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0.96199999999999997</v>
      </c>
      <c r="D5" s="11">
        <f t="shared" ref="D5:D68" si="32">IFERROR(EXP(-1.0587+0.8836*LN(C5)+0.284),0)</f>
        <v>0.4453336974617329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10.863628541809867</v>
      </c>
      <c r="H5" s="67">
        <f t="shared" si="1"/>
        <v>295.78443952307919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12.2</v>
      </c>
      <c r="N5" s="13">
        <f>IF('Données projet'!$A$36&gt;35,N4+M5-V4,IF(A5&lt;'Données projet'!$A$36,$K$205^A5,IF(A5='Données projet'!$A$36,'Données projet'!$B$36,N4+M5-V4)))</f>
        <v>2.0029040526462016</v>
      </c>
      <c r="O5" s="13">
        <f>N5*VLOOKUP('Données projet'!$B$9,Paramètres!$A$1:$I$89,3,0)*VLOOKUP('Données projet'!$B$9,Paramètres!$A$1:$I$89,5,0)</f>
        <v>1.1196233654292267</v>
      </c>
      <c r="P5" s="13">
        <f t="shared" ref="P5:P68" si="33">EXP(-1.0587+0.8836*LN(O5)+0.284)</f>
        <v>0.50922772714816966</v>
      </c>
      <c r="Q5" s="20">
        <f t="shared" si="2"/>
        <v>2.8369156529056316</v>
      </c>
      <c r="R5" s="59">
        <f t="shared" si="0"/>
        <v>296.17024898623896</v>
      </c>
      <c r="S5" s="59">
        <f ca="1">AVERAGE(OFFSET($R$3,0,0,'Données projet'!$E$9+1,1))-AVERAGE(OFFSET($H$3,0,0,'Données projet'!$E$9+1,1))</f>
        <v>470.58485082099065</v>
      </c>
      <c r="T5" s="59">
        <f t="shared" ref="T5:T68" si="34">$T$3</f>
        <v>498.77167507743559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4.3352272727272725</v>
      </c>
      <c r="AI5" s="13">
        <f>IF('Données projet'!$A$62&gt;35,AI4+AH5-AQ4,IF(A5&lt;'Données projet'!$A$62,$AF$205^A5,IF(A5='Données projet'!$A$62,'Données projet'!$B$62,AI4+AH5-AQ4)))</f>
        <v>8.670454545454545</v>
      </c>
      <c r="AJ5" s="13">
        <f>AI5*VLOOKUP('Données projet'!$B$10,Paramètres!$A$1:$I$89,3,0)*VLOOKUP('Données projet'!$B$10,Paramètres!$A$1:$I$89,5,0)</f>
        <v>7.8450272727272718</v>
      </c>
      <c r="AK5" s="13">
        <f t="shared" ref="AK5:AK68" si="35">EXP(-1.0587+0.8836*LN(AJ5)+0.284)</f>
        <v>2.8445641197571301</v>
      </c>
      <c r="AL5" s="20">
        <f t="shared" si="4"/>
        <v>18.617705008577001</v>
      </c>
      <c r="AM5" s="59">
        <f t="shared" si="5"/>
        <v>311.95103834191031</v>
      </c>
      <c r="AN5" s="59">
        <f ca="1">AVERAGE(OFFSET($AM$3,0,0,'Données projet'!$E$10+1,1))-AVERAGE(OFFSET($H$3,0,0,'Données projet'!$E$10+1,1))</f>
        <v>321.13571401604742</v>
      </c>
      <c r="AO5" s="59">
        <f t="shared" ref="AO5:AO68" si="36">$AO$3</f>
        <v>225.55225019382294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1.4430000000000001</v>
      </c>
      <c r="D6" s="11">
        <f t="shared" si="32"/>
        <v>0.63720590978354918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16.057729829908101</v>
      </c>
      <c r="H6" s="67">
        <f t="shared" si="1"/>
        <v>296.95635862620634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12.2</v>
      </c>
      <c r="N6" s="13">
        <f>IF('Données projet'!$A$36&gt;35,N5+M6-V5,IF(A6&lt;'Données projet'!$A$36,$K$205^A6,IF(A6='Données projet'!$A$36,'Données projet'!$B$36,N5+M6-V5)))</f>
        <v>2.8345897864376148</v>
      </c>
      <c r="O6" s="13">
        <f>N6*VLOOKUP('Données projet'!$B$9,Paramètres!$A$1:$I$89,3,0)*VLOOKUP('Données projet'!$B$9,Paramètres!$A$1:$I$89,5,0)</f>
        <v>1.5845356906186268</v>
      </c>
      <c r="P6" s="13">
        <f t="shared" si="33"/>
        <v>0.69212652734186442</v>
      </c>
      <c r="Q6" s="20">
        <f t="shared" si="2"/>
        <v>3.9651866962811888</v>
      </c>
      <c r="R6" s="59">
        <f t="shared" si="0"/>
        <v>297.29852002961451</v>
      </c>
      <c r="S6" s="59">
        <f ca="1">AVERAGE(OFFSET($R$3,0,0,'Données projet'!$E$9+1,1))-AVERAGE(OFFSET($H$3,0,0,'Données projet'!$E$9+1,1))</f>
        <v>470.58485082099065</v>
      </c>
      <c r="T6" s="59">
        <f t="shared" si="34"/>
        <v>498.77167507743559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4.3352272727272725</v>
      </c>
      <c r="AI6" s="13">
        <f>IF('Données projet'!$A$62&gt;35,AI5+AH6-AQ5,IF(A6&lt;'Données projet'!$A$62,$AF$205^A6,IF(A6='Données projet'!$A$62,'Données projet'!$B$62,AI5+AH6-AQ5)))</f>
        <v>13.005681818181817</v>
      </c>
      <c r="AJ6" s="13">
        <f>AI6*VLOOKUP('Données projet'!$B$10,Paramètres!$A$1:$I$89,3,0)*VLOOKUP('Données projet'!$B$10,Paramètres!$A$1:$I$89,5,0)</f>
        <v>11.767540909090908</v>
      </c>
      <c r="AK6" s="13">
        <f t="shared" si="35"/>
        <v>4.0701457765235389</v>
      </c>
      <c r="AL6" s="20">
        <f t="shared" si="4"/>
        <v>27.583970977445158</v>
      </c>
      <c r="AM6" s="59">
        <f t="shared" si="5"/>
        <v>320.91730431077849</v>
      </c>
      <c r="AN6" s="59">
        <f ca="1">AVERAGE(OFFSET($AM$3,0,0,'Données projet'!$E$10+1,1))-AVERAGE(OFFSET($H$3,0,0,'Données projet'!$E$10+1,1))</f>
        <v>321.13571401604742</v>
      </c>
      <c r="AO6" s="59">
        <f t="shared" si="36"/>
        <v>225.55225019382294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1.9239999999999999</v>
      </c>
      <c r="D7" s="11">
        <f t="shared" si="32"/>
        <v>0.82162881665480925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21.194327707510809</v>
      </c>
      <c r="H7" s="67">
        <f t="shared" si="1"/>
        <v>298.11530352234041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12.2</v>
      </c>
      <c r="N7" s="13">
        <f>IF('Données projet'!$A$36&gt;35,N6+M7-V6,IF(A7&lt;'Données projet'!$A$36,$K$205^A7,IF(A7='Données projet'!$A$36,'Données projet'!$B$36,N6+M7-V6)))</f>
        <v>4.0116246441065782</v>
      </c>
      <c r="O7" s="13">
        <f>N7*VLOOKUP('Données projet'!$B$9,Paramètres!$A$1:$I$89,3,0)*VLOOKUP('Données projet'!$B$9,Paramètres!$A$1:$I$89,5,0)</f>
        <v>2.2424981760555771</v>
      </c>
      <c r="P7" s="13">
        <f t="shared" si="33"/>
        <v>0.94071690191159363</v>
      </c>
      <c r="Q7" s="20">
        <f t="shared" si="2"/>
        <v>5.5440995941261555</v>
      </c>
      <c r="R7" s="59">
        <f t="shared" si="0"/>
        <v>298.87743292745949</v>
      </c>
      <c r="S7" s="59">
        <f ca="1">AVERAGE(OFFSET($R$3,0,0,'Données projet'!$E$9+1,1))-AVERAGE(OFFSET($H$3,0,0,'Données projet'!$E$9+1,1))</f>
        <v>470.58485082099065</v>
      </c>
      <c r="T7" s="59">
        <f t="shared" si="34"/>
        <v>498.77167507743559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4.3352272727272725</v>
      </c>
      <c r="AI7" s="13">
        <f>IF('Données projet'!$A$62&gt;35,AI6+AH7-AQ6,IF(A7&lt;'Données projet'!$A$62,$AF$205^A7,IF(A7='Données projet'!$A$62,'Données projet'!$B$62,AI6+AH7-AQ6)))</f>
        <v>17.34090909090909</v>
      </c>
      <c r="AJ7" s="13">
        <f>AI7*VLOOKUP('Données projet'!$B$10,Paramètres!$A$1:$I$89,3,0)*VLOOKUP('Données projet'!$B$10,Paramètres!$A$1:$I$89,5,0)</f>
        <v>15.690054545454544</v>
      </c>
      <c r="AK7" s="13">
        <f t="shared" si="35"/>
        <v>5.2481450762337865</v>
      </c>
      <c r="AL7" s="20">
        <f t="shared" si="4"/>
        <v>36.467364341107171</v>
      </c>
      <c r="AM7" s="59">
        <f t="shared" si="5"/>
        <v>329.80069767444047</v>
      </c>
      <c r="AN7" s="59">
        <f ca="1">AVERAGE(OFFSET($AM$3,0,0,'Données projet'!$E$10+1,1))-AVERAGE(OFFSET($H$3,0,0,'Données projet'!$E$10+1,1))</f>
        <v>321.13571401604742</v>
      </c>
      <c r="AO7" s="59">
        <f t="shared" si="36"/>
        <v>225.55225019382294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2.4049999999999998</v>
      </c>
      <c r="D8" s="11">
        <f t="shared" si="32"/>
        <v>1.0007033420126812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26.289639833080347</v>
      </c>
      <c r="H8" s="67">
        <f t="shared" si="1"/>
        <v>299.26493332067207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12.2</v>
      </c>
      <c r="N8" s="13">
        <f>IF('Données projet'!$A$36&gt;35,N7+M8-V7,IF(A8&lt;'Données projet'!$A$36,$K$205^A8,IF(A8='Données projet'!$A$36,'Données projet'!$B$36,N7+M8-V7)))</f>
        <v>5.6774113708454292</v>
      </c>
      <c r="O8" s="13">
        <f>N8*VLOOKUP('Données projet'!$B$9,Paramètres!$A$1:$I$89,3,0)*VLOOKUP('Données projet'!$B$9,Paramètres!$A$1:$I$89,5,0)</f>
        <v>3.1736729563025952</v>
      </c>
      <c r="P8" s="13">
        <f t="shared" si="33"/>
        <v>1.2785932262137403</v>
      </c>
      <c r="Q8" s="20">
        <f t="shared" si="2"/>
        <v>7.7543636012159496</v>
      </c>
      <c r="R8" s="59">
        <f t="shared" si="0"/>
        <v>301.08769693454929</v>
      </c>
      <c r="S8" s="59">
        <f ca="1">AVERAGE(OFFSET($R$3,0,0,'Données projet'!$E$9+1,1))-AVERAGE(OFFSET($H$3,0,0,'Données projet'!$E$9+1,1))</f>
        <v>470.58485082099065</v>
      </c>
      <c r="T8" s="59">
        <f t="shared" si="34"/>
        <v>498.77167507743559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4.3352272727272725</v>
      </c>
      <c r="AI8" s="13">
        <f>IF('Données projet'!$A$62&gt;35,AI7+AH8-AQ7,IF(A8&lt;'Données projet'!$A$62,$AF$205^A8,IF(A8='Données projet'!$A$62,'Données projet'!$B$62,AI7+AH8-AQ7)))</f>
        <v>21.676136363636363</v>
      </c>
      <c r="AJ8" s="13">
        <f>AI8*VLOOKUP('Données projet'!$B$10,Paramètres!$A$1:$I$89,3,0)*VLOOKUP('Données projet'!$B$10,Paramètres!$A$1:$I$89,5,0)</f>
        <v>19.61256818181818</v>
      </c>
      <c r="AK8" s="13">
        <f t="shared" si="35"/>
        <v>6.3919816475485192</v>
      </c>
      <c r="AL8" s="20">
        <f t="shared" si="4"/>
        <v>45.291257619480326</v>
      </c>
      <c r="AM8" s="59">
        <f t="shared" si="5"/>
        <v>338.62459095281366</v>
      </c>
      <c r="AN8" s="59">
        <f ca="1">AVERAGE(OFFSET($AM$3,0,0,'Données projet'!$E$10+1,1))-AVERAGE(OFFSET($H$3,0,0,'Données projet'!$E$10+1,1))</f>
        <v>321.13571401604742</v>
      </c>
      <c r="AO8" s="59">
        <f t="shared" si="36"/>
        <v>225.55225019382294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2.8859999999999997</v>
      </c>
      <c r="D9" s="11">
        <f t="shared" si="32"/>
        <v>1.1756279405869494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31.352917436109781</v>
      </c>
      <c r="H9" s="67">
        <f t="shared" si="1"/>
        <v>300.40733532985558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12.2</v>
      </c>
      <c r="N9" s="13">
        <f>IF('Données projet'!$A$36&gt;35,N8+M9-V8,IF(A9&lt;'Données projet'!$A$36,$K$205^A9,IF(A9='Données projet'!$A$36,'Données projet'!$B$36,N8+M9-V8)))</f>
        <v>8.0348992573764413</v>
      </c>
      <c r="O9" s="13">
        <f>N9*VLOOKUP('Données projet'!$B$9,Paramètres!$A$1:$I$89,3,0)*VLOOKUP('Données projet'!$B$9,Paramètres!$A$1:$I$89,5,0)</f>
        <v>4.4915086848734305</v>
      </c>
      <c r="P9" s="13">
        <f t="shared" si="33"/>
        <v>1.7378242431890476</v>
      </c>
      <c r="Q9" s="20">
        <f t="shared" si="2"/>
        <v>10.849421516375481</v>
      </c>
      <c r="R9" s="59">
        <f t="shared" si="0"/>
        <v>304.18275484970877</v>
      </c>
      <c r="S9" s="59">
        <f ca="1">AVERAGE(OFFSET($R$3,0,0,'Données projet'!$E$9+1,1))-AVERAGE(OFFSET($H$3,0,0,'Données projet'!$E$9+1,1))</f>
        <v>470.58485082099065</v>
      </c>
      <c r="T9" s="59">
        <f t="shared" si="34"/>
        <v>498.77167507743559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4.3352272727272725</v>
      </c>
      <c r="AI9" s="13">
        <f>IF('Données projet'!$A$62&gt;35,AI8+AH9-AQ8,IF(A9&lt;'Données projet'!$A$62,$AF$205^A9,IF(A9='Données projet'!$A$62,'Données projet'!$B$62,AI8+AH9-AQ8)))</f>
        <v>26.011363636363637</v>
      </c>
      <c r="AJ9" s="13">
        <f>AI9*VLOOKUP('Données projet'!$B$10,Paramètres!$A$1:$I$89,3,0)*VLOOKUP('Données projet'!$B$10,Paramètres!$A$1:$I$89,5,0)</f>
        <v>23.535081818181819</v>
      </c>
      <c r="AK9" s="13">
        <f t="shared" si="35"/>
        <v>7.5093106069409075</v>
      </c>
      <c r="AL9" s="20">
        <f t="shared" si="4"/>
        <v>54.068983473755416</v>
      </c>
      <c r="AM9" s="59">
        <f t="shared" si="5"/>
        <v>347.40231680708871</v>
      </c>
      <c r="AN9" s="59">
        <f ca="1">AVERAGE(OFFSET($AM$3,0,0,'Données projet'!$E$10+1,1))-AVERAGE(OFFSET($H$3,0,0,'Données projet'!$E$10+1,1))</f>
        <v>321.13571401604742</v>
      </c>
      <c r="AO9" s="59">
        <f t="shared" si="36"/>
        <v>225.55225019382294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3.3669999999999995</v>
      </c>
      <c r="D10" s="11">
        <f t="shared" si="32"/>
        <v>1.3471752098029792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36.390124426549306</v>
      </c>
      <c r="H10" s="67">
        <f t="shared" si="1"/>
        <v>301.54385515707349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12.2</v>
      </c>
      <c r="N10" s="13">
        <f>IF('Données projet'!$A$36&gt;35,N9+M10-V9,IF(A10&lt;'Données projet'!$A$36,$K$205^A10,IF(A10='Données projet'!$A$36,'Données projet'!$B$36,N9+M10-V9)))</f>
        <v>11.371310243205938</v>
      </c>
      <c r="O10" s="13">
        <f>N10*VLOOKUP('Données projet'!$B$9,Paramètres!$A$1:$I$89,3,0)*VLOOKUP('Données projet'!$B$9,Paramètres!$A$1:$I$89,5,0)</f>
        <v>6.3565624259521201</v>
      </c>
      <c r="P10" s="13">
        <f t="shared" si="33"/>
        <v>2.3619967932715555</v>
      </c>
      <c r="Q10" s="20">
        <f t="shared" si="2"/>
        <v>15.184823973481235</v>
      </c>
      <c r="R10" s="59">
        <f t="shared" si="0"/>
        <v>308.51815730681454</v>
      </c>
      <c r="S10" s="59">
        <f ca="1">AVERAGE(OFFSET($R$3,0,0,'Données projet'!$E$9+1,1))-AVERAGE(OFFSET($H$3,0,0,'Données projet'!$E$9+1,1))</f>
        <v>470.58485082099065</v>
      </c>
      <c r="T10" s="59">
        <f t="shared" si="34"/>
        <v>498.77167507743559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4.3352272727272725</v>
      </c>
      <c r="AI10" s="13">
        <f>IF('Données projet'!$A$62&gt;35,AI9+AH10-AQ9,IF(A10&lt;'Données projet'!$A$62,$AF$205^A10,IF(A10='Données projet'!$A$62,'Données projet'!$B$62,AI9+AH10-AQ9)))</f>
        <v>30.34659090909091</v>
      </c>
      <c r="AJ10" s="13">
        <f>AI10*VLOOKUP('Données projet'!$B$10,Paramètres!$A$1:$I$89,3,0)*VLOOKUP('Données projet'!$B$10,Paramètres!$A$1:$I$89,5,0)</f>
        <v>27.457595454545455</v>
      </c>
      <c r="AK10" s="13">
        <f t="shared" si="35"/>
        <v>8.6050669120118162</v>
      </c>
      <c r="AL10" s="20">
        <f t="shared" si="4"/>
        <v>62.80913695508724</v>
      </c>
      <c r="AM10" s="59">
        <f t="shared" si="5"/>
        <v>356.14247028842055</v>
      </c>
      <c r="AN10" s="59">
        <f ca="1">AVERAGE(OFFSET($AM$3,0,0,'Données projet'!$E$10+1,1))-AVERAGE(OFFSET($H$3,0,0,'Données projet'!$E$10+1,1))</f>
        <v>321.13571401604742</v>
      </c>
      <c r="AO10" s="59">
        <f t="shared" si="36"/>
        <v>225.55225019382294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3.8479999999999994</v>
      </c>
      <c r="D11" s="11">
        <f t="shared" si="32"/>
        <v>1.5158832942696652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41.40541490313425</v>
      </c>
      <c r="H11" s="67">
        <f t="shared" si="1"/>
        <v>302.675430070853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12.2</v>
      </c>
      <c r="N11" s="13">
        <f>IF('Données projet'!$A$36&gt;35,N10+M11-V10,IF(A11&lt;'Données projet'!$A$36,$K$205^A11,IF(A11='Données projet'!$A$36,'Données projet'!$B$36,N10+M11-V10)))</f>
        <v>16.093132285203229</v>
      </c>
      <c r="O11" s="13">
        <f>N11*VLOOKUP('Données projet'!$B$9,Paramètres!$A$1:$I$89,3,0)*VLOOKUP('Données projet'!$B$9,Paramètres!$A$1:$I$89,5,0)</f>
        <v>8.9960609474286048</v>
      </c>
      <c r="P11" s="13">
        <f t="shared" si="33"/>
        <v>3.2103527576454689</v>
      </c>
      <c r="Q11" s="20">
        <f t="shared" si="2"/>
        <v>21.259503869670677</v>
      </c>
      <c r="R11" s="59">
        <f t="shared" si="0"/>
        <v>314.59283720300397</v>
      </c>
      <c r="S11" s="59">
        <f ca="1">AVERAGE(OFFSET($R$3,0,0,'Données projet'!$E$9+1,1))-AVERAGE(OFFSET($H$3,0,0,'Données projet'!$E$9+1,1))</f>
        <v>470.58485082099065</v>
      </c>
      <c r="T11" s="59">
        <f t="shared" si="34"/>
        <v>498.77167507743559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4.3352272727272725</v>
      </c>
      <c r="AI11" s="13">
        <f>IF('Données projet'!$A$62&gt;35,AI10+AH11-AQ10,IF(A11&lt;'Données projet'!$A$62,$AF$205^A11,IF(A11='Données projet'!$A$62,'Données projet'!$B$62,AI10+AH11-AQ10)))</f>
        <v>34.68181818181818</v>
      </c>
      <c r="AJ11" s="13">
        <f>AI11*VLOOKUP('Données projet'!$B$10,Paramètres!$A$1:$I$89,3,0)*VLOOKUP('Données projet'!$B$10,Paramètres!$A$1:$I$89,5,0)</f>
        <v>31.380109090909087</v>
      </c>
      <c r="AK11" s="13">
        <f t="shared" si="35"/>
        <v>9.68268795556226</v>
      </c>
      <c r="AL11" s="20">
        <f t="shared" si="4"/>
        <v>71.517704855937595</v>
      </c>
      <c r="AM11" s="59">
        <f t="shared" si="5"/>
        <v>364.85103818927092</v>
      </c>
      <c r="AN11" s="59">
        <f ca="1">AVERAGE(OFFSET($AM$3,0,0,'Données projet'!$E$10+1,1))-AVERAGE(OFFSET($H$3,0,0,'Données projet'!$E$10+1,1))</f>
        <v>321.13571401604742</v>
      </c>
      <c r="AO11" s="59">
        <f t="shared" si="36"/>
        <v>225.55225019382294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4.3289999999999997</v>
      </c>
      <c r="D12" s="11">
        <f t="shared" si="32"/>
        <v>1.6821477371202938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46.401842181279456</v>
      </c>
      <c r="H12" s="67">
        <f t="shared" si="1"/>
        <v>303.80274897548452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12.2</v>
      </c>
      <c r="N12" s="13">
        <f>IF('Données projet'!$A$36&gt;35,N11+M12-V11,IF(A12&lt;'Données projet'!$A$36,$K$205^A12,IF(A12='Données projet'!$A$36,'Données projet'!$B$36,N11+M12-V11)))</f>
        <v>22.775643370014436</v>
      </c>
      <c r="O12" s="13">
        <f>N12*VLOOKUP('Données projet'!$B$9,Paramètres!$A$1:$I$89,3,0)*VLOOKUP('Données projet'!$B$9,Paramètres!$A$1:$I$89,5,0)</f>
        <v>12.731584643838069</v>
      </c>
      <c r="P12" s="13">
        <f t="shared" si="33"/>
        <v>4.363411863166303</v>
      </c>
      <c r="Q12" s="20">
        <f t="shared" si="2"/>
        <v>29.773785583032616</v>
      </c>
      <c r="R12" s="59">
        <f t="shared" si="0"/>
        <v>323.10711891636595</v>
      </c>
      <c r="S12" s="59">
        <f ca="1">AVERAGE(OFFSET($R$3,0,0,'Données projet'!$E$9+1,1))-AVERAGE(OFFSET($H$3,0,0,'Données projet'!$E$9+1,1))</f>
        <v>470.58485082099065</v>
      </c>
      <c r="T12" s="59">
        <f t="shared" si="34"/>
        <v>498.77167507743559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4.3352272727272725</v>
      </c>
      <c r="AI12" s="13">
        <f>IF('Données projet'!$A$62&gt;35,AI11+AH12-AQ11,IF(A12&lt;'Données projet'!$A$62,$AF$205^A12,IF(A12='Données projet'!$A$62,'Données projet'!$B$62,AI11+AH12-AQ11)))</f>
        <v>39.017045454545453</v>
      </c>
      <c r="AJ12" s="13">
        <f>AI12*VLOOKUP('Données projet'!$B$10,Paramètres!$A$1:$I$89,3,0)*VLOOKUP('Données projet'!$B$10,Paramètres!$A$1:$I$89,5,0)</f>
        <v>35.302622727272727</v>
      </c>
      <c r="AK12" s="13">
        <f t="shared" si="35"/>
        <v>10.744700265028126</v>
      </c>
      <c r="AL12" s="20">
        <f t="shared" si="4"/>
        <v>80.19908754492397</v>
      </c>
      <c r="AM12" s="59">
        <f t="shared" si="5"/>
        <v>373.53242087825731</v>
      </c>
      <c r="AN12" s="59">
        <f ca="1">AVERAGE(OFFSET($AM$3,0,0,'Données projet'!$E$10+1,1))-AVERAGE(OFFSET($H$3,0,0,'Données projet'!$E$10+1,1))</f>
        <v>321.13571401604742</v>
      </c>
      <c r="AO12" s="59">
        <f t="shared" si="36"/>
        <v>225.55225019382294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4.8099999999999996</v>
      </c>
      <c r="D13" s="11">
        <f t="shared" si="32"/>
        <v>1.8462710264386484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51.381741256719387</v>
      </c>
      <c r="H13" s="67">
        <f t="shared" si="1"/>
        <v>304.92633870438061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12.2</v>
      </c>
      <c r="N13" s="13">
        <f>IF('Données projet'!$A$36&gt;35,N12+M13-V12,IF(A13&lt;'Données projet'!$A$36,$K$205^A13,IF(A13='Données projet'!$A$36,'Données projet'!$B$36,N12+M13-V12)))</f>
        <v>32.232999873804978</v>
      </c>
      <c r="O13" s="13">
        <f>N13*VLOOKUP('Données projet'!$B$9,Paramètres!$A$1:$I$89,3,0)*VLOOKUP('Données projet'!$B$9,Paramètres!$A$1:$I$89,5,0)</f>
        <v>18.018246929456982</v>
      </c>
      <c r="P13" s="13">
        <f t="shared" si="33"/>
        <v>5.9306140243554522</v>
      </c>
      <c r="Q13" s="20">
        <f t="shared" si="2"/>
        <v>41.710932827889991</v>
      </c>
      <c r="R13" s="59">
        <f t="shared" si="0"/>
        <v>335.04426616122328</v>
      </c>
      <c r="S13" s="59">
        <f ca="1">AVERAGE(OFFSET($R$3,0,0,'Données projet'!$E$9+1,1))-AVERAGE(OFFSET($H$3,0,0,'Données projet'!$E$9+1,1))</f>
        <v>470.58485082099065</v>
      </c>
      <c r="T13" s="59">
        <f t="shared" si="34"/>
        <v>498.77167507743559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4.3352272727272725</v>
      </c>
      <c r="AI13" s="13">
        <f>IF('Données projet'!$A$62&gt;35,AI12+AH13-AQ12,IF(A13&lt;'Données projet'!$A$62,$AF$205^A13,IF(A13='Données projet'!$A$62,'Données projet'!$B$62,AI12+AH13-AQ12)))</f>
        <v>43.352272727272727</v>
      </c>
      <c r="AJ13" s="13">
        <f>AI13*VLOOKUP('Données projet'!$B$10,Paramètres!$A$1:$I$89,3,0)*VLOOKUP('Données projet'!$B$10,Paramètres!$A$1:$I$89,5,0)</f>
        <v>39.225136363636359</v>
      </c>
      <c r="AK13" s="13">
        <f t="shared" si="35"/>
        <v>11.793035979734796</v>
      </c>
      <c r="AL13" s="20">
        <f t="shared" si="4"/>
        <v>88.85665016470476</v>
      </c>
      <c r="AM13" s="59">
        <f t="shared" si="5"/>
        <v>382.18998349803809</v>
      </c>
      <c r="AN13" s="59">
        <f ca="1">AVERAGE(OFFSET($AM$3,0,0,'Données projet'!$E$10+1,1))-AVERAGE(OFFSET($H$3,0,0,'Données projet'!$E$10+1,1))</f>
        <v>321.13571401604742</v>
      </c>
      <c r="AO13" s="59">
        <f t="shared" si="36"/>
        <v>225.55225019382294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5.2909999999999995</v>
      </c>
      <c r="D14" s="11">
        <f t="shared" si="32"/>
        <v>2.0084916518563651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56.346953102049135</v>
      </c>
      <c r="H14" s="67">
        <f t="shared" si="1"/>
        <v>306.04661462698317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12.2</v>
      </c>
      <c r="N14" s="13">
        <f>IF('Données projet'!$A$36&gt;35,N13+M14-V13,IF(A14&lt;'Données projet'!$A$36,$K$205^A14,IF(A14='Données projet'!$A$36,'Données projet'!$B$36,N13+M14-V13)))</f>
        <v>45.617428407426502</v>
      </c>
      <c r="O14" s="13">
        <f>N14*VLOOKUP('Données projet'!$B$9,Paramètres!$A$1:$I$89,3,0)*VLOOKUP('Données projet'!$B$9,Paramètres!$A$1:$I$89,5,0)</f>
        <v>25.500142479751414</v>
      </c>
      <c r="P14" s="13">
        <f t="shared" si="33"/>
        <v>8.0607065775264513</v>
      </c>
      <c r="Q14" s="20">
        <f t="shared" si="2"/>
        <v>58.451812108092277</v>
      </c>
      <c r="R14" s="59">
        <f t="shared" si="0"/>
        <v>351.78514544142558</v>
      </c>
      <c r="S14" s="59">
        <f ca="1">AVERAGE(OFFSET($R$3,0,0,'Données projet'!$E$9+1,1))-AVERAGE(OFFSET($H$3,0,0,'Données projet'!$E$9+1,1))</f>
        <v>470.58485082099065</v>
      </c>
      <c r="T14" s="59">
        <f t="shared" si="34"/>
        <v>498.77167507743559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4.3352272727272725</v>
      </c>
      <c r="AI14" s="13">
        <f>IF('Données projet'!$A$62&gt;35,AI13+AH14-AQ13,IF(A14&lt;'Données projet'!$A$62,$AF$205^A14,IF(A14='Données projet'!$A$62,'Données projet'!$B$62,AI13+AH14-AQ13)))</f>
        <v>47.6875</v>
      </c>
      <c r="AJ14" s="13">
        <f>AI14*VLOOKUP('Données projet'!$B$10,Paramètres!$A$1:$I$89,3,0)*VLOOKUP('Données projet'!$B$10,Paramètres!$A$1:$I$89,5,0)</f>
        <v>43.147649999999999</v>
      </c>
      <c r="AK14" s="13">
        <f t="shared" si="35"/>
        <v>12.829218449594824</v>
      </c>
      <c r="AL14" s="20">
        <f t="shared" si="4"/>
        <v>97.493045883044317</v>
      </c>
      <c r="AM14" s="59">
        <f t="shared" si="5"/>
        <v>390.82637921637763</v>
      </c>
      <c r="AN14" s="59">
        <f ca="1">AVERAGE(OFFSET($AM$3,0,0,'Données projet'!$E$10+1,1))-AVERAGE(OFFSET($H$3,0,0,'Données projet'!$E$10+1,1))</f>
        <v>321.13571401604742</v>
      </c>
      <c r="AO14" s="59">
        <f t="shared" si="36"/>
        <v>225.55225019382294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5.7719999999999994</v>
      </c>
      <c r="D15" s="11">
        <f t="shared" si="32"/>
        <v>2.1690022541664664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61.2989647690043</v>
      </c>
      <c r="H15" s="67">
        <f t="shared" si="1"/>
        <v>307.1639122593399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12.2</v>
      </c>
      <c r="N15" s="13">
        <f>IF('Données projet'!$A$36&gt;35,N14+M15-V14,IF(A15&lt;'Données projet'!$A$36,$K$205^A15,IF(A15='Données projet'!$A$36,'Données projet'!$B$36,N14+M15-V14)))</f>
        <v>64.559606076188487</v>
      </c>
      <c r="O15" s="13">
        <f>N15*VLOOKUP('Données projet'!$B$9,Paramètres!$A$1:$I$89,3,0)*VLOOKUP('Données projet'!$B$9,Paramètres!$A$1:$I$89,5,0)</f>
        <v>36.088819796589362</v>
      </c>
      <c r="P15" s="13">
        <f t="shared" si="33"/>
        <v>10.955862287133046</v>
      </c>
      <c r="Q15" s="20">
        <f t="shared" si="2"/>
        <v>81.936154629149854</v>
      </c>
      <c r="R15" s="59">
        <f t="shared" si="0"/>
        <v>375.26948796248314</v>
      </c>
      <c r="S15" s="59">
        <f ca="1">AVERAGE(OFFSET($R$3,0,0,'Données projet'!$E$9+1,1))-AVERAGE(OFFSET($H$3,0,0,'Données projet'!$E$9+1,1))</f>
        <v>470.58485082099065</v>
      </c>
      <c r="T15" s="59">
        <f t="shared" si="34"/>
        <v>498.77167507743559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4.3352272727272725</v>
      </c>
      <c r="AI15" s="13">
        <f>IF('Données projet'!$A$62&gt;35,AI14+AH15-AQ14,IF(A15&lt;'Données projet'!$A$62,$AF$205^A15,IF(A15='Données projet'!$A$62,'Données projet'!$B$62,AI14+AH15-AQ14)))</f>
        <v>52.022727272727273</v>
      </c>
      <c r="AJ15" s="13">
        <f>AI15*VLOOKUP('Données projet'!$B$10,Paramètres!$A$1:$I$89,3,0)*VLOOKUP('Données projet'!$B$10,Paramètres!$A$1:$I$89,5,0)</f>
        <v>47.070163636363638</v>
      </c>
      <c r="AK15" s="13">
        <f t="shared" si="35"/>
        <v>13.854478165565803</v>
      </c>
      <c r="AL15" s="20">
        <f t="shared" si="4"/>
        <v>106.11041780502711</v>
      </c>
      <c r="AM15" s="59">
        <f t="shared" si="5"/>
        <v>399.44375113836043</v>
      </c>
      <c r="AN15" s="59">
        <f ca="1">AVERAGE(OFFSET($AM$3,0,0,'Données projet'!$E$10+1,1))-AVERAGE(OFFSET($H$3,0,0,'Données projet'!$E$10+1,1))</f>
        <v>321.13571401604742</v>
      </c>
      <c r="AO15" s="59">
        <f t="shared" si="36"/>
        <v>225.55225019382294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6.2529999999999992</v>
      </c>
      <c r="D16" s="11">
        <f t="shared" si="32"/>
        <v>2.3279615364980017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66.239001334370542</v>
      </c>
      <c r="H16" s="67">
        <f t="shared" si="1"/>
        <v>308.27850800940064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12.2</v>
      </c>
      <c r="N16" s="13">
        <f>IF('Données projet'!$A$36&gt;35,N15+M16-V15,IF(A16&lt;'Données projet'!$A$36,$K$205^A16,IF(A16='Données projet'!$A$36,'Données projet'!$B$36,N15+M16-V15)))</f>
        <v>91.367332228532504</v>
      </c>
      <c r="O16" s="13">
        <f>N16*VLOOKUP('Données projet'!$B$9,Paramètres!$A$1:$I$89,3,0)*VLOOKUP('Données projet'!$B$9,Paramètres!$A$1:$I$89,5,0)</f>
        <v>51.074338715749668</v>
      </c>
      <c r="P16" s="13">
        <f t="shared" si="33"/>
        <v>14.890868101969463</v>
      </c>
      <c r="Q16" s="20">
        <f t="shared" si="2"/>
        <v>114.88940187419416</v>
      </c>
      <c r="R16" s="59">
        <f t="shared" si="0"/>
        <v>408.22273520752748</v>
      </c>
      <c r="S16" s="59">
        <f ca="1">AVERAGE(OFFSET($R$3,0,0,'Données projet'!$E$9+1,1))-AVERAGE(OFFSET($H$3,0,0,'Données projet'!$E$9+1,1))</f>
        <v>470.58485082099065</v>
      </c>
      <c r="T16" s="59">
        <f t="shared" si="34"/>
        <v>498.77167507743559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4.3352272727272725</v>
      </c>
      <c r="AI16" s="13">
        <f>IF('Données projet'!$A$62&gt;35,AI15+AH16-AQ15,IF(A16&lt;'Données projet'!$A$62,$AF$205^A16,IF(A16='Données projet'!$A$62,'Données projet'!$B$62,AI15+AH16-AQ15)))</f>
        <v>56.357954545454547</v>
      </c>
      <c r="AJ16" s="13">
        <f>AI16*VLOOKUP('Données projet'!$B$10,Paramètres!$A$1:$I$89,3,0)*VLOOKUP('Données projet'!$B$10,Paramètres!$A$1:$I$89,5,0)</f>
        <v>50.992677272727278</v>
      </c>
      <c r="AK16" s="13">
        <f t="shared" si="35"/>
        <v>14.869828842148015</v>
      </c>
      <c r="AL16" s="20">
        <f t="shared" si="4"/>
        <v>114.71053148340779</v>
      </c>
      <c r="AM16" s="59">
        <f t="shared" si="5"/>
        <v>408.04386481674112</v>
      </c>
      <c r="AN16" s="59">
        <f ca="1">AVERAGE(OFFSET($AM$3,0,0,'Données projet'!$E$10+1,1))-AVERAGE(OFFSET($H$3,0,0,'Données projet'!$E$10+1,1))</f>
        <v>321.13571401604742</v>
      </c>
      <c r="AO16" s="59">
        <f t="shared" si="36"/>
        <v>225.55225019382294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6.7339999999999991</v>
      </c>
      <c r="D17" s="11">
        <f t="shared" si="32"/>
        <v>2.4855023991357164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71.168088695082716</v>
      </c>
      <c r="H17" s="67">
        <f t="shared" si="1"/>
        <v>309.39063334516135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12.2</v>
      </c>
      <c r="N17" s="13">
        <f>IF('Données projet'!$A$36&gt;35,N16+M17-V16,IF(A17&lt;'Données projet'!$A$36,$K$205^A17,IF(A17='Données projet'!$A$36,'Données projet'!$B$36,N16+M17-V16)))</f>
        <v>129.30669664724024</v>
      </c>
      <c r="O17" s="13">
        <f>N17*VLOOKUP('Données projet'!$B$9,Paramètres!$A$1:$I$89,3,0)*VLOOKUP('Données projet'!$B$9,Paramètres!$A$1:$I$89,5,0)</f>
        <v>72.282443425807301</v>
      </c>
      <c r="P17" s="13">
        <f t="shared" si="33"/>
        <v>20.23920591724384</v>
      </c>
      <c r="Q17" s="20">
        <f t="shared" si="2"/>
        <v>161.14187260581406</v>
      </c>
      <c r="R17" s="59">
        <f t="shared" si="0"/>
        <v>454.47520593914737</v>
      </c>
      <c r="S17" s="59">
        <f ca="1">AVERAGE(OFFSET($R$3,0,0,'Données projet'!$E$9+1,1))-AVERAGE(OFFSET($H$3,0,0,'Données projet'!$E$9+1,1))</f>
        <v>470.58485082099065</v>
      </c>
      <c r="T17" s="59">
        <f t="shared" si="34"/>
        <v>498.77167507743559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4.3352272727272725</v>
      </c>
      <c r="AI17" s="13">
        <f>IF('Données projet'!$A$62&gt;35,AI16+AH17-AQ16,IF(A17&lt;'Données projet'!$A$62,$AF$205^A17,IF(A17='Données projet'!$A$62,'Données projet'!$B$62,AI16+AH17-AQ16)))</f>
        <v>60.69318181818182</v>
      </c>
      <c r="AJ17" s="13">
        <f>AI17*VLOOKUP('Données projet'!$B$10,Paramètres!$A$1:$I$89,3,0)*VLOOKUP('Données projet'!$B$10,Paramètres!$A$1:$I$89,5,0)</f>
        <v>54.91519090909091</v>
      </c>
      <c r="AK17" s="13">
        <f t="shared" si="35"/>
        <v>15.876119378456103</v>
      </c>
      <c r="AL17" s="20">
        <f t="shared" si="4"/>
        <v>123.29486541747771</v>
      </c>
      <c r="AM17" s="59">
        <f t="shared" si="5"/>
        <v>416.62819875081101</v>
      </c>
      <c r="AN17" s="59">
        <f ca="1">AVERAGE(OFFSET($AM$3,0,0,'Données projet'!$E$10+1,1))-AVERAGE(OFFSET($H$3,0,0,'Données projet'!$E$10+1,1))</f>
        <v>321.13571401604742</v>
      </c>
      <c r="AO17" s="59">
        <f t="shared" si="36"/>
        <v>225.55225019382294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7.214999999999999</v>
      </c>
      <c r="D18" s="11">
        <f t="shared" si="32"/>
        <v>2.6417376807869739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76.087097886776633</v>
      </c>
      <c r="H18" s="67">
        <f t="shared" si="1"/>
        <v>310.50048479403728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183</v>
      </c>
      <c r="L18" s="12">
        <f>VLOOKUP(A18,'Données projet'!$A$35:$I$55,9,0)</f>
        <v>12.2</v>
      </c>
      <c r="M18" s="12">
        <f t="array" ref="M18">INDEX(L:L,MIN(IF(ISNUMBER(L18:L214),ROW(L18:L214),"")))</f>
        <v>12.2</v>
      </c>
      <c r="N18" s="13">
        <f>IF('Données projet'!$A$36&gt;35,N17+M18-V17,IF(A18&lt;'Données projet'!$A$36,$K$205^A18,IF(A18='Données projet'!$A$36,'Données projet'!$B$36,N17+M18-V17)))</f>
        <v>183</v>
      </c>
      <c r="O18" s="13">
        <f>N18*VLOOKUP('Données projet'!$B$9,Paramètres!$A$1:$I$89,3,0)*VLOOKUP('Données projet'!$B$9,Paramètres!$A$1:$I$89,5,0)</f>
        <v>102.297</v>
      </c>
      <c r="P18" s="13">
        <f t="shared" si="33"/>
        <v>27.508500737201572</v>
      </c>
      <c r="Q18" s="20">
        <f t="shared" si="2"/>
        <v>226.07791378395936</v>
      </c>
      <c r="R18" s="59">
        <f t="shared" si="0"/>
        <v>519.41124711729265</v>
      </c>
      <c r="S18" s="59">
        <f ca="1">AVERAGE(OFFSET($R$3,0,0,'Données projet'!$E$9+1,1))-AVERAGE(OFFSET($H$3,0,0,'Données projet'!$E$9+1,1))</f>
        <v>470.58485082099065</v>
      </c>
      <c r="T18" s="59">
        <f t="shared" si="34"/>
        <v>498.77167507743559</v>
      </c>
      <c r="U18" s="15">
        <f>IF(ISNA(VLOOKUP(A18,'Données projet'!$A$35:$I$55,3,0)),0,VLOOKUP(A18,'Données projet'!$A$35:$I$55,3,0))</f>
        <v>1</v>
      </c>
      <c r="V18" s="15">
        <f>IF(ISNA(VLOOKUP(A18,'Données projet'!$A$35:$I$55,4,0)),0,VLOOKUP(A18,'Données projet'!$A$35:$I$55,4,0))</f>
        <v>28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0.30800000000000005</v>
      </c>
      <c r="Y18" s="16">
        <f>IF(ISNA(VLOOKUP(A18,'Données projet'!$A$35:$I$55,7,0)),0%,VLOOKUP(A18,'Données projet'!$A$35:$I$55,7,0))</f>
        <v>0.44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6.3699431152325729</v>
      </c>
      <c r="AB18" s="21">
        <f>EXP(-LN(2)/2)*AB17+(1-EXP(-LN(2)/2))/(LN(2)/2)*V18*Y18*VLOOKUP('Données projet'!$B$9,Paramètres!$A$1:$I$89,3,0)*0.475*44/12</f>
        <v>7.797547965189068</v>
      </c>
      <c r="AC18" s="22">
        <f t="shared" si="3"/>
        <v>14.167491080421641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4.3352272727272725</v>
      </c>
      <c r="AI18" s="13">
        <f>IF('Données projet'!$A$62&gt;35,AI17+AH18-AQ17,IF(A18&lt;'Données projet'!$A$62,$AF$205^A18,IF(A18='Données projet'!$A$62,'Données projet'!$B$62,AI17+AH18-AQ17)))</f>
        <v>65.028409090909093</v>
      </c>
      <c r="AJ18" s="13">
        <f>AI18*VLOOKUP('Données projet'!$B$10,Paramètres!$A$1:$I$89,3,0)*VLOOKUP('Données projet'!$B$10,Paramètres!$A$1:$I$89,5,0)</f>
        <v>58.83770454545455</v>
      </c>
      <c r="AK18" s="13">
        <f t="shared" si="35"/>
        <v>16.874070530498674</v>
      </c>
      <c r="AL18" s="20">
        <f t="shared" si="4"/>
        <v>131.86467492395187</v>
      </c>
      <c r="AM18" s="59">
        <f t="shared" si="5"/>
        <v>425.19800825728521</v>
      </c>
      <c r="AN18" s="59">
        <f ca="1">AVERAGE(OFFSET($AM$3,0,0,'Données projet'!$E$10+1,1))-AVERAGE(OFFSET($H$3,0,0,'Données projet'!$E$10+1,1))</f>
        <v>321.13571401604742</v>
      </c>
      <c r="AO18" s="59">
        <f t="shared" si="36"/>
        <v>225.55225019382294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7.6959999999999988</v>
      </c>
      <c r="D19" s="11">
        <f t="shared" si="32"/>
        <v>2.7967643238239419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80.996777236535692</v>
      </c>
      <c r="H19" s="67">
        <f t="shared" si="1"/>
        <v>311.60823119732669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26</v>
      </c>
      <c r="N19" s="13">
        <f>IF('Données projet'!$A$36&gt;35,N18+M19-V18,IF(A19&lt;'Données projet'!$A$36,$K$205^A19,IF(A19='Données projet'!$A$36,'Données projet'!$B$36,N18+M19-V18)))</f>
        <v>181</v>
      </c>
      <c r="O19" s="13">
        <f>N19*VLOOKUP('Données projet'!$B$9,Paramètres!$A$1:$I$89,3,0)*VLOOKUP('Données projet'!$B$9,Paramètres!$A$1:$I$89,5,0)</f>
        <v>101.179</v>
      </c>
      <c r="P19" s="13">
        <f t="shared" si="33"/>
        <v>27.242686146699036</v>
      </c>
      <c r="Q19" s="20">
        <f t="shared" si="2"/>
        <v>223.66777003883416</v>
      </c>
      <c r="R19" s="59">
        <f t="shared" si="0"/>
        <v>517.00110337216745</v>
      </c>
      <c r="S19" s="59">
        <f ca="1">AVERAGE(OFFSET($R$3,0,0,'Données projet'!$E$9+1,1))-AVERAGE(OFFSET($H$3,0,0,'Données projet'!$E$9+1,1))</f>
        <v>470.58485082099065</v>
      </c>
      <c r="T19" s="59">
        <f t="shared" si="34"/>
        <v>498.77167507743559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6.1957566857657884</v>
      </c>
      <c r="AB19" s="21">
        <f>EXP(-LN(2)/2)*AB18+(1-EXP(-LN(2)/2))/(LN(2)/2)*V19*Y19*VLOOKUP('Données projet'!$B$9,Paramètres!$A$1:$I$89,3,0)*0.475*44/12</f>
        <v>5.5136990428125552</v>
      </c>
      <c r="AC19" s="22">
        <f t="shared" si="3"/>
        <v>11.709455728578344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4.3352272727272725</v>
      </c>
      <c r="AI19" s="13">
        <f>IF('Données projet'!$A$62&gt;35,AI18+AH19-AQ18,IF(A19&lt;'Données projet'!$A$62,$AF$205^A19,IF(A19='Données projet'!$A$62,'Données projet'!$B$62,AI18+AH19-AQ18)))</f>
        <v>69.36363636363636</v>
      </c>
      <c r="AJ19" s="13">
        <f>AI19*VLOOKUP('Données projet'!$B$10,Paramètres!$A$1:$I$89,3,0)*VLOOKUP('Données projet'!$B$10,Paramètres!$A$1:$I$89,5,0)</f>
        <v>62.760218181818175</v>
      </c>
      <c r="AK19" s="13">
        <f t="shared" si="35"/>
        <v>17.864301516617232</v>
      </c>
      <c r="AL19" s="20">
        <f t="shared" si="4"/>
        <v>140.42103847477497</v>
      </c>
      <c r="AM19" s="59">
        <f t="shared" si="5"/>
        <v>433.75437180810832</v>
      </c>
      <c r="AN19" s="59">
        <f ca="1">AVERAGE(OFFSET($AM$3,0,0,'Données projet'!$E$10+1,1))-AVERAGE(OFFSET($H$3,0,0,'Données projet'!$E$10+1,1))</f>
        <v>321.13571401604742</v>
      </c>
      <c r="AO19" s="59">
        <f t="shared" si="36"/>
        <v>225.55225019382294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8.1769999999999996</v>
      </c>
      <c r="D20" s="11">
        <f t="shared" si="32"/>
        <v>2.9506664679221988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85.897776243609954</v>
      </c>
      <c r="H20" s="67">
        <f t="shared" si="1"/>
        <v>312.7140190982978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26</v>
      </c>
      <c r="N20" s="13">
        <f>IF('Données projet'!$A$36&gt;35,N19+M20-V19,IF(A20&lt;'Données projet'!$A$36,$K$205^A20,IF(A20='Données projet'!$A$36,'Données projet'!$B$36,N19+M20-V19)))</f>
        <v>207</v>
      </c>
      <c r="O20" s="13">
        <f>N20*VLOOKUP('Données projet'!$B$9,Paramètres!$A$1:$I$89,3,0)*VLOOKUP('Données projet'!$B$9,Paramètres!$A$1:$I$89,5,0)</f>
        <v>115.71300000000001</v>
      </c>
      <c r="P20" s="13">
        <f t="shared" si="33"/>
        <v>30.673019842466044</v>
      </c>
      <c r="Q20" s="20">
        <f t="shared" si="2"/>
        <v>254.95565122562834</v>
      </c>
      <c r="R20" s="59">
        <f t="shared" si="0"/>
        <v>548.2889845589616</v>
      </c>
      <c r="S20" s="59">
        <f ca="1">AVERAGE(OFFSET($R$3,0,0,'Données projet'!$E$9+1,1))-AVERAGE(OFFSET($H$3,0,0,'Données projet'!$E$9+1,1))</f>
        <v>470.58485082099065</v>
      </c>
      <c r="T20" s="59">
        <f t="shared" si="34"/>
        <v>498.77167507743559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6.0263333933728394</v>
      </c>
      <c r="AB20" s="21">
        <f>EXP(-LN(2)/2)*AB19+(1-EXP(-LN(2)/2))/(LN(2)/2)*V20*Y20*VLOOKUP('Données projet'!$B$9,Paramètres!$A$1:$I$89,3,0)*0.475*44/12</f>
        <v>3.8987739825945344</v>
      </c>
      <c r="AC20" s="22">
        <f t="shared" si="3"/>
        <v>9.9251073759673734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4.3352272727272725</v>
      </c>
      <c r="AI20" s="13">
        <f>IF('Données projet'!$A$62&gt;35,AI19+AH20-AQ19,IF(A20&lt;'Données projet'!$A$62,$AF$205^A20,IF(A20='Données projet'!$A$62,'Données projet'!$B$62,AI19+AH20-AQ19)))</f>
        <v>73.698863636363626</v>
      </c>
      <c r="AJ20" s="13">
        <f>AI20*VLOOKUP('Données projet'!$B$10,Paramètres!$A$1:$I$89,3,0)*VLOOKUP('Données projet'!$B$10,Paramètres!$A$1:$I$89,5,0)</f>
        <v>66.682731818181807</v>
      </c>
      <c r="AK20" s="13">
        <f t="shared" si="35"/>
        <v>18.847349778068896</v>
      </c>
      <c r="AL20" s="20">
        <f t="shared" si="4"/>
        <v>148.96489211346997</v>
      </c>
      <c r="AM20" s="59">
        <f t="shared" si="5"/>
        <v>442.29822544680326</v>
      </c>
      <c r="AN20" s="59">
        <f ca="1">AVERAGE(OFFSET($AM$3,0,0,'Données projet'!$E$10+1,1))-AVERAGE(OFFSET($H$3,0,0,'Données projet'!$E$10+1,1))</f>
        <v>321.13571401604742</v>
      </c>
      <c r="AO20" s="59">
        <f t="shared" si="36"/>
        <v>225.55225019382294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8.6579999999999995</v>
      </c>
      <c r="D21" s="11">
        <f t="shared" si="32"/>
        <v>3.1035177947823605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90.790663679021733</v>
      </c>
      <c r="H21" s="67">
        <f t="shared" si="1"/>
        <v>313.81797682591258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26</v>
      </c>
      <c r="N21" s="13">
        <f>IF('Données projet'!$A$36&gt;35,N20+M21-V20,IF(A21&lt;'Données projet'!$A$36,$K$205^A21,IF(A21='Données projet'!$A$36,'Données projet'!$B$36,N20+M21-V20)))</f>
        <v>233</v>
      </c>
      <c r="O21" s="13">
        <f>N21*VLOOKUP('Données projet'!$B$9,Paramètres!$A$1:$I$89,3,0)*VLOOKUP('Données projet'!$B$9,Paramètres!$A$1:$I$89,5,0)</f>
        <v>130.24700000000001</v>
      </c>
      <c r="P21" s="13">
        <f t="shared" si="33"/>
        <v>34.053427473416782</v>
      </c>
      <c r="Q21" s="20">
        <f t="shared" si="2"/>
        <v>286.15657784953424</v>
      </c>
      <c r="R21" s="59">
        <f t="shared" si="0"/>
        <v>579.48991118286756</v>
      </c>
      <c r="S21" s="59">
        <f ca="1">AVERAGE(OFFSET($R$3,0,0,'Données projet'!$E$9+1,1))-AVERAGE(OFFSET($H$3,0,0,'Données projet'!$E$9+1,1))</f>
        <v>470.58485082099065</v>
      </c>
      <c r="T21" s="59">
        <f t="shared" si="34"/>
        <v>498.77167507743559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5.8615429898199594</v>
      </c>
      <c r="AB21" s="21">
        <f>EXP(-LN(2)/2)*AB20+(1-EXP(-LN(2)/2))/(LN(2)/2)*V21*Y21*VLOOKUP('Données projet'!$B$9,Paramètres!$A$1:$I$89,3,0)*0.475*44/12</f>
        <v>2.756849521406278</v>
      </c>
      <c r="AC21" s="22">
        <f t="shared" si="3"/>
        <v>8.6183925112262365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4.3352272727272725</v>
      </c>
      <c r="AI21" s="13">
        <f>IF('Données projet'!$A$62&gt;35,AI20+AH21-AQ20,IF(A21&lt;'Données projet'!$A$62,$AF$205^A21,IF(A21='Données projet'!$A$62,'Données projet'!$B$62,AI20+AH21-AQ20)))</f>
        <v>78.034090909090892</v>
      </c>
      <c r="AJ21" s="13">
        <f>AI21*VLOOKUP('Données projet'!$B$10,Paramètres!$A$1:$I$89,3,0)*VLOOKUP('Données projet'!$B$10,Paramètres!$A$1:$I$89,5,0)</f>
        <v>70.605245454545425</v>
      </c>
      <c r="AK21" s="13">
        <f t="shared" si="35"/>
        <v>19.823685955910104</v>
      </c>
      <c r="AL21" s="20">
        <f t="shared" si="4"/>
        <v>157.4970555398767</v>
      </c>
      <c r="AM21" s="59">
        <f t="shared" si="5"/>
        <v>450.83038887321004</v>
      </c>
      <c r="AN21" s="59">
        <f ca="1">AVERAGE(OFFSET($AM$3,0,0,'Données projet'!$E$10+1,1))-AVERAGE(OFFSET($H$3,0,0,'Données projet'!$E$10+1,1))</f>
        <v>321.13571401604742</v>
      </c>
      <c r="AO21" s="59">
        <f t="shared" si="36"/>
        <v>225.55225019382294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9.1389999999999993</v>
      </c>
      <c r="D22" s="11">
        <f t="shared" si="32"/>
        <v>3.2553833368644418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95.675941547725515</v>
      </c>
      <c r="H22" s="67">
        <f t="shared" si="1"/>
        <v>314.92021764503886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26</v>
      </c>
      <c r="N22" s="13">
        <f>IF('Données projet'!$A$36&gt;35,N21+M22-V21,IF(A22&lt;'Données projet'!$A$36,$K$205^A22,IF(A22='Données projet'!$A$36,'Données projet'!$B$36,N21+M22-V21)))</f>
        <v>259</v>
      </c>
      <c r="O22" s="13">
        <f>N22*VLOOKUP('Données projet'!$B$9,Paramètres!$A$1:$I$89,3,0)*VLOOKUP('Données projet'!$B$9,Paramètres!$A$1:$I$89,5,0)</f>
        <v>144.78100000000001</v>
      </c>
      <c r="P22" s="13">
        <f t="shared" si="33"/>
        <v>37.390115770833177</v>
      </c>
      <c r="Q22" s="20">
        <f t="shared" si="2"/>
        <v>317.28135996753446</v>
      </c>
      <c r="R22" s="59">
        <f t="shared" si="0"/>
        <v>610.61469330086777</v>
      </c>
      <c r="S22" s="59">
        <f ca="1">AVERAGE(OFFSET($R$3,0,0,'Données projet'!$E$9+1,1))-AVERAGE(OFFSET($H$3,0,0,'Données projet'!$E$9+1,1))</f>
        <v>470.58485082099065</v>
      </c>
      <c r="T22" s="59">
        <f t="shared" si="34"/>
        <v>498.77167507743559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5.7012587885181834</v>
      </c>
      <c r="AB22" s="21">
        <f>EXP(-LN(2)/2)*AB21+(1-EXP(-LN(2)/2))/(LN(2)/2)*V22*Y22*VLOOKUP('Données projet'!$B$9,Paramètres!$A$1:$I$89,3,0)*0.475*44/12</f>
        <v>1.9493869912972674</v>
      </c>
      <c r="AC22" s="22">
        <f t="shared" si="3"/>
        <v>7.6506457798154504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4.3352272727272725</v>
      </c>
      <c r="AI22" s="13">
        <f>IF('Données projet'!$A$62&gt;35,AI21+AH22-AQ21,IF(A22&lt;'Données projet'!$A$62,$AF$205^A22,IF(A22='Données projet'!$A$62,'Données projet'!$B$62,AI21+AH22-AQ21)))</f>
        <v>82.369318181818159</v>
      </c>
      <c r="AJ22" s="13">
        <f>AI22*VLOOKUP('Données projet'!$B$10,Paramètres!$A$1:$I$89,3,0)*VLOOKUP('Données projet'!$B$10,Paramètres!$A$1:$I$89,5,0)</f>
        <v>74.527759090909072</v>
      </c>
      <c r="AK22" s="13">
        <f t="shared" si="35"/>
        <v>20.793725444267654</v>
      </c>
      <c r="AL22" s="20">
        <f t="shared" si="4"/>
        <v>166.01825223209946</v>
      </c>
      <c r="AM22" s="59">
        <f t="shared" si="5"/>
        <v>459.35158556543274</v>
      </c>
      <c r="AN22" s="59">
        <f ca="1">AVERAGE(OFFSET($AM$3,0,0,'Données projet'!$E$10+1,1))-AVERAGE(OFFSET($H$3,0,0,'Données projet'!$E$10+1,1))</f>
        <v>321.13571401604742</v>
      </c>
      <c r="AO22" s="59">
        <f t="shared" si="36"/>
        <v>225.55225019382294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9.6199999999999992</v>
      </c>
      <c r="D23" s="11">
        <f t="shared" si="32"/>
        <v>3.4063208944730636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100.55405602751136</v>
      </c>
      <c r="H23" s="67">
        <f t="shared" si="1"/>
        <v>316.02084222454056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285</v>
      </c>
      <c r="L23" s="12">
        <f>VLOOKUP(A23,'Données projet'!$A$35:$I$55,9,0)</f>
        <v>26</v>
      </c>
      <c r="M23" s="12">
        <f t="array" ref="M23">INDEX(L:L,MIN(IF(ISNUMBER(L23:L219),ROW(L23:L219),"")))</f>
        <v>26</v>
      </c>
      <c r="N23" s="13">
        <f>IF('Données projet'!$A$36&gt;35,N22+M23-V22,IF(A23&lt;'Données projet'!$A$36,$K$205^A23,IF(A23='Données projet'!$A$36,'Données projet'!$B$36,N22+M23-V22)))</f>
        <v>285</v>
      </c>
      <c r="O23" s="13">
        <f>N23*VLOOKUP('Données projet'!$B$9,Paramètres!$A$1:$I$89,3,0)*VLOOKUP('Données projet'!$B$9,Paramètres!$A$1:$I$89,5,0)</f>
        <v>159.315</v>
      </c>
      <c r="P23" s="13">
        <f t="shared" si="33"/>
        <v>40.687973185674707</v>
      </c>
      <c r="Q23" s="20">
        <f t="shared" si="2"/>
        <v>348.33851163171676</v>
      </c>
      <c r="R23" s="59">
        <f t="shared" si="0"/>
        <v>641.67184496505001</v>
      </c>
      <c r="S23" s="59">
        <f ca="1">AVERAGE(OFFSET($R$3,0,0,'Données projet'!$E$9+1,1))-AVERAGE(OFFSET($H$3,0,0,'Données projet'!$E$9+1,1))</f>
        <v>470.58485082099065</v>
      </c>
      <c r="T23" s="59">
        <f t="shared" si="34"/>
        <v>498.77167507743559</v>
      </c>
      <c r="U23" s="15">
        <f>IF(ISNA(VLOOKUP(A23,'Données projet'!$A$35:$I$55,3,0)),0,VLOOKUP(A23,'Données projet'!$A$35:$I$55,3,0))</f>
        <v>2</v>
      </c>
      <c r="V23" s="15">
        <f>IF(ISNA(VLOOKUP(A23,'Données projet'!$A$35:$I$55,4,0)),0,VLOOKUP(A23,'Données projet'!$A$35:$I$55,4,0))</f>
        <v>45</v>
      </c>
      <c r="W23" s="16">
        <f>IF(ISNA(VLOOKUP(A23,'Données projet'!$A$35:$I$55,5,0)),0%,VLOOKUP(A23,'Données projet'!$A$35:$I$55,5,0)*VLOOKUP('Données projet'!$B$9,Paramètres!$A$1:$I$89,7,0))</f>
        <v>0.11000000000000001</v>
      </c>
      <c r="X23" s="16">
        <f>IF(ISNA(VLOOKUP(A23,'Données projet'!$A$35:$I$55,6,0)),0%,VLOOKUP(A23,'Données projet'!$A$35:$I$55,6,0)*VLOOKUP('Données projet'!$B$9,Paramètres!$A$1:$I$89,7,0))</f>
        <v>0.24750000000000003</v>
      </c>
      <c r="Y23" s="16">
        <f>IF(ISNA(VLOOKUP(A23,'Données projet'!$A$35:$I$55,7,0)),0%,VLOOKUP(A23,'Données projet'!$A$35:$I$55,7,0))</f>
        <v>0.35</v>
      </c>
      <c r="Z23" s="21">
        <f>EXP(-LN(2)/35)*Z22+(1-EXP(-LN(2)/35))/(LN(2)/35)*V23*W23*VLOOKUP('Données projet'!$B$9,Paramètres!$A$1:$I$89,3,0)*0.475*44/12</f>
        <v>3.6706701764239802</v>
      </c>
      <c r="AA23" s="21">
        <f>EXP(-LN(2)/25)*AA22+(1-EXP(-LN(2)/25))/(LN(2)/25)*Calculateur!V23*Calculateur!X23*VLOOKUP('Données projet'!$B$9,Paramètres!$A$1:$I$89,3,0)*0.475*44/12</f>
        <v>13.771846603064908</v>
      </c>
      <c r="AB23" s="21">
        <f>EXP(-LN(2)/2)*AB22+(1-EXP(-LN(2)/2))/(LN(2)/2)*V23*Y23*VLOOKUP('Données projet'!$B$9,Paramètres!$A$1:$I$89,3,0)*0.475*44/12</f>
        <v>11.346880966200525</v>
      </c>
      <c r="AC23" s="22">
        <f t="shared" si="3"/>
        <v>28.789397745689413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4.3352272727272725</v>
      </c>
      <c r="AI23" s="13">
        <f>IF('Données projet'!$A$62&gt;35,AI22+AH23-AQ22,IF(A23&lt;'Données projet'!$A$62,$AF$205^A23,IF(A23='Données projet'!$A$62,'Données projet'!$B$62,AI22+AH23-AQ22)))</f>
        <v>86.704545454545425</v>
      </c>
      <c r="AJ23" s="13">
        <f>AI23*VLOOKUP('Données projet'!$B$10,Paramètres!$A$1:$I$89,3,0)*VLOOKUP('Données projet'!$B$10,Paramètres!$A$1:$I$89,5,0)</f>
        <v>78.450272727272704</v>
      </c>
      <c r="AK23" s="13">
        <f t="shared" si="35"/>
        <v>21.757837441954852</v>
      </c>
      <c r="AL23" s="20">
        <f t="shared" si="4"/>
        <v>174.52912521140465</v>
      </c>
      <c r="AM23" s="59">
        <f t="shared" si="5"/>
        <v>467.86245854473793</v>
      </c>
      <c r="AN23" s="59">
        <f ca="1">AVERAGE(OFFSET($AM$3,0,0,'Données projet'!$E$10+1,1))-AVERAGE(OFFSET($H$3,0,0,'Données projet'!$E$10+1,1))</f>
        <v>321.13571401604742</v>
      </c>
      <c r="AO23" s="59">
        <f t="shared" si="36"/>
        <v>225.55225019382294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10.100999999999999</v>
      </c>
      <c r="D24" s="11">
        <f t="shared" si="32"/>
        <v>3.556382161371384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105.42540615795455</v>
      </c>
      <c r="H24" s="67">
        <f t="shared" si="1"/>
        <v>317.11994059772178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25.8</v>
      </c>
      <c r="N24" s="13">
        <f>IF('Données projet'!$A$36&gt;35,N23+M24-V23,IF(A24&lt;'Données projet'!$A$36,$K$205^A24,IF(A24='Données projet'!$A$36,'Données projet'!$B$36,N23+M24-V23)))</f>
        <v>265.8</v>
      </c>
      <c r="O24" s="13">
        <f>N24*VLOOKUP('Données projet'!$B$9,Paramètres!$A$1:$I$89,3,0)*VLOOKUP('Données projet'!$B$9,Paramètres!$A$1:$I$89,5,0)</f>
        <v>148.5822</v>
      </c>
      <c r="P24" s="13">
        <f t="shared" si="33"/>
        <v>38.256207612337192</v>
      </c>
      <c r="Q24" s="20">
        <f t="shared" si="2"/>
        <v>325.41022659148729</v>
      </c>
      <c r="R24" s="59">
        <f t="shared" si="0"/>
        <v>618.7435599248206</v>
      </c>
      <c r="S24" s="59">
        <f ca="1">AVERAGE(OFFSET($R$3,0,0,'Données projet'!$E$9+1,1))-AVERAGE(OFFSET($H$3,0,0,'Données projet'!$E$9+1,1))</f>
        <v>470.58485082099065</v>
      </c>
      <c r="T24" s="59">
        <f t="shared" si="34"/>
        <v>498.77167507743559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3.5986905731520418</v>
      </c>
      <c r="AA24" s="21">
        <f>EXP(-LN(2)/25)*AA23+(1-EXP(-LN(2)/25))/(LN(2)/25)*Calculateur!V24*Calculateur!X24*VLOOKUP('Données projet'!$B$9,Paramètres!$A$1:$I$89,3,0)*0.475*44/12</f>
        <v>13.395254733474161</v>
      </c>
      <c r="AB24" s="21">
        <f>EXP(-LN(2)/2)*AB23+(1-EXP(-LN(2)/2))/(LN(2)/2)*V24*Y24*VLOOKUP('Données projet'!$B$9,Paramètres!$A$1:$I$89,3,0)*0.475*44/12</f>
        <v>8.0234564765169551</v>
      </c>
      <c r="AC24" s="22">
        <f t="shared" si="3"/>
        <v>25.017401783143157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4.3352272727272725</v>
      </c>
      <c r="AI24" s="13">
        <f>IF('Données projet'!$A$62&gt;35,AI23+AH24-AQ23,IF(A24&lt;'Données projet'!$A$62,$AF$205^A24,IF(A24='Données projet'!$A$62,'Données projet'!$B$62,AI23+AH24-AQ23)))</f>
        <v>91.039772727272691</v>
      </c>
      <c r="AJ24" s="13">
        <f>AI24*VLOOKUP('Données projet'!$B$10,Paramètres!$A$1:$I$89,3,0)*VLOOKUP('Données projet'!$B$10,Paramètres!$A$1:$I$89,5,0)</f>
        <v>82.372786363636322</v>
      </c>
      <c r="AK24" s="13">
        <f t="shared" si="35"/>
        <v>22.716352142318268</v>
      </c>
      <c r="AL24" s="20">
        <f t="shared" si="4"/>
        <v>183.0302495645376</v>
      </c>
      <c r="AM24" s="59">
        <f t="shared" si="5"/>
        <v>476.36358289787091</v>
      </c>
      <c r="AN24" s="59">
        <f ca="1">AVERAGE(OFFSET($AM$3,0,0,'Données projet'!$E$10+1,1))-AVERAGE(OFFSET($H$3,0,0,'Données projet'!$E$10+1,1))</f>
        <v>321.13571401604742</v>
      </c>
      <c r="AO24" s="59">
        <f t="shared" si="36"/>
        <v>225.55225019382294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10.581999999999999</v>
      </c>
      <c r="D25" s="11">
        <f t="shared" si="32"/>
        <v>3.7056136299176217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110.29035082743428</v>
      </c>
      <c r="H25" s="67">
        <f t="shared" si="1"/>
        <v>318.21759373877319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25.8</v>
      </c>
      <c r="N25" s="13">
        <f>IF('Données projet'!$A$36&gt;35,N24+M25-V24,IF(A25&lt;'Données projet'!$A$36,$K$205^A25,IF(A25='Données projet'!$A$36,'Données projet'!$B$36,N24+M25-V24)))</f>
        <v>291.60000000000002</v>
      </c>
      <c r="O25" s="13">
        <f>N25*VLOOKUP('Données projet'!$B$9,Paramètres!$A$1:$I$89,3,0)*VLOOKUP('Données projet'!$B$9,Paramètres!$A$1:$I$89,5,0)</f>
        <v>163.0044</v>
      </c>
      <c r="P25" s="13">
        <f t="shared" si="33"/>
        <v>41.519430766049162</v>
      </c>
      <c r="Q25" s="20">
        <f t="shared" si="2"/>
        <v>356.21233858420231</v>
      </c>
      <c r="R25" s="59">
        <f t="shared" si="0"/>
        <v>649.54567191753563</v>
      </c>
      <c r="S25" s="59">
        <f ca="1">AVERAGE(OFFSET($R$3,0,0,'Données projet'!$E$9+1,1))-AVERAGE(OFFSET($H$3,0,0,'Données projet'!$E$9+1,1))</f>
        <v>470.58485082099065</v>
      </c>
      <c r="T25" s="59">
        <f t="shared" si="34"/>
        <v>498.77167507743559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3.5281224459970431</v>
      </c>
      <c r="AA25" s="21">
        <f>EXP(-LN(2)/25)*AA24+(1-EXP(-LN(2)/25))/(LN(2)/25)*Calculateur!V25*Calculateur!X25*VLOOKUP('Données projet'!$B$9,Paramètres!$A$1:$I$89,3,0)*0.475*44/12</f>
        <v>13.028960788361479</v>
      </c>
      <c r="AB25" s="21">
        <f>EXP(-LN(2)/2)*AB24+(1-EXP(-LN(2)/2))/(LN(2)/2)*V25*Y25*VLOOKUP('Données projet'!$B$9,Paramètres!$A$1:$I$89,3,0)*0.475*44/12</f>
        <v>5.6734404831002623</v>
      </c>
      <c r="AC25" s="22">
        <f t="shared" si="3"/>
        <v>22.230523717458784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4.3352272727272725</v>
      </c>
      <c r="AI25" s="13">
        <f>IF('Données projet'!$A$62&gt;35,AI24+AH25-AQ24,IF(A25&lt;'Données projet'!$A$62,$AF$205^A25,IF(A25='Données projet'!$A$62,'Données projet'!$B$62,AI24+AH25-AQ24)))</f>
        <v>95.374999999999957</v>
      </c>
      <c r="AJ25" s="13">
        <f>AI25*VLOOKUP('Données projet'!$B$10,Paramètres!$A$1:$I$89,3,0)*VLOOKUP('Données projet'!$B$10,Paramètres!$A$1:$I$89,5,0)</f>
        <v>86.295299999999969</v>
      </c>
      <c r="AK25" s="13">
        <f t="shared" si="35"/>
        <v>23.66956651478727</v>
      </c>
      <c r="AL25" s="20">
        <f t="shared" si="4"/>
        <v>191.52214251325447</v>
      </c>
      <c r="AM25" s="59">
        <f t="shared" si="5"/>
        <v>484.85547584658775</v>
      </c>
      <c r="AN25" s="59">
        <f ca="1">AVERAGE(OFFSET($AM$3,0,0,'Données projet'!$E$10+1,1))-AVERAGE(OFFSET($H$3,0,0,'Données projet'!$E$10+1,1))</f>
        <v>321.13571401604742</v>
      </c>
      <c r="AO25" s="59">
        <f t="shared" si="36"/>
        <v>225.55225019382294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11.062999999999999</v>
      </c>
      <c r="D26" s="11">
        <f t="shared" si="32"/>
        <v>3.8540573269792704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115.14921445387506</v>
      </c>
      <c r="H26" s="67">
        <f t="shared" si="1"/>
        <v>319.31387484448885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25.8</v>
      </c>
      <c r="N26" s="13">
        <f>IF('Données projet'!$A$36&gt;35,N25+M26-V25,IF(A26&lt;'Données projet'!$A$36,$K$205^A26,IF(A26='Données projet'!$A$36,'Données projet'!$B$36,N25+M26-V25)))</f>
        <v>317.40000000000003</v>
      </c>
      <c r="O26" s="13">
        <f>N26*VLOOKUP('Données projet'!$B$9,Paramètres!$A$1:$I$89,3,0)*VLOOKUP('Données projet'!$B$9,Paramètres!$A$1:$I$89,5,0)</f>
        <v>177.42660000000001</v>
      </c>
      <c r="P26" s="13">
        <f t="shared" si="33"/>
        <v>44.749173138651841</v>
      </c>
      <c r="Q26" s="20">
        <f t="shared" si="2"/>
        <v>386.95613821648527</v>
      </c>
      <c r="R26" s="59">
        <f t="shared" si="0"/>
        <v>680.28947154981859</v>
      </c>
      <c r="S26" s="59">
        <f ca="1">AVERAGE(OFFSET($R$3,0,0,'Données projet'!$E$9+1,1))-AVERAGE(OFFSET($H$3,0,0,'Données projet'!$E$9+1,1))</f>
        <v>470.58485082099065</v>
      </c>
      <c r="T26" s="59">
        <f t="shared" si="34"/>
        <v>498.77167507743559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3.4589381167732465</v>
      </c>
      <c r="AA26" s="21">
        <f>EXP(-LN(2)/25)*AA25+(1-EXP(-LN(2)/25))/(LN(2)/25)*Calculateur!V26*Calculateur!X26*VLOOKUP('Données projet'!$B$9,Paramètres!$A$1:$I$89,3,0)*0.475*44/12</f>
        <v>12.672683170440465</v>
      </c>
      <c r="AB26" s="21">
        <f>EXP(-LN(2)/2)*AB25+(1-EXP(-LN(2)/2))/(LN(2)/2)*V26*Y26*VLOOKUP('Données projet'!$B$9,Paramètres!$A$1:$I$89,3,0)*0.475*44/12</f>
        <v>4.0117282382584776</v>
      </c>
      <c r="AC26" s="22">
        <f t="shared" si="3"/>
        <v>20.143349525472189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4.3352272727272725</v>
      </c>
      <c r="AI26" s="13">
        <f>IF('Données projet'!$A$62&gt;35,AI25+AH26-AQ25,IF(A26&lt;'Données projet'!$A$62,$AF$205^A26,IF(A26='Données projet'!$A$62,'Données projet'!$B$62,AI25+AH26-AQ25)))</f>
        <v>99.710227272727224</v>
      </c>
      <c r="AJ26" s="13">
        <f>AI26*VLOOKUP('Données projet'!$B$10,Paramètres!$A$1:$I$89,3,0)*VLOOKUP('Données projet'!$B$10,Paramètres!$A$1:$I$89,5,0)</f>
        <v>90.217813636363587</v>
      </c>
      <c r="AK26" s="13">
        <f t="shared" si="35"/>
        <v>24.61774900551816</v>
      </c>
      <c r="AL26" s="20">
        <f t="shared" si="4"/>
        <v>200.00527160127737</v>
      </c>
      <c r="AM26" s="59">
        <f t="shared" si="5"/>
        <v>493.33860493461066</v>
      </c>
      <c r="AN26" s="59">
        <f ca="1">AVERAGE(OFFSET($AM$3,0,0,'Données projet'!$E$10+1,1))-AVERAGE(OFFSET($H$3,0,0,'Données projet'!$E$10+1,1))</f>
        <v>321.13571401604742</v>
      </c>
      <c r="AO26" s="59">
        <f t="shared" si="36"/>
        <v>225.55225019382294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11.543999999999999</v>
      </c>
      <c r="D27" s="11">
        <f t="shared" si="32"/>
        <v>4.0017514182509002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120.00229164965606</v>
      </c>
      <c r="H27" s="67">
        <f t="shared" si="1"/>
        <v>320.40885038678698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25.8</v>
      </c>
      <c r="N27" s="13">
        <f>IF('Données projet'!$A$36&gt;35,N26+M27-V26,IF(A27&lt;'Données projet'!$A$36,$K$205^A27,IF(A27='Données projet'!$A$36,'Données projet'!$B$36,N26+M27-V26)))</f>
        <v>343.20000000000005</v>
      </c>
      <c r="O27" s="13">
        <f>N27*VLOOKUP('Données projet'!$B$9,Paramètres!$A$1:$I$89,3,0)*VLOOKUP('Données projet'!$B$9,Paramètres!$A$1:$I$89,5,0)</f>
        <v>191.84880000000004</v>
      </c>
      <c r="P27" s="13">
        <f t="shared" si="33"/>
        <v>47.948465637272896</v>
      </c>
      <c r="Q27" s="20">
        <f t="shared" si="2"/>
        <v>417.64690431825039</v>
      </c>
      <c r="R27" s="59">
        <f t="shared" si="0"/>
        <v>710.98023765158371</v>
      </c>
      <c r="S27" s="59">
        <f ca="1">AVERAGE(OFFSET($R$3,0,0,'Données projet'!$E$9+1,1))-AVERAGE(OFFSET($H$3,0,0,'Données projet'!$E$9+1,1))</f>
        <v>470.58485082099065</v>
      </c>
      <c r="T27" s="59">
        <f t="shared" si="34"/>
        <v>498.77167507743559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3.3911104500472544</v>
      </c>
      <c r="AA27" s="21">
        <f>EXP(-LN(2)/25)*AA26+(1-EXP(-LN(2)/25))/(LN(2)/25)*Calculateur!V27*Calculateur!X27*VLOOKUP('Données projet'!$B$9,Paramètres!$A$1:$I$89,3,0)*0.475*44/12</f>
        <v>12.326147982717327</v>
      </c>
      <c r="AB27" s="21">
        <f>EXP(-LN(2)/2)*AB26+(1-EXP(-LN(2)/2))/(LN(2)/2)*V27*Y27*VLOOKUP('Données projet'!$B$9,Paramètres!$A$1:$I$89,3,0)*0.475*44/12</f>
        <v>2.8367202415501311</v>
      </c>
      <c r="AC27" s="22">
        <f t="shared" si="3"/>
        <v>18.553978674314713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4.3352272727272725</v>
      </c>
      <c r="AI27" s="13">
        <f>IF('Données projet'!$A$62&gt;35,AI26+AH27-AQ26,IF(A27&lt;'Données projet'!$A$62,$AF$205^A27,IF(A27='Données projet'!$A$62,'Données projet'!$B$62,AI26+AH27-AQ26)))</f>
        <v>104.04545454545449</v>
      </c>
      <c r="AJ27" s="13">
        <f>AI27*VLOOKUP('Données projet'!$B$10,Paramètres!$A$1:$I$89,3,0)*VLOOKUP('Données projet'!$B$10,Paramètres!$A$1:$I$89,5,0)</f>
        <v>94.14032727272722</v>
      </c>
      <c r="AK27" s="13">
        <f t="shared" si="35"/>
        <v>25.561143397467401</v>
      </c>
      <c r="AL27" s="20">
        <f t="shared" si="4"/>
        <v>208.48006141725565</v>
      </c>
      <c r="AM27" s="59">
        <f t="shared" si="5"/>
        <v>501.81339475058894</v>
      </c>
      <c r="AN27" s="59">
        <f ca="1">AVERAGE(OFFSET($AM$3,0,0,'Données projet'!$E$10+1,1))-AVERAGE(OFFSET($H$3,0,0,'Données projet'!$E$10+1,1))</f>
        <v>321.13571401604742</v>
      </c>
      <c r="AO27" s="59">
        <f t="shared" si="36"/>
        <v>225.55225019382294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12.024999999999999</v>
      </c>
      <c r="D28" s="11">
        <f t="shared" si="32"/>
        <v>4.1487307090142194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124.84985108712732</v>
      </c>
      <c r="H28" s="67">
        <f t="shared" si="1"/>
        <v>321.50258098486643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369</v>
      </c>
      <c r="L28" s="12">
        <f>VLOOKUP(A28,'Données projet'!$A$35:$I$55,9,0)</f>
        <v>25.8</v>
      </c>
      <c r="M28" s="12">
        <f t="array" ref="M28">INDEX(L:L,MIN(IF(ISNUMBER(L28:L224),ROW(L28:L224),"")))</f>
        <v>25.8</v>
      </c>
      <c r="N28" s="13">
        <f>IF('Données projet'!$A$36&gt;35,N27+M28-V27,IF(A28&lt;'Données projet'!$A$36,$K$205^A28,IF(A28='Données projet'!$A$36,'Données projet'!$B$36,N27+M28-V27)))</f>
        <v>369.00000000000006</v>
      </c>
      <c r="O28" s="13">
        <f>N28*VLOOKUP('Données projet'!$B$9,Paramètres!$A$1:$I$89,3,0)*VLOOKUP('Données projet'!$B$9,Paramètres!$A$1:$I$89,5,0)</f>
        <v>206.27100000000002</v>
      </c>
      <c r="P28" s="13">
        <f t="shared" si="33"/>
        <v>51.119857609331589</v>
      </c>
      <c r="Q28" s="20">
        <f t="shared" si="2"/>
        <v>448.28907700291916</v>
      </c>
      <c r="R28" s="59">
        <f t="shared" si="0"/>
        <v>741.62241033625241</v>
      </c>
      <c r="S28" s="59">
        <f ca="1">AVERAGE(OFFSET($R$3,0,0,'Données projet'!$E$9+1,1))-AVERAGE(OFFSET($H$3,0,0,'Données projet'!$E$9+1,1))</f>
        <v>470.58485082099065</v>
      </c>
      <c r="T28" s="59">
        <f t="shared" si="34"/>
        <v>498.77167507743559</v>
      </c>
      <c r="U28" s="15">
        <f>IF(ISNA(VLOOKUP(A28,'Données projet'!$A$35:$I$55,3,0)),0,VLOOKUP(A28,'Données projet'!$A$35:$I$55,3,0))</f>
        <v>3</v>
      </c>
      <c r="V28" s="15">
        <f>IF(ISNA(VLOOKUP(A28,'Données projet'!$A$35:$I$55,4,0)),0,VLOOKUP(A28,'Données projet'!$A$35:$I$55,4,0))</f>
        <v>52</v>
      </c>
      <c r="W28" s="16">
        <f>IF(ISNA(VLOOKUP(A28,'Données projet'!$A$35:$I$55,5,0)),0%,VLOOKUP(A28,'Données projet'!$A$35:$I$55,5,0)*VLOOKUP('Données projet'!$B$9,Paramètres!$A$1:$I$89,7,0))</f>
        <v>0.16500000000000001</v>
      </c>
      <c r="X28" s="16">
        <f>IF(ISNA(VLOOKUP(A28,'Données projet'!$A$35:$I$55,6,0)),0%,VLOOKUP(A28,'Données projet'!$A$35:$I$55,6,0)*VLOOKUP('Données projet'!$B$9,Paramètres!$A$1:$I$89,7,0))</f>
        <v>0.21450000000000002</v>
      </c>
      <c r="Y28" s="16">
        <f>IF(ISNA(VLOOKUP(A28,'Données projet'!$A$35:$I$55,7,0)),0%,VLOOKUP(A28,'Données projet'!$A$35:$I$55,7,0))</f>
        <v>0.31</v>
      </c>
      <c r="Z28" s="21">
        <f>EXP(-LN(2)/35)*Z27+(1-EXP(-LN(2)/35))/(LN(2)/35)*V28*W28*VLOOKUP('Données projet'!$B$9,Paramètres!$A$1:$I$89,3,0)*0.475*44/12</f>
        <v>9.6871078149631984</v>
      </c>
      <c r="AA28" s="21">
        <f>EXP(-LN(2)/25)*AA27+(1-EXP(-LN(2)/25))/(LN(2)/25)*Calculateur!V28*Calculateur!X28*VLOOKUP('Données projet'!$B$9,Paramètres!$A$1:$I$89,3,0)*0.475*44/12</f>
        <v>20.227765245025243</v>
      </c>
      <c r="AB28" s="21">
        <f>EXP(-LN(2)/2)*AB27+(1-EXP(-LN(2)/2))/(LN(2)/2)*V28*Y28*VLOOKUP('Données projet'!$B$9,Paramètres!$A$1:$I$89,3,0)*0.475*44/12</f>
        <v>12.208499930724026</v>
      </c>
      <c r="AC28" s="22">
        <f t="shared" si="3"/>
        <v>42.123372990712468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4.3352272727272725</v>
      </c>
      <c r="AI28" s="13">
        <f>IF('Données projet'!$A$62&gt;35,AI27+AH28-AQ27,IF(A28&lt;'Données projet'!$A$62,$AF$205^A28,IF(A28='Données projet'!$A$62,'Données projet'!$B$62,AI27+AH28-AQ27)))</f>
        <v>108.38068181818176</v>
      </c>
      <c r="AJ28" s="13">
        <f>AI28*VLOOKUP('Données projet'!$B$10,Paramètres!$A$1:$I$89,3,0)*VLOOKUP('Données projet'!$B$10,Paramètres!$A$1:$I$89,5,0)</f>
        <v>98.062840909090852</v>
      </c>
      <c r="AK28" s="13">
        <f t="shared" si="35"/>
        <v>26.499972008991026</v>
      </c>
      <c r="AL28" s="20">
        <f t="shared" si="4"/>
        <v>216.94689916565926</v>
      </c>
      <c r="AM28" s="59">
        <f t="shared" si="5"/>
        <v>510.28023249899258</v>
      </c>
      <c r="AN28" s="59">
        <f ca="1">AVERAGE(OFFSET($AM$3,0,0,'Données projet'!$E$10+1,1))-AVERAGE(OFFSET($H$3,0,0,'Données projet'!$E$10+1,1))</f>
        <v>321.13571401604742</v>
      </c>
      <c r="AO28" s="59">
        <f t="shared" si="36"/>
        <v>225.55225019382294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12.505999999999998</v>
      </c>
      <c r="D29" s="11">
        <f t="shared" si="32"/>
        <v>4.2950270625211857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129.69213872823372</v>
      </c>
      <c r="H29" s="67">
        <f t="shared" si="1"/>
        <v>322.59512213389104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24.6</v>
      </c>
      <c r="N29" s="13">
        <f>IF('Données projet'!$A$36&gt;35,N28+M29-V28,IF(A29&lt;'Données projet'!$A$36,$K$205^A29,IF(A29='Données projet'!$A$36,'Données projet'!$B$36,N28+M29-V28)))</f>
        <v>341.60000000000008</v>
      </c>
      <c r="O29" s="13">
        <f>N29*VLOOKUP('Données projet'!$B$9,Paramètres!$A$1:$I$89,3,0)*VLOOKUP('Données projet'!$B$9,Paramètres!$A$1:$I$89,5,0)</f>
        <v>190.95440000000005</v>
      </c>
      <c r="P29" s="13">
        <f t="shared" si="33"/>
        <v>47.750895568819487</v>
      </c>
      <c r="Q29" s="20">
        <f t="shared" si="2"/>
        <v>415.74505644902729</v>
      </c>
      <c r="R29" s="59">
        <f t="shared" si="0"/>
        <v>709.07838978236055</v>
      </c>
      <c r="S29" s="59">
        <f ca="1">AVERAGE(OFFSET($R$3,0,0,'Données projet'!$E$9+1,1))-AVERAGE(OFFSET($H$3,0,0,'Données projet'!$E$9+1,1))</f>
        <v>470.58485082099065</v>
      </c>
      <c r="T29" s="59">
        <f t="shared" si="34"/>
        <v>498.77167507743559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9.4971495392641163</v>
      </c>
      <c r="AA29" s="21">
        <f>EXP(-LN(2)/25)*AA28+(1-EXP(-LN(2)/25))/(LN(2)/25)*Calculateur!V29*Calculateur!X29*VLOOKUP('Données projet'!$B$9,Paramètres!$A$1:$I$89,3,0)*0.475*44/12</f>
        <v>19.674635940668086</v>
      </c>
      <c r="AB29" s="21">
        <f>EXP(-LN(2)/2)*AB28+(1-EXP(-LN(2)/2))/(LN(2)/2)*V29*Y29*VLOOKUP('Données projet'!$B$9,Paramètres!$A$1:$I$89,3,0)*0.475*44/12</f>
        <v>8.6327130891304549</v>
      </c>
      <c r="AC29" s="22">
        <f t="shared" si="3"/>
        <v>37.804498569062659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4.3352272727272725</v>
      </c>
      <c r="AI29" s="13">
        <f>IF('Données projet'!$A$62&gt;35,AI28+AH29-AQ28,IF(A29&lt;'Données projet'!$A$62,$AF$205^A29,IF(A29='Données projet'!$A$62,'Données projet'!$B$62,AI28+AH29-AQ28)))</f>
        <v>112.71590909090902</v>
      </c>
      <c r="AJ29" s="13">
        <f>AI29*VLOOKUP('Données projet'!$B$10,Paramètres!$A$1:$I$89,3,0)*VLOOKUP('Données projet'!$B$10,Paramètres!$A$1:$I$89,5,0)</f>
        <v>101.98535454545448</v>
      </c>
      <c r="AK29" s="13">
        <f t="shared" si="35"/>
        <v>27.43443836626232</v>
      </c>
      <c r="AL29" s="20">
        <f t="shared" si="4"/>
        <v>225.40613932124006</v>
      </c>
      <c r="AM29" s="59">
        <f t="shared" si="5"/>
        <v>518.73947265457332</v>
      </c>
      <c r="AN29" s="59">
        <f ca="1">AVERAGE(OFFSET($AM$3,0,0,'Données projet'!$E$10+1,1))-AVERAGE(OFFSET($H$3,0,0,'Données projet'!$E$10+1,1))</f>
        <v>321.13571401604742</v>
      </c>
      <c r="AO29" s="59">
        <f t="shared" si="36"/>
        <v>225.55225019382294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12.986999999999998</v>
      </c>
      <c r="D30" s="11">
        <f t="shared" si="32"/>
        <v>4.4406697522000558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134.52938054329866</v>
      </c>
      <c r="H30" s="67">
        <f t="shared" si="1"/>
        <v>323.68652481841508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24.6</v>
      </c>
      <c r="N30" s="13">
        <f>IF('Données projet'!$A$36&gt;35,N29+M30-V29,IF(A30&lt;'Données projet'!$A$36,$K$205^A30,IF(A30='Données projet'!$A$36,'Données projet'!$B$36,N29+M30-V29)))</f>
        <v>366.2000000000001</v>
      </c>
      <c r="O30" s="13">
        <f>N30*VLOOKUP('Données projet'!$B$9,Paramètres!$A$1:$I$89,3,0)*VLOOKUP('Données projet'!$B$9,Paramètres!$A$1:$I$89,5,0)</f>
        <v>204.70580000000007</v>
      </c>
      <c r="P30" s="13">
        <f t="shared" si="33"/>
        <v>50.776956172604621</v>
      </c>
      <c r="Q30" s="20">
        <f t="shared" si="2"/>
        <v>444.96580033395315</v>
      </c>
      <c r="R30" s="59">
        <f t="shared" si="0"/>
        <v>738.29913366728647</v>
      </c>
      <c r="S30" s="59">
        <f ca="1">AVERAGE(OFFSET($R$3,0,0,'Données projet'!$E$9+1,1))-AVERAGE(OFFSET($H$3,0,0,'Données projet'!$E$9+1,1))</f>
        <v>470.58485082099065</v>
      </c>
      <c r="T30" s="59">
        <f t="shared" si="34"/>
        <v>498.77167507743559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9.3109162294883863</v>
      </c>
      <c r="AA30" s="21">
        <f>EXP(-LN(2)/25)*AA29+(1-EXP(-LN(2)/25))/(LN(2)/25)*Calculateur!V30*Calculateur!X30*VLOOKUP('Données projet'!$B$9,Paramètres!$A$1:$I$89,3,0)*0.475*44/12</f>
        <v>19.13663198622638</v>
      </c>
      <c r="AB30" s="21">
        <f>EXP(-LN(2)/2)*AB29+(1-EXP(-LN(2)/2))/(LN(2)/2)*V30*Y30*VLOOKUP('Données projet'!$B$9,Paramètres!$A$1:$I$89,3,0)*0.475*44/12</f>
        <v>6.1042499653620137</v>
      </c>
      <c r="AC30" s="22">
        <f t="shared" si="3"/>
        <v>34.551798181076784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4.3352272727272725</v>
      </c>
      <c r="AI30" s="13">
        <f>IF('Données projet'!$A$62&gt;35,AI29+AH30-AQ29,IF(A30&lt;'Données projet'!$A$62,$AF$205^A30,IF(A30='Données projet'!$A$62,'Données projet'!$B$62,AI29+AH30-AQ29)))</f>
        <v>117.05113636363629</v>
      </c>
      <c r="AJ30" s="13">
        <f>AI30*VLOOKUP('Données projet'!$B$10,Paramètres!$A$1:$I$89,3,0)*VLOOKUP('Données projet'!$B$10,Paramètres!$A$1:$I$89,5,0)</f>
        <v>105.90786818181812</v>
      </c>
      <c r="AK30" s="13">
        <f t="shared" si="35"/>
        <v>28.364729452983948</v>
      </c>
      <c r="AL30" s="20">
        <f t="shared" si="4"/>
        <v>233.85810754728024</v>
      </c>
      <c r="AM30" s="59">
        <f t="shared" si="5"/>
        <v>527.19144088061353</v>
      </c>
      <c r="AN30" s="59">
        <f ca="1">AVERAGE(OFFSET($AM$3,0,0,'Données projet'!$E$10+1,1))-AVERAGE(OFFSET($H$3,0,0,'Données projet'!$E$10+1,1))</f>
        <v>321.13571401604742</v>
      </c>
      <c r="AO30" s="59">
        <f t="shared" si="36"/>
        <v>225.55225019382294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13.467999999999998</v>
      </c>
      <c r="D31" s="11">
        <f t="shared" si="32"/>
        <v>4.5856857602159096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139.36178481570172</v>
      </c>
      <c r="H31" s="67">
        <f t="shared" si="1"/>
        <v>324.77683603237602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24.6</v>
      </c>
      <c r="N31" s="13">
        <f>IF('Données projet'!$A$36&gt;35,N30+M31-V30,IF(A31&lt;'Données projet'!$A$36,$K$205^A31,IF(A31='Données projet'!$A$36,'Données projet'!$B$36,N30+M31-V30)))</f>
        <v>390.80000000000013</v>
      </c>
      <c r="O31" s="13">
        <f>N31*VLOOKUP('Données projet'!$B$9,Paramètres!$A$1:$I$89,3,0)*VLOOKUP('Données projet'!$B$9,Paramètres!$A$1:$I$89,5,0)</f>
        <v>218.45720000000006</v>
      </c>
      <c r="P31" s="13">
        <f t="shared" si="33"/>
        <v>53.779428547055552</v>
      </c>
      <c r="Q31" s="20">
        <f t="shared" si="2"/>
        <v>474.14546138612178</v>
      </c>
      <c r="R31" s="59">
        <f t="shared" si="0"/>
        <v>767.4787947194551</v>
      </c>
      <c r="S31" s="59">
        <f ca="1">AVERAGE(OFFSET($R$3,0,0,'Données projet'!$E$9+1,1))-AVERAGE(OFFSET($H$3,0,0,'Données projet'!$E$9+1,1))</f>
        <v>470.58485082099065</v>
      </c>
      <c r="T31" s="59">
        <f t="shared" si="34"/>
        <v>498.77167507743559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9.1283348413262555</v>
      </c>
      <c r="AA31" s="21">
        <f>EXP(-LN(2)/25)*AA30+(1-EXP(-LN(2)/25))/(LN(2)/25)*Calculateur!V31*Calculateur!X31*VLOOKUP('Données projet'!$B$9,Paramètres!$A$1:$I$89,3,0)*0.475*44/12</f>
        <v>18.61333977821128</v>
      </c>
      <c r="AB31" s="21">
        <f>EXP(-LN(2)/2)*AB30+(1-EXP(-LN(2)/2))/(LN(2)/2)*V31*Y31*VLOOKUP('Données projet'!$B$9,Paramètres!$A$1:$I$89,3,0)*0.475*44/12</f>
        <v>4.3163565445652283</v>
      </c>
      <c r="AC31" s="22">
        <f t="shared" si="3"/>
        <v>32.058031164102765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4.3352272727272725</v>
      </c>
      <c r="AI31" s="13">
        <f>IF('Données projet'!$A$62&gt;35,AI30+AH31-AQ30,IF(A31&lt;'Données projet'!$A$62,$AF$205^A31,IF(A31='Données projet'!$A$62,'Données projet'!$B$62,AI30+AH31-AQ30)))</f>
        <v>121.38636363636355</v>
      </c>
      <c r="AJ31" s="13">
        <f>AI31*VLOOKUP('Données projet'!$B$10,Paramètres!$A$1:$I$89,3,0)*VLOOKUP('Données projet'!$B$10,Paramètres!$A$1:$I$89,5,0)</f>
        <v>109.83038181818173</v>
      </c>
      <c r="AK31" s="13">
        <f t="shared" si="35"/>
        <v>29.291017617440126</v>
      </c>
      <c r="AL31" s="20">
        <f t="shared" si="4"/>
        <v>242.30310401704142</v>
      </c>
      <c r="AM31" s="59">
        <f t="shared" si="5"/>
        <v>535.63643735037476</v>
      </c>
      <c r="AN31" s="59">
        <f ca="1">AVERAGE(OFFSET($AM$3,0,0,'Données projet'!$E$10+1,1))-AVERAGE(OFFSET($H$3,0,0,'Données projet'!$E$10+1,1))</f>
        <v>321.13571401604742</v>
      </c>
      <c r="AO31" s="59">
        <f t="shared" si="36"/>
        <v>225.55225019382294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13.948999999999998</v>
      </c>
      <c r="D32" s="11">
        <f t="shared" si="32"/>
        <v>4.7301000321811131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144.18954410806472</v>
      </c>
      <c r="H32" s="67">
        <f t="shared" si="1"/>
        <v>325.86609922271543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24.6</v>
      </c>
      <c r="N32" s="13">
        <f>IF('Données projet'!$A$36&gt;35,N31+M32-V31,IF(A32&lt;'Données projet'!$A$36,$K$205^A32,IF(A32='Données projet'!$A$36,'Données projet'!$B$36,N31+M32-V31)))</f>
        <v>415.40000000000015</v>
      </c>
      <c r="O32" s="13">
        <f>N32*VLOOKUP('Données projet'!$B$9,Paramètres!$A$1:$I$89,3,0)*VLOOKUP('Données projet'!$B$9,Paramètres!$A$1:$I$89,5,0)</f>
        <v>232.2086000000001</v>
      </c>
      <c r="P32" s="13">
        <f t="shared" si="33"/>
        <v>56.759966547343083</v>
      </c>
      <c r="Q32" s="20">
        <f t="shared" si="2"/>
        <v>503.28692006995601</v>
      </c>
      <c r="R32" s="59">
        <f t="shared" si="0"/>
        <v>796.62025340328933</v>
      </c>
      <c r="S32" s="59">
        <f ca="1">AVERAGE(OFFSET($R$3,0,0,'Données projet'!$E$9+1,1))-AVERAGE(OFFSET($H$3,0,0,'Données projet'!$E$9+1,1))</f>
        <v>470.58485082099065</v>
      </c>
      <c r="T32" s="59">
        <f t="shared" si="34"/>
        <v>498.77167507743559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8.9493337628223326</v>
      </c>
      <c r="AA32" s="21">
        <f>EXP(-LN(2)/25)*AA31+(1-EXP(-LN(2)/25))/(LN(2)/25)*Calculateur!V32*Calculateur!X32*VLOOKUP('Données projet'!$B$9,Paramètres!$A$1:$I$89,3,0)*0.475*44/12</f>
        <v>18.104357023143095</v>
      </c>
      <c r="AB32" s="21">
        <f>EXP(-LN(2)/2)*AB31+(1-EXP(-LN(2)/2))/(LN(2)/2)*V32*Y32*VLOOKUP('Données projet'!$B$9,Paramètres!$A$1:$I$89,3,0)*0.475*44/12</f>
        <v>3.0521249826810073</v>
      </c>
      <c r="AC32" s="22">
        <f t="shared" si="3"/>
        <v>30.105815768646437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4.3352272727272725</v>
      </c>
      <c r="AI32" s="13">
        <f>IF('Données projet'!$A$62&gt;35,AI31+AH32-AQ31,IF(A32&lt;'Données projet'!$A$62,$AF$205^A32,IF(A32='Données projet'!$A$62,'Données projet'!$B$62,AI31+AH32-AQ31)))</f>
        <v>125.72159090909082</v>
      </c>
      <c r="AJ32" s="13">
        <f>AI32*VLOOKUP('Données projet'!$B$10,Paramètres!$A$1:$I$89,3,0)*VLOOKUP('Données projet'!$B$10,Paramètres!$A$1:$I$89,5,0)</f>
        <v>113.75289545454538</v>
      </c>
      <c r="AK32" s="13">
        <f t="shared" si="35"/>
        <v>30.213462199456867</v>
      </c>
      <c r="AL32" s="20">
        <f t="shared" si="4"/>
        <v>250.74140624738729</v>
      </c>
      <c r="AM32" s="59">
        <f t="shared" si="5"/>
        <v>544.07473958072057</v>
      </c>
      <c r="AN32" s="59">
        <f ca="1">AVERAGE(OFFSET($AM$3,0,0,'Données projet'!$E$10+1,1))-AVERAGE(OFFSET($H$3,0,0,'Données projet'!$E$10+1,1))</f>
        <v>321.13571401604742</v>
      </c>
      <c r="AO32" s="59">
        <f t="shared" si="36"/>
        <v>225.55225019382294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14.429999999999998</v>
      </c>
      <c r="D33" s="11">
        <f t="shared" si="32"/>
        <v>4.8739356957462956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149.01283694962049</v>
      </c>
      <c r="H33" s="67">
        <f t="shared" si="1"/>
        <v>326.95435467009145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440</v>
      </c>
      <c r="L33" s="12">
        <f>VLOOKUP(A33,'Données projet'!$A$35:$I$55,9,0)</f>
        <v>24.6</v>
      </c>
      <c r="M33" s="12">
        <f t="array" ref="M33">INDEX(L:L,MIN(IF(ISNUMBER(L33:L229),ROW(L33:L229),"")))</f>
        <v>24.6</v>
      </c>
      <c r="N33" s="13">
        <f>IF('Données projet'!$A$36&gt;35,N32+M33-V32,IF(A33&lt;'Données projet'!$A$36,$K$205^A33,IF(A33='Données projet'!$A$36,'Données projet'!$B$36,N32+M33-V32)))</f>
        <v>440.00000000000017</v>
      </c>
      <c r="O33" s="13">
        <f>N33*VLOOKUP('Données projet'!$B$9,Paramètres!$A$1:$I$89,3,0)*VLOOKUP('Données projet'!$B$9,Paramètres!$A$1:$I$89,5,0)</f>
        <v>245.96000000000009</v>
      </c>
      <c r="P33" s="13">
        <f t="shared" si="33"/>
        <v>59.720017079919756</v>
      </c>
      <c r="Q33" s="20">
        <f t="shared" si="2"/>
        <v>532.39269641419367</v>
      </c>
      <c r="R33" s="59">
        <f t="shared" si="0"/>
        <v>825.72602974752704</v>
      </c>
      <c r="S33" s="59">
        <f ca="1">AVERAGE(OFFSET($R$3,0,0,'Données projet'!$E$9+1,1))-AVERAGE(OFFSET($H$3,0,0,'Données projet'!$E$9+1,1))</f>
        <v>470.58485082099065</v>
      </c>
      <c r="T33" s="59">
        <f t="shared" si="34"/>
        <v>498.77167507743559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55</v>
      </c>
      <c r="W33" s="16">
        <f>IF(ISNA(VLOOKUP(A33,'Données projet'!$A$35:$I$55,5,0)),0%,VLOOKUP(A33,'Données projet'!$A$35:$I$55,5,0)*VLOOKUP('Données projet'!$B$9,Paramètres!$A$1:$I$89,7,0))</f>
        <v>0.22000000000000003</v>
      </c>
      <c r="X33" s="16">
        <f>IF(ISNA(VLOOKUP(A33,'Données projet'!$A$35:$I$55,6,0)),0%,VLOOKUP(A33,'Données projet'!$A$35:$I$55,6,0)*VLOOKUP('Données projet'!$B$9,Paramètres!$A$1:$I$89,7,0))</f>
        <v>0.18700000000000003</v>
      </c>
      <c r="Y33" s="16">
        <f>IF(ISNA(VLOOKUP(A33,'Données projet'!$A$35:$I$55,7,0)),0%,VLOOKUP(A33,'Données projet'!$A$35:$I$55,7,0))</f>
        <v>0.26</v>
      </c>
      <c r="Z33" s="21">
        <f>EXP(-LN(2)/35)*Z32+(1-EXP(-LN(2)/35))/(LN(2)/35)*V33*W33*VLOOKUP('Données projet'!$B$9,Paramètres!$A$1:$I$89,3,0)*0.475*44/12</f>
        <v>17.746592106435504</v>
      </c>
      <c r="AA33" s="21">
        <f>EXP(-LN(2)/25)*AA32+(1-EXP(-LN(2)/25))/(LN(2)/25)*Calculateur!V33*Calculateur!X33*VLOOKUP('Données projet'!$B$9,Paramètres!$A$1:$I$89,3,0)*0.475*44/12</f>
        <v>25.206099587388767</v>
      </c>
      <c r="AB33" s="21">
        <f>EXP(-LN(2)/2)*AB32+(1-EXP(-LN(2)/2))/(LN(2)/2)*V33*Y33*VLOOKUP('Données projet'!$B$9,Paramètres!$A$1:$I$89,3,0)*0.475*44/12</f>
        <v>11.208903589019926</v>
      </c>
      <c r="AC33" s="22">
        <f t="shared" si="3"/>
        <v>54.161595282844196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4.3352272727272725</v>
      </c>
      <c r="AI33" s="13">
        <f>IF('Données projet'!$A$62&gt;35,AI32+AH33-AQ32,IF(A33&lt;'Données projet'!$A$62,$AF$205^A33,IF(A33='Données projet'!$A$62,'Données projet'!$B$62,AI32+AH33-AQ32)))</f>
        <v>130.0568181818181</v>
      </c>
      <c r="AJ33" s="13">
        <f>AI33*VLOOKUP('Données projet'!$B$10,Paramètres!$A$1:$I$89,3,0)*VLOOKUP('Données projet'!$B$10,Paramètres!$A$1:$I$89,5,0)</f>
        <v>117.67540909090901</v>
      </c>
      <c r="AK33" s="13">
        <f t="shared" si="35"/>
        <v>31.13221092664957</v>
      </c>
      <c r="AL33" s="20">
        <f t="shared" si="4"/>
        <v>259.17327153058113</v>
      </c>
      <c r="AM33" s="59">
        <f t="shared" si="5"/>
        <v>552.50660486391439</v>
      </c>
      <c r="AN33" s="59">
        <f ca="1">AVERAGE(OFFSET($AM$3,0,0,'Données projet'!$E$10+1,1))-AVERAGE(OFFSET($H$3,0,0,'Données projet'!$E$10+1,1))</f>
        <v>321.13571401604742</v>
      </c>
      <c r="AO33" s="59">
        <f t="shared" si="36"/>
        <v>225.55225019382294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14.910999999999998</v>
      </c>
      <c r="D34" s="11">
        <f t="shared" si="32"/>
        <v>5.0172142492270986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153.83182929227934</v>
      </c>
      <c r="H34" s="67">
        <f t="shared" si="1"/>
        <v>328.04163981740385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23</v>
      </c>
      <c r="N34" s="13">
        <f>IF('Données projet'!$A$36&gt;35,N33+M34-V33,IF(A34&lt;'Données projet'!$A$36,$K$205^A34,IF(A34='Données projet'!$A$36,'Données projet'!$B$36,N33+M34-V33)))</f>
        <v>408.00000000000017</v>
      </c>
      <c r="O34" s="13">
        <f>N34*VLOOKUP('Données projet'!$B$9,Paramètres!$A$1:$I$89,3,0)*VLOOKUP('Données projet'!$B$9,Paramètres!$A$1:$I$89,5,0)</f>
        <v>228.07200000000012</v>
      </c>
      <c r="P34" s="13">
        <f t="shared" si="33"/>
        <v>55.86559883553236</v>
      </c>
      <c r="Q34" s="20">
        <f t="shared" si="2"/>
        <v>494.52465130521909</v>
      </c>
      <c r="R34" s="59">
        <f t="shared" si="0"/>
        <v>787.85798463855235</v>
      </c>
      <c r="S34" s="59">
        <f ca="1">AVERAGE(OFFSET($R$3,0,0,'Données projet'!$E$9+1,1))-AVERAGE(OFFSET($H$3,0,0,'Données projet'!$E$9+1,1))</f>
        <v>470.58485082099065</v>
      </c>
      <c r="T34" s="59">
        <f t="shared" si="34"/>
        <v>498.77167507743559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17.398592259580671</v>
      </c>
      <c r="AA34" s="21">
        <f>EXP(-LN(2)/25)*AA33+(1-EXP(-LN(2)/25))/(LN(2)/25)*Calculateur!V34*Calculateur!X34*VLOOKUP('Données projet'!$B$9,Paramètres!$A$1:$I$89,3,0)*0.475*44/12</f>
        <v>24.516837468640453</v>
      </c>
      <c r="AB34" s="21">
        <f>EXP(-LN(2)/2)*AB33+(1-EXP(-LN(2)/2))/(LN(2)/2)*V34*Y34*VLOOKUP('Données projet'!$B$9,Paramètres!$A$1:$I$89,3,0)*0.475*44/12</f>
        <v>7.9258917374622202</v>
      </c>
      <c r="AC34" s="22">
        <f t="shared" si="3"/>
        <v>49.84132146568335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4.3352272727272725</v>
      </c>
      <c r="AI34" s="13">
        <f>IF('Données projet'!$A$62&gt;35,AI33+AH34-AQ33,IF(A34&lt;'Données projet'!$A$62,$AF$205^A34,IF(A34='Données projet'!$A$62,'Données projet'!$B$62,AI33+AH34-AQ33)))</f>
        <v>134.39204545454538</v>
      </c>
      <c r="AJ34" s="13">
        <f>AI34*VLOOKUP('Données projet'!$B$10,Paramètres!$A$1:$I$89,3,0)*VLOOKUP('Données projet'!$B$10,Paramètres!$A$1:$I$89,5,0)</f>
        <v>121.59792272727265</v>
      </c>
      <c r="AK34" s="13">
        <f t="shared" si="35"/>
        <v>32.047401119274099</v>
      </c>
      <c r="AL34" s="20">
        <f t="shared" si="4"/>
        <v>267.59893903273559</v>
      </c>
      <c r="AM34" s="59">
        <f t="shared" si="5"/>
        <v>560.9322723660689</v>
      </c>
      <c r="AN34" s="59">
        <f ca="1">AVERAGE(OFFSET($AM$3,0,0,'Données projet'!$E$10+1,1))-AVERAGE(OFFSET($H$3,0,0,'Données projet'!$E$10+1,1))</f>
        <v>321.13571401604742</v>
      </c>
      <c r="AO34" s="59">
        <f t="shared" si="36"/>
        <v>225.55225019382294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15.391999999999998</v>
      </c>
      <c r="D35" s="11">
        <f t="shared" si="32"/>
        <v>5.1599557252083068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158.64667577353779</v>
      </c>
      <c r="H35" s="67">
        <f t="shared" si="1"/>
        <v>329.12798955473778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23</v>
      </c>
      <c r="N35" s="13">
        <f>IF('Données projet'!$A$36&gt;35,N34+M35-V34,IF(A35&lt;'Données projet'!$A$36,$K$205^A35,IF(A35='Données projet'!$A$36,'Données projet'!$B$36,N34+M35-V34)))</f>
        <v>431.00000000000017</v>
      </c>
      <c r="O35" s="13">
        <f>N35*VLOOKUP('Données projet'!$B$9,Paramètres!$A$1:$I$89,3,0)*VLOOKUP('Données projet'!$B$9,Paramètres!$A$1:$I$89,5,0)</f>
        <v>240.92900000000009</v>
      </c>
      <c r="P35" s="13">
        <f t="shared" si="33"/>
        <v>58.639364393255526</v>
      </c>
      <c r="Q35" s="20">
        <f t="shared" ref="Q35:Q66" si="53">(O35+P35)*0.475*44/12</f>
        <v>521.74823465158681</v>
      </c>
      <c r="R35" s="59">
        <f t="shared" si="0"/>
        <v>815.08156798492018</v>
      </c>
      <c r="S35" s="59">
        <f ca="1">AVERAGE(OFFSET($R$3,0,0,'Données projet'!$E$9+1,1))-AVERAGE(OFFSET($H$3,0,0,'Données projet'!$E$9+1,1))</f>
        <v>470.58485082099065</v>
      </c>
      <c r="T35" s="59">
        <f t="shared" si="34"/>
        <v>498.77167507743559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17.057416477463715</v>
      </c>
      <c r="AA35" s="21">
        <f>EXP(-LN(2)/25)*AA34+(1-EXP(-LN(2)/25))/(LN(2)/25)*Calculateur!V35*Calculateur!X35*VLOOKUP('Données projet'!$B$9,Paramètres!$A$1:$I$89,3,0)*0.475*44/12</f>
        <v>23.846423258776031</v>
      </c>
      <c r="AB35" s="21">
        <f>EXP(-LN(2)/2)*AB34+(1-EXP(-LN(2)/2))/(LN(2)/2)*V35*Y35*VLOOKUP('Données projet'!$B$9,Paramètres!$A$1:$I$89,3,0)*0.475*44/12</f>
        <v>5.6044517945099637</v>
      </c>
      <c r="AC35" s="22">
        <f t="shared" si="3"/>
        <v>46.508291530749709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4.3352272727272725</v>
      </c>
      <c r="AI35" s="13">
        <f>IF('Données projet'!$A$62&gt;35,AI34+AH35-AQ34,IF(A35&lt;'Données projet'!$A$62,$AF$205^A35,IF(A35='Données projet'!$A$62,'Données projet'!$B$62,AI34+AH35-AQ34)))</f>
        <v>138.72727272727266</v>
      </c>
      <c r="AJ35" s="13">
        <f>AI35*VLOOKUP('Données projet'!$B$10,Paramètres!$A$1:$I$89,3,0)*VLOOKUP('Données projet'!$B$10,Paramètres!$A$1:$I$89,5,0)</f>
        <v>125.52043636363631</v>
      </c>
      <c r="AK35" s="13">
        <f t="shared" si="35"/>
        <v>32.959160735246577</v>
      </c>
      <c r="AL35" s="20">
        <f t="shared" si="4"/>
        <v>276.01863161388769</v>
      </c>
      <c r="AM35" s="59">
        <f t="shared" si="5"/>
        <v>569.35196494722095</v>
      </c>
      <c r="AN35" s="59">
        <f ca="1">AVERAGE(OFFSET($AM$3,0,0,'Données projet'!$E$10+1,1))-AVERAGE(OFFSET($H$3,0,0,'Données projet'!$E$10+1,1))</f>
        <v>321.13571401604742</v>
      </c>
      <c r="AO35" s="59">
        <f t="shared" si="36"/>
        <v>225.55225019382294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15.872999999999998</v>
      </c>
      <c r="D36" s="11">
        <f t="shared" si="32"/>
        <v>5.3021788331229462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163.4575208170894</v>
      </c>
      <c r="H36" s="67">
        <f t="shared" si="1"/>
        <v>330.21343646768912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23</v>
      </c>
      <c r="N36" s="13">
        <f>IF('Données projet'!$A$36&gt;35,N35+M36-V35,IF(A36&lt;'Données projet'!$A$36,$K$205^A36,IF(A36='Données projet'!$A$36,'Données projet'!$B$36,N35+M36-V35)))</f>
        <v>454.00000000000017</v>
      </c>
      <c r="O36" s="13">
        <f>N36*VLOOKUP('Données projet'!$B$9,Paramètres!$A$1:$I$89,3,0)*VLOOKUP('Données projet'!$B$9,Paramètres!$A$1:$I$89,5,0)</f>
        <v>253.78600000000012</v>
      </c>
      <c r="P36" s="13">
        <f t="shared" si="33"/>
        <v>61.395945216950963</v>
      </c>
      <c r="Q36" s="20">
        <f t="shared" si="53"/>
        <v>548.94188791952308</v>
      </c>
      <c r="R36" s="59">
        <f t="shared" si="0"/>
        <v>842.27522125285645</v>
      </c>
      <c r="S36" s="59">
        <f ca="1">AVERAGE(OFFSET($R$3,0,0,'Données projet'!$E$9+1,1))-AVERAGE(OFFSET($H$3,0,0,'Données projet'!$E$9+1,1))</f>
        <v>470.58485082099065</v>
      </c>
      <c r="T36" s="59">
        <f t="shared" si="34"/>
        <v>498.77167507743559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16.722930944337392</v>
      </c>
      <c r="AA36" s="21">
        <f>EXP(-LN(2)/25)*AA35+(1-EXP(-LN(2)/25))/(LN(2)/25)*Calculateur!V36*Calculateur!X36*VLOOKUP('Données projet'!$B$9,Paramètres!$A$1:$I$89,3,0)*0.475*44/12</f>
        <v>23.194341560735904</v>
      </c>
      <c r="AB36" s="21">
        <f>EXP(-LN(2)/2)*AB35+(1-EXP(-LN(2)/2))/(LN(2)/2)*V36*Y36*VLOOKUP('Données projet'!$B$9,Paramètres!$A$1:$I$89,3,0)*0.475*44/12</f>
        <v>3.9629458687311105</v>
      </c>
      <c r="AC36" s="22">
        <f t="shared" si="3"/>
        <v>43.880218373804411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4.3352272727272725</v>
      </c>
      <c r="AI36" s="13">
        <f>IF('Données projet'!$A$62&gt;35,AI35+AH36-AQ35,IF(A36&lt;'Données projet'!$A$62,$AF$205^A36,IF(A36='Données projet'!$A$62,'Données projet'!$B$62,AI35+AH36-AQ35)))</f>
        <v>143.06249999999994</v>
      </c>
      <c r="AJ36" s="13">
        <f>AI36*VLOOKUP('Données projet'!$B$10,Paramètres!$A$1:$I$89,3,0)*VLOOKUP('Données projet'!$B$10,Paramètres!$A$1:$I$89,5,0)</f>
        <v>129.44294999999994</v>
      </c>
      <c r="AK36" s="13">
        <f t="shared" si="35"/>
        <v>33.867609280865778</v>
      </c>
      <c r="AL36" s="20">
        <f t="shared" si="4"/>
        <v>284.43255741417448</v>
      </c>
      <c r="AM36" s="59">
        <f t="shared" si="5"/>
        <v>577.7658907475078</v>
      </c>
      <c r="AN36" s="59">
        <f ca="1">AVERAGE(OFFSET($AM$3,0,0,'Données projet'!$E$10+1,1))-AVERAGE(OFFSET($H$3,0,0,'Données projet'!$E$10+1,1))</f>
        <v>321.13571401604742</v>
      </c>
      <c r="AO36" s="59">
        <f t="shared" si="36"/>
        <v>225.55225019382294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16.353999999999999</v>
      </c>
      <c r="D37" s="11">
        <f t="shared" si="32"/>
        <v>5.4439010840635174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168.26449959627979</v>
      </c>
      <c r="H37" s="67">
        <f t="shared" si="1"/>
        <v>331.29801105474394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23</v>
      </c>
      <c r="N37" s="13">
        <f>IF('Données projet'!$A$36&gt;35,N36+M37-V36,IF(A37&lt;'Données projet'!$A$36,$K$205^A37,IF(A37='Données projet'!$A$36,'Données projet'!$B$36,N36+M37-V36)))</f>
        <v>477.00000000000017</v>
      </c>
      <c r="O37" s="13">
        <f>N37*VLOOKUP('Données projet'!$B$9,Paramètres!$A$1:$I$89,3,0)*VLOOKUP('Données projet'!$B$9,Paramètres!$A$1:$I$89,5,0)</f>
        <v>266.64300000000009</v>
      </c>
      <c r="P37" s="13">
        <f t="shared" si="33"/>
        <v>64.136311225795083</v>
      </c>
      <c r="Q37" s="20">
        <f t="shared" si="53"/>
        <v>576.10730038492648</v>
      </c>
      <c r="R37" s="59">
        <f t="shared" si="0"/>
        <v>869.44063371825973</v>
      </c>
      <c r="S37" s="59">
        <f ca="1">AVERAGE(OFFSET($R$3,0,0,'Données projet'!$E$9+1,1))-AVERAGE(OFFSET($H$3,0,0,'Données projet'!$E$9+1,1))</f>
        <v>470.58485082099065</v>
      </c>
      <c r="T37" s="59">
        <f t="shared" si="34"/>
        <v>498.77167507743559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16.395004468499646</v>
      </c>
      <c r="AA37" s="21">
        <f>EXP(-LN(2)/25)*AA36+(1-EXP(-LN(2)/25))/(LN(2)/25)*Calculateur!V37*Calculateur!X37*VLOOKUP('Données projet'!$B$9,Paramètres!$A$1:$I$89,3,0)*0.475*44/12</f>
        <v>22.560091071020167</v>
      </c>
      <c r="AB37" s="21">
        <f>EXP(-LN(2)/2)*AB36+(1-EXP(-LN(2)/2))/(LN(2)/2)*V37*Y37*VLOOKUP('Données projet'!$B$9,Paramètres!$A$1:$I$89,3,0)*0.475*44/12</f>
        <v>2.8022258972549823</v>
      </c>
      <c r="AC37" s="22">
        <f t="shared" si="3"/>
        <v>41.757321436774802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4.3352272727272725</v>
      </c>
      <c r="AI37" s="13">
        <f>IF('Données projet'!$A$62&gt;35,AI36+AH37-AQ36,IF(A37&lt;'Données projet'!$A$62,$AF$205^A37,IF(A37='Données projet'!$A$62,'Données projet'!$B$62,AI36+AH37-AQ36)))</f>
        <v>147.39772727272722</v>
      </c>
      <c r="AJ37" s="13">
        <f>AI37*VLOOKUP('Données projet'!$B$10,Paramètres!$A$1:$I$89,3,0)*VLOOKUP('Données projet'!$B$10,Paramètres!$A$1:$I$89,5,0)</f>
        <v>133.36546363636359</v>
      </c>
      <c r="AK37" s="13">
        <f t="shared" si="35"/>
        <v>34.772858608043407</v>
      </c>
      <c r="AL37" s="20">
        <f t="shared" si="4"/>
        <v>292.84091124234214</v>
      </c>
      <c r="AM37" s="59">
        <f t="shared" si="5"/>
        <v>586.1742445756754</v>
      </c>
      <c r="AN37" s="59">
        <f ca="1">AVERAGE(OFFSET($AM$3,0,0,'Données projet'!$E$10+1,1))-AVERAGE(OFFSET($H$3,0,0,'Données projet'!$E$10+1,1))</f>
        <v>321.13571401604742</v>
      </c>
      <c r="AO37" s="59">
        <f t="shared" si="36"/>
        <v>225.55225019382294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16.835000000000001</v>
      </c>
      <c r="D38" s="11">
        <f t="shared" si="32"/>
        <v>5.5851389004969132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173.06773888102882</v>
      </c>
      <c r="H38" s="67">
        <f t="shared" si="1"/>
        <v>332.38174191836544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500</v>
      </c>
      <c r="L38" s="12">
        <f>VLOOKUP(A38,'Données projet'!$A$35:$I$55,9,0)</f>
        <v>23</v>
      </c>
      <c r="M38" s="12">
        <f t="array" ref="M38">INDEX(L:L,MIN(IF(ISNUMBER(L38:L234),ROW(L38:L234),"")))</f>
        <v>23</v>
      </c>
      <c r="N38" s="13">
        <f>IF('Données projet'!$A$36&gt;35,N37+M38-V37,IF(A38&lt;'Données projet'!$A$36,$K$205^A38,IF(A38='Données projet'!$A$36,'Données projet'!$B$36,N37+M38-V37)))</f>
        <v>500.00000000000017</v>
      </c>
      <c r="O38" s="13">
        <f>N38*VLOOKUP('Données projet'!$B$9,Paramètres!$A$1:$I$89,3,0)*VLOOKUP('Données projet'!$B$9,Paramètres!$A$1:$I$89,5,0)</f>
        <v>279.50000000000006</v>
      </c>
      <c r="P38" s="13">
        <f t="shared" si="33"/>
        <v>66.861333518957409</v>
      </c>
      <c r="Q38" s="20">
        <f t="shared" si="53"/>
        <v>603.24598921218421</v>
      </c>
      <c r="R38" s="59">
        <f t="shared" si="0"/>
        <v>896.57932254551747</v>
      </c>
      <c r="S38" s="59">
        <f ca="1">AVERAGE(OFFSET($R$3,0,0,'Données projet'!$E$9+1,1))-AVERAGE(OFFSET($H$3,0,0,'Données projet'!$E$9+1,1))</f>
        <v>470.58485082099065</v>
      </c>
      <c r="T38" s="59">
        <f t="shared" si="34"/>
        <v>498.77167507743559</v>
      </c>
      <c r="U38" s="15">
        <f>IF(ISNA(VLOOKUP(A38,'Données projet'!$A$35:$I$55,3,0)),0,VLOOKUP(A38,'Données projet'!$A$35:$I$55,3,0))</f>
        <v>5</v>
      </c>
      <c r="V38" s="15">
        <f>IF(ISNA(VLOOKUP(A38,'Données projet'!$A$35:$I$55,4,0)),0,VLOOKUP(A38,'Données projet'!$A$35:$I$55,4,0))</f>
        <v>55</v>
      </c>
      <c r="W38" s="16">
        <f>IF(ISNA(VLOOKUP(A38,'Données projet'!$A$35:$I$55,5,0)),0%,VLOOKUP(A38,'Données projet'!$A$35:$I$55,5,0)*VLOOKUP('Données projet'!$B$9,Paramètres!$A$1:$I$89,7,0))</f>
        <v>0.27500000000000002</v>
      </c>
      <c r="X38" s="16">
        <f>IF(ISNA(VLOOKUP(A38,'Données projet'!$A$35:$I$55,6,0)),0%,VLOOKUP(A38,'Données projet'!$A$35:$I$55,6,0)*VLOOKUP('Données projet'!$B$9,Paramètres!$A$1:$I$89,7,0))</f>
        <v>0.15400000000000003</v>
      </c>
      <c r="Y38" s="16">
        <f>IF(ISNA(VLOOKUP(A38,'Données projet'!$A$35:$I$55,7,0)),0%,VLOOKUP(A38,'Données projet'!$A$35:$I$55,7,0))</f>
        <v>0.22</v>
      </c>
      <c r="Z38" s="21">
        <f>EXP(-LN(2)/35)*Z37+(1-EXP(-LN(2)/35))/(LN(2)/35)*V38*W38*VLOOKUP('Données projet'!$B$9,Paramètres!$A$1:$I$89,3,0)*0.475*44/12</f>
        <v>27.289445081022066</v>
      </c>
      <c r="AA38" s="21">
        <f>EXP(-LN(2)/25)*AA37+(1-EXP(-LN(2)/25))/(LN(2)/25)*Calculateur!V38*Calculateur!X38*VLOOKUP('Données projet'!$B$9,Paramètres!$A$1:$I$89,3,0)*0.475*44/12</f>
        <v>28.199378325331484</v>
      </c>
      <c r="AB38" s="21">
        <f>EXP(-LN(2)/2)*AB37+(1-EXP(-LN(2)/2))/(LN(2)/2)*V38*Y38*VLOOKUP('Données projet'!$B$9,Paramètres!$A$1:$I$89,3,0)*0.475*44/12</f>
        <v>9.6397789716048159</v>
      </c>
      <c r="AC38" s="22">
        <f t="shared" si="3"/>
        <v>65.128602377958359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4.3352272727272725</v>
      </c>
      <c r="AI38" s="13">
        <f>IF('Données projet'!$A$62&gt;35,AI37+AH38-AQ37,IF(A38&lt;'Données projet'!$A$62,$AF$205^A38,IF(A38='Données projet'!$A$62,'Données projet'!$B$62,AI37+AH38-AQ37)))</f>
        <v>151.7329545454545</v>
      </c>
      <c r="AJ38" s="13">
        <f>AI38*VLOOKUP('Données projet'!$B$10,Paramètres!$A$1:$I$89,3,0)*VLOOKUP('Données projet'!$B$10,Paramètres!$A$1:$I$89,5,0)</f>
        <v>137.28797727272723</v>
      </c>
      <c r="AK38" s="13">
        <f t="shared" si="35"/>
        <v>35.675013615107098</v>
      </c>
      <c r="AL38" s="20">
        <f t="shared" si="4"/>
        <v>301.24387579631144</v>
      </c>
      <c r="AM38" s="59">
        <f t="shared" si="5"/>
        <v>594.57720912964476</v>
      </c>
      <c r="AN38" s="59">
        <f ca="1">AVERAGE(OFFSET($AM$3,0,0,'Données projet'!$E$10+1,1))-AVERAGE(OFFSET($H$3,0,0,'Données projet'!$E$10+1,1))</f>
        <v>321.13571401604742</v>
      </c>
      <c r="AO38" s="59">
        <f t="shared" si="36"/>
        <v>225.55225019382294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17.316000000000003</v>
      </c>
      <c r="D39" s="11">
        <f t="shared" si="32"/>
        <v>5.7259077130880893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177.86735778524144</v>
      </c>
      <c r="H39" s="67">
        <f t="shared" si="1"/>
        <v>333.46465593362842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21.8</v>
      </c>
      <c r="N39" s="13">
        <f>IF('Données projet'!$A$36&gt;35,N38+M39-V38,IF(A39&lt;'Données projet'!$A$36,$K$205^A39,IF(A39='Données projet'!$A$36,'Données projet'!$B$36,N38+M39-V38)))</f>
        <v>466.80000000000018</v>
      </c>
      <c r="O39" s="13">
        <f>N39*VLOOKUP('Données projet'!$B$9,Paramètres!$A$1:$I$89,3,0)*VLOOKUP('Données projet'!$B$9,Paramètres!$A$1:$I$89,5,0)</f>
        <v>260.94120000000009</v>
      </c>
      <c r="P39" s="13">
        <f t="shared" si="33"/>
        <v>62.922961549594426</v>
      </c>
      <c r="Q39" s="20">
        <f t="shared" si="53"/>
        <v>564.06341469887707</v>
      </c>
      <c r="R39" s="59">
        <f t="shared" si="0"/>
        <v>857.39674803221033</v>
      </c>
      <c r="S39" s="59">
        <f ca="1">AVERAGE(OFFSET($R$3,0,0,'Données projet'!$E$9+1,1))-AVERAGE(OFFSET($H$3,0,0,'Données projet'!$E$9+1,1))</f>
        <v>470.58485082099065</v>
      </c>
      <c r="T39" s="59">
        <f t="shared" si="34"/>
        <v>498.77167507743559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26.754315707901174</v>
      </c>
      <c r="AA39" s="21">
        <f>EXP(-LN(2)/25)*AA38+(1-EXP(-LN(2)/25))/(LN(2)/25)*Calculateur!V39*Calculateur!X39*VLOOKUP('Données projet'!$B$9,Paramètres!$A$1:$I$89,3,0)*0.475*44/12</f>
        <v>27.428264842084438</v>
      </c>
      <c r="AB39" s="21">
        <f>EXP(-LN(2)/2)*AB38+(1-EXP(-LN(2)/2))/(LN(2)/2)*V39*Y39*VLOOKUP('Données projet'!$B$9,Paramètres!$A$1:$I$89,3,0)*0.475*44/12</f>
        <v>6.8163530799612495</v>
      </c>
      <c r="AC39" s="22">
        <f t="shared" si="3"/>
        <v>60.998933629946862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4.3352272727272725</v>
      </c>
      <c r="AI39" s="13">
        <f>IF('Données projet'!$A$62&gt;35,AI38+AH39-AQ38,IF(A39&lt;'Données projet'!$A$62,$AF$205^A39,IF(A39='Données projet'!$A$62,'Données projet'!$B$62,AI38+AH39-AQ38)))</f>
        <v>156.06818181818178</v>
      </c>
      <c r="AJ39" s="13">
        <f>AI39*VLOOKUP('Données projet'!$B$10,Paramètres!$A$1:$I$89,3,0)*VLOOKUP('Données projet'!$B$10,Paramètres!$A$1:$I$89,5,0)</f>
        <v>141.21049090909085</v>
      </c>
      <c r="AK39" s="13">
        <f t="shared" si="35"/>
        <v>36.574172865260337</v>
      </c>
      <c r="AL39" s="20">
        <f t="shared" si="4"/>
        <v>309.64162274032839</v>
      </c>
      <c r="AM39" s="59">
        <f t="shared" si="5"/>
        <v>602.9749560736617</v>
      </c>
      <c r="AN39" s="59">
        <f ca="1">AVERAGE(OFFSET($AM$3,0,0,'Données projet'!$E$10+1,1))-AVERAGE(OFFSET($H$3,0,0,'Données projet'!$E$10+1,1))</f>
        <v>321.13571401604742</v>
      </c>
      <c r="AO39" s="59">
        <f t="shared" si="36"/>
        <v>225.55225019382294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17.797000000000004</v>
      </c>
      <c r="D40" s="11">
        <f t="shared" si="32"/>
        <v>5.8662220464630659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182.66346842883772</v>
      </c>
      <c r="H40" s="67">
        <f t="shared" si="1"/>
        <v>334.54677839758983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21.8</v>
      </c>
      <c r="N40" s="13">
        <f>IF('Données projet'!$A$36&gt;35,N39+M40-V39,IF(A40&lt;'Données projet'!$A$36,$K$205^A40,IF(A40='Données projet'!$A$36,'Données projet'!$B$36,N39+M40-V39)))</f>
        <v>488.60000000000019</v>
      </c>
      <c r="O40" s="13">
        <f>N40*VLOOKUP('Données projet'!$B$9,Paramètres!$A$1:$I$89,3,0)*VLOOKUP('Données projet'!$B$9,Paramètres!$A$1:$I$89,5,0)</f>
        <v>273.12740000000008</v>
      </c>
      <c r="P40" s="13">
        <f t="shared" si="33"/>
        <v>65.512536987025797</v>
      </c>
      <c r="Q40" s="20">
        <f t="shared" si="53"/>
        <v>589.79789025240336</v>
      </c>
      <c r="R40" s="59">
        <f t="shared" si="0"/>
        <v>883.13122358573673</v>
      </c>
      <c r="S40" s="59">
        <f ca="1">AVERAGE(OFFSET($R$3,0,0,'Données projet'!$E$9+1,1))-AVERAGE(OFFSET($H$3,0,0,'Données projet'!$E$9+1,1))</f>
        <v>470.58485082099065</v>
      </c>
      <c r="T40" s="59">
        <f t="shared" si="34"/>
        <v>498.77167507743559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26.229679895390493</v>
      </c>
      <c r="AA40" s="21">
        <f>EXP(-LN(2)/25)*AA39+(1-EXP(-LN(2)/25))/(LN(2)/25)*Calculateur!V40*Calculateur!X40*VLOOKUP('Données projet'!$B$9,Paramètres!$A$1:$I$89,3,0)*0.475*44/12</f>
        <v>26.67823749758788</v>
      </c>
      <c r="AB40" s="21">
        <f>EXP(-LN(2)/2)*AB39+(1-EXP(-LN(2)/2))/(LN(2)/2)*V40*Y40*VLOOKUP('Données projet'!$B$9,Paramètres!$A$1:$I$89,3,0)*0.475*44/12</f>
        <v>4.8198894858024088</v>
      </c>
      <c r="AC40" s="22">
        <f t="shared" si="3"/>
        <v>57.727806878780783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4.3352272727272725</v>
      </c>
      <c r="AI40" s="13">
        <f>IF('Données projet'!$A$62&gt;35,AI39+AH40-AQ39,IF(A40&lt;'Données projet'!$A$62,$AF$205^A40,IF(A40='Données projet'!$A$62,'Données projet'!$B$62,AI39+AH40-AQ39)))</f>
        <v>160.40340909090907</v>
      </c>
      <c r="AJ40" s="13">
        <f>AI40*VLOOKUP('Données projet'!$B$10,Paramètres!$A$1:$I$89,3,0)*VLOOKUP('Données projet'!$B$10,Paramètres!$A$1:$I$89,5,0)</f>
        <v>145.13300454545453</v>
      </c>
      <c r="AK40" s="13">
        <f t="shared" si="35"/>
        <v>37.470429134392994</v>
      </c>
      <c r="AL40" s="20">
        <f t="shared" si="4"/>
        <v>318.03431365906772</v>
      </c>
      <c r="AM40" s="59">
        <f t="shared" si="5"/>
        <v>611.36764699240098</v>
      </c>
      <c r="AN40" s="59">
        <f ca="1">AVERAGE(OFFSET($AM$3,0,0,'Données projet'!$E$10+1,1))-AVERAGE(OFFSET($H$3,0,0,'Données projet'!$E$10+1,1))</f>
        <v>321.13571401604742</v>
      </c>
      <c r="AO40" s="59">
        <f t="shared" si="36"/>
        <v>225.55225019382294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18.278000000000006</v>
      </c>
      <c r="D41" s="11">
        <f t="shared" si="32"/>
        <v>6.0060955954395361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187.45617652619998</v>
      </c>
      <c r="H41" s="67">
        <f t="shared" si="1"/>
        <v>335.62813316205717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21.8</v>
      </c>
      <c r="N41" s="13">
        <f>IF('Données projet'!$A$36&gt;35,N40+M41-V40,IF(A41&lt;'Données projet'!$A$36,$K$205^A41,IF(A41='Données projet'!$A$36,'Données projet'!$B$36,N40+M41-V40)))</f>
        <v>510.4000000000002</v>
      </c>
      <c r="O41" s="13">
        <f>N41*VLOOKUP('Données projet'!$B$9,Paramètres!$A$1:$I$89,3,0)*VLOOKUP('Données projet'!$B$9,Paramètres!$A$1:$I$89,5,0)</f>
        <v>285.31360000000012</v>
      </c>
      <c r="P41" s="13">
        <f t="shared" si="33"/>
        <v>68.088693753445725</v>
      </c>
      <c r="Q41" s="20">
        <f t="shared" si="53"/>
        <v>615.5089949539182</v>
      </c>
      <c r="R41" s="59">
        <f t="shared" si="0"/>
        <v>908.84232828725158</v>
      </c>
      <c r="S41" s="59">
        <f ca="1">AVERAGE(OFFSET($R$3,0,0,'Données projet'!$E$9+1,1))-AVERAGE(OFFSET($H$3,0,0,'Données projet'!$E$9+1,1))</f>
        <v>470.58485082099065</v>
      </c>
      <c r="T41" s="59">
        <f t="shared" si="34"/>
        <v>498.77167507743559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25.715331871166899</v>
      </c>
      <c r="AA41" s="21">
        <f>EXP(-LN(2)/25)*AA40+(1-EXP(-LN(2)/25))/(LN(2)/25)*Calculateur!V41*Calculateur!X41*VLOOKUP('Données projet'!$B$9,Paramètres!$A$1:$I$89,3,0)*0.475*44/12</f>
        <v>25.948719690268803</v>
      </c>
      <c r="AB41" s="21">
        <f>EXP(-LN(2)/2)*AB40+(1-EXP(-LN(2)/2))/(LN(2)/2)*V41*Y41*VLOOKUP('Données projet'!$B$9,Paramètres!$A$1:$I$89,3,0)*0.475*44/12</f>
        <v>3.4081765399806252</v>
      </c>
      <c r="AC41" s="22">
        <f t="shared" si="3"/>
        <v>55.072228101416322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4.3352272727272725</v>
      </c>
      <c r="AI41" s="13">
        <f>IF('Données projet'!$A$62&gt;35,AI40+AH41-AQ40,IF(A41&lt;'Données projet'!$A$62,$AF$205^A41,IF(A41='Données projet'!$A$62,'Données projet'!$B$62,AI40+AH41-AQ40)))</f>
        <v>164.73863636363635</v>
      </c>
      <c r="AJ41" s="13">
        <f>AI41*VLOOKUP('Données projet'!$B$10,Paramètres!$A$1:$I$89,3,0)*VLOOKUP('Données projet'!$B$10,Paramètres!$A$1:$I$89,5,0)</f>
        <v>149.05551818181817</v>
      </c>
      <c r="AK41" s="13">
        <f t="shared" si="35"/>
        <v>38.36386989800318</v>
      </c>
      <c r="AL41" s="20">
        <f t="shared" si="4"/>
        <v>326.42210090568886</v>
      </c>
      <c r="AM41" s="59">
        <f t="shared" si="5"/>
        <v>619.75543423902218</v>
      </c>
      <c r="AN41" s="59">
        <f ca="1">AVERAGE(OFFSET($AM$3,0,0,'Données projet'!$E$10+1,1))-AVERAGE(OFFSET($H$3,0,0,'Données projet'!$E$10+1,1))</f>
        <v>321.13571401604742</v>
      </c>
      <c r="AO41" s="59">
        <f t="shared" si="36"/>
        <v>225.55225019382294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18.759000000000007</v>
      </c>
      <c r="D42" s="11">
        <f t="shared" si="32"/>
        <v>6.1455412930074749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192.24558191093493</v>
      </c>
      <c r="H42" s="67">
        <f t="shared" si="1"/>
        <v>336.70874275198798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21.8</v>
      </c>
      <c r="N42" s="13">
        <f>IF('Données projet'!$A$36&gt;35,N41+M42-V41,IF(A42&lt;'Données projet'!$A$36,$K$205^A42,IF(A42='Données projet'!$A$36,'Données projet'!$B$36,N41+M42-V41)))</f>
        <v>532.20000000000016</v>
      </c>
      <c r="O42" s="13">
        <f>N42*VLOOKUP('Données projet'!$B$9,Paramètres!$A$1:$I$89,3,0)*VLOOKUP('Données projet'!$B$9,Paramètres!$A$1:$I$89,5,0)</f>
        <v>297.49980000000011</v>
      </c>
      <c r="P42" s="13">
        <f t="shared" si="33"/>
        <v>70.652070502757923</v>
      </c>
      <c r="Q42" s="20">
        <f t="shared" si="53"/>
        <v>641.19784112563684</v>
      </c>
      <c r="R42" s="59">
        <f t="shared" si="0"/>
        <v>934.5311744589701</v>
      </c>
      <c r="S42" s="59">
        <f ca="1">AVERAGE(OFFSET($R$3,0,0,'Données projet'!$E$9+1,1))-AVERAGE(OFFSET($H$3,0,0,'Données projet'!$E$9+1,1))</f>
        <v>470.58485082099065</v>
      </c>
      <c r="T42" s="59">
        <f t="shared" si="34"/>
        <v>498.77167507743559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25.211069897977012</v>
      </c>
      <c r="AA42" s="21">
        <f>EXP(-LN(2)/25)*AA41+(1-EXP(-LN(2)/25))/(LN(2)/25)*Calculateur!V42*Calculateur!X42*VLOOKUP('Données projet'!$B$9,Paramètres!$A$1:$I$89,3,0)*0.475*44/12</f>
        <v>25.23915058575454</v>
      </c>
      <c r="AB42" s="21">
        <f>EXP(-LN(2)/2)*AB41+(1-EXP(-LN(2)/2))/(LN(2)/2)*V42*Y42*VLOOKUP('Données projet'!$B$9,Paramètres!$A$1:$I$89,3,0)*0.475*44/12</f>
        <v>2.4099447429012049</v>
      </c>
      <c r="AC42" s="22">
        <f t="shared" si="3"/>
        <v>52.860165226632759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4.3352272727272725</v>
      </c>
      <c r="AI42" s="13">
        <f>IF('Données projet'!$A$62&gt;35,AI41+AH42-AQ41,IF(A42&lt;'Données projet'!$A$62,$AF$205^A42,IF(A42='Données projet'!$A$62,'Données projet'!$B$62,AI41+AH42-AQ41)))</f>
        <v>169.07386363636363</v>
      </c>
      <c r="AJ42" s="13">
        <f>AI42*VLOOKUP('Données projet'!$B$10,Paramètres!$A$1:$I$89,3,0)*VLOOKUP('Données projet'!$B$10,Paramètres!$A$1:$I$89,5,0)</f>
        <v>152.97803181818179</v>
      </c>
      <c r="AK42" s="13">
        <f t="shared" si="35"/>
        <v>39.254577765422866</v>
      </c>
      <c r="AL42" s="20">
        <f t="shared" si="4"/>
        <v>334.8051283581114</v>
      </c>
      <c r="AM42" s="59">
        <f t="shared" si="5"/>
        <v>628.13846169144472</v>
      </c>
      <c r="AN42" s="59">
        <f ca="1">AVERAGE(OFFSET($AM$3,0,0,'Données projet'!$E$10+1,1))-AVERAGE(OFFSET($H$3,0,0,'Données projet'!$E$10+1,1))</f>
        <v>321.13571401604742</v>
      </c>
      <c r="AO42" s="59">
        <f t="shared" si="36"/>
        <v>225.55225019382294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19.240000000000009</v>
      </c>
      <c r="D43" s="11">
        <f t="shared" si="32"/>
        <v>6.2845713711411841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197.03177900530045</v>
      </c>
      <c r="H43" s="67">
        <f t="shared" si="1"/>
        <v>337.78862847140419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554</v>
      </c>
      <c r="L43" s="12">
        <f>VLOOKUP(A43,'Données projet'!$A$35:$I$55,9,0)</f>
        <v>21.8</v>
      </c>
      <c r="M43" s="12">
        <f t="array" ref="M43">INDEX(L:L,MIN(IF(ISNUMBER(L43:L239),ROW(L43:L239),"")))</f>
        <v>21.8</v>
      </c>
      <c r="N43" s="13">
        <f>IF('Données projet'!$A$36&gt;35,N42+M43-V42,IF(A43&lt;'Données projet'!$A$36,$K$205^A43,IF(A43='Données projet'!$A$36,'Données projet'!$B$36,N42+M43-V42)))</f>
        <v>554.00000000000011</v>
      </c>
      <c r="O43" s="13">
        <f>N43*VLOOKUP('Données projet'!$B$9,Paramètres!$A$1:$I$89,3,0)*VLOOKUP('Données projet'!$B$9,Paramètres!$A$1:$I$89,5,0)</f>
        <v>309.68600000000009</v>
      </c>
      <c r="P43" s="13">
        <f t="shared" si="33"/>
        <v>73.203250607027869</v>
      </c>
      <c r="Q43" s="20">
        <f t="shared" si="53"/>
        <v>666.86544480724035</v>
      </c>
      <c r="R43" s="59">
        <f t="shared" si="0"/>
        <v>960.19877814057372</v>
      </c>
      <c r="S43" s="59">
        <f ca="1">AVERAGE(OFFSET($R$3,0,0,'Données projet'!$E$9+1,1))-AVERAGE(OFFSET($H$3,0,0,'Données projet'!$E$9+1,1))</f>
        <v>470.58485082099065</v>
      </c>
      <c r="T43" s="59">
        <f t="shared" si="34"/>
        <v>498.77167507743559</v>
      </c>
      <c r="U43" s="15">
        <f>IF(ISNA(VLOOKUP(A43,'Données projet'!$A$35:$I$55,3,0)),0,VLOOKUP(A43,'Données projet'!$A$35:$I$55,3,0))</f>
        <v>6</v>
      </c>
      <c r="V43" s="15">
        <f>IF(ISNA(VLOOKUP(A43,'Données projet'!$A$35:$I$55,4,0)),0,VLOOKUP(A43,'Données projet'!$A$35:$I$55,4,0))</f>
        <v>55</v>
      </c>
      <c r="W43" s="16">
        <f>IF(ISNA(VLOOKUP(A43,'Données projet'!$A$35:$I$55,5,0)),0%,VLOOKUP(A43,'Données projet'!$A$35:$I$55,5,0)*VLOOKUP('Données projet'!$B$9,Paramètres!$A$1:$I$89,7,0))</f>
        <v>0.33</v>
      </c>
      <c r="X43" s="16">
        <f>IF(ISNA(VLOOKUP(A43,'Données projet'!$A$35:$I$55,6,0)),0%,VLOOKUP(A43,'Données projet'!$A$35:$I$55,6,0)*VLOOKUP('Données projet'!$B$9,Paramètres!$A$1:$I$89,7,0))</f>
        <v>0.12100000000000001</v>
      </c>
      <c r="Y43" s="16">
        <f>IF(ISNA(VLOOKUP(A43,'Données projet'!$A$35:$I$55,7,0)),0%,VLOOKUP(A43,'Données projet'!$A$35:$I$55,7,0))</f>
        <v>0.18</v>
      </c>
      <c r="Z43" s="21">
        <f>EXP(-LN(2)/35)*Z42+(1-EXP(-LN(2)/35))/(LN(2)/35)*V43*W43*VLOOKUP('Données projet'!$B$9,Paramètres!$A$1:$I$89,3,0)*0.475*44/12</f>
        <v>38.175820174733204</v>
      </c>
      <c r="AA43" s="21">
        <f>EXP(-LN(2)/25)*AA42+(1-EXP(-LN(2)/25))/(LN(2)/25)*Calculateur!V43*Calculateur!X43*VLOOKUP('Données projet'!$B$9,Paramètres!$A$1:$I$89,3,0)*0.475*44/12</f>
        <v>29.464565788671543</v>
      </c>
      <c r="AB43" s="21">
        <f>EXP(-LN(2)/2)*AB42+(1-EXP(-LN(2)/2))/(LN(2)/2)*V43*Y43*VLOOKUP('Données projet'!$B$9,Paramètres!$A$1:$I$89,3,0)*0.475*44/12</f>
        <v>7.9699750277315271</v>
      </c>
      <c r="AC43" s="22">
        <f t="shared" si="3"/>
        <v>75.610360991136275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4.3352272727272725</v>
      </c>
      <c r="AI43" s="13">
        <f>IF('Données projet'!$A$62&gt;35,AI42+AH43-AQ42,IF(A43&lt;'Données projet'!$A$62,$AF$205^A43,IF(A43='Données projet'!$A$62,'Données projet'!$B$62,AI42+AH43-AQ42)))</f>
        <v>173.40909090909091</v>
      </c>
      <c r="AJ43" s="13">
        <f>AI43*VLOOKUP('Données projet'!$B$10,Paramètres!$A$1:$I$89,3,0)*VLOOKUP('Données projet'!$B$10,Paramètres!$A$1:$I$89,5,0)</f>
        <v>156.90054545454544</v>
      </c>
      <c r="AK43" s="13">
        <f t="shared" si="35"/>
        <v>40.142630868254045</v>
      </c>
      <c r="AL43" s="20">
        <f t="shared" si="4"/>
        <v>343.18353209554238</v>
      </c>
      <c r="AM43" s="59">
        <f t="shared" si="5"/>
        <v>636.51686542887569</v>
      </c>
      <c r="AN43" s="59">
        <f ca="1">AVERAGE(OFFSET($AM$3,0,0,'Données projet'!$E$10+1,1))-AVERAGE(OFFSET($H$3,0,0,'Données projet'!$E$10+1,1))</f>
        <v>321.13571401604742</v>
      </c>
      <c r="AO43" s="59">
        <f t="shared" si="36"/>
        <v>225.55225019382294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19.721000000000011</v>
      </c>
      <c r="D44" s="11">
        <f t="shared" si="32"/>
        <v>6.4231974153589526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201.81485724136743</v>
      </c>
      <c r="H44" s="67">
        <f t="shared" si="1"/>
        <v>338.86781049841682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20.399999999999999</v>
      </c>
      <c r="N44" s="13">
        <f>IF('Données projet'!$A$36&gt;35,N43+M44-V43,IF(A44&lt;'Données projet'!$A$36,$K$205^A44,IF(A44='Données projet'!$A$36,'Données projet'!$B$36,N43+M44-V43)))</f>
        <v>519.40000000000009</v>
      </c>
      <c r="O44" s="13">
        <f>N44*VLOOKUP('Données projet'!$B$9,Paramètres!$A$1:$I$89,3,0)*VLOOKUP('Données projet'!$B$9,Paramètres!$A$1:$I$89,5,0)</f>
        <v>290.34460000000007</v>
      </c>
      <c r="P44" s="13">
        <f t="shared" si="33"/>
        <v>69.148483049501621</v>
      </c>
      <c r="Q44" s="20">
        <f t="shared" si="53"/>
        <v>626.11711964454878</v>
      </c>
      <c r="R44" s="59">
        <f t="shared" si="0"/>
        <v>919.45045297788215</v>
      </c>
      <c r="S44" s="59">
        <f ca="1">AVERAGE(OFFSET($R$3,0,0,'Données projet'!$E$9+1,1))-AVERAGE(OFFSET($H$3,0,0,'Données projet'!$E$9+1,1))</f>
        <v>470.58485082099065</v>
      </c>
      <c r="T44" s="59">
        <f t="shared" si="34"/>
        <v>498.77167507743559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37.427215626057794</v>
      </c>
      <c r="AA44" s="21">
        <f>EXP(-LN(2)/25)*AA43+(1-EXP(-LN(2)/25))/(LN(2)/25)*Calculateur!V44*Calculateur!X44*VLOOKUP('Données projet'!$B$9,Paramètres!$A$1:$I$89,3,0)*0.475*44/12</f>
        <v>28.658855687706147</v>
      </c>
      <c r="AB44" s="21">
        <f>EXP(-LN(2)/2)*AB43+(1-EXP(-LN(2)/2))/(LN(2)/2)*V44*Y44*VLOOKUP('Données projet'!$B$9,Paramètres!$A$1:$I$89,3,0)*0.475*44/12</f>
        <v>5.6356233879964055</v>
      </c>
      <c r="AC44" s="22">
        <f t="shared" si="3"/>
        <v>71.721694701760342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4.3352272727272725</v>
      </c>
      <c r="AI44" s="13">
        <f>IF('Données projet'!$A$62&gt;35,AI43+AH44-AQ43,IF(A44&lt;'Données projet'!$A$62,$AF$205^A44,IF(A44='Données projet'!$A$62,'Données projet'!$B$62,AI43+AH44-AQ43)))</f>
        <v>177.74431818181819</v>
      </c>
      <c r="AJ44" s="13">
        <f>AI44*VLOOKUP('Données projet'!$B$10,Paramètres!$A$1:$I$89,3,0)*VLOOKUP('Données projet'!$B$10,Paramètres!$A$1:$I$89,5,0)</f>
        <v>160.82305909090911</v>
      </c>
      <c r="AK44" s="13">
        <f t="shared" si="35"/>
        <v>41.02810320886806</v>
      </c>
      <c r="AL44" s="20">
        <f t="shared" si="4"/>
        <v>351.55744100544524</v>
      </c>
      <c r="AM44" s="59">
        <f t="shared" si="5"/>
        <v>644.89077433877856</v>
      </c>
      <c r="AN44" s="59">
        <f ca="1">AVERAGE(OFFSET($AM$3,0,0,'Données projet'!$E$10+1,1))-AVERAGE(OFFSET($H$3,0,0,'Données projet'!$E$10+1,1))</f>
        <v>321.13571401604742</v>
      </c>
      <c r="AO44" s="59">
        <f t="shared" si="36"/>
        <v>225.55225019382294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20.202000000000012</v>
      </c>
      <c r="D45" s="11">
        <f t="shared" si="32"/>
        <v>6.5614304138099335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206.59490143993642</v>
      </c>
      <c r="H45" s="67">
        <f t="shared" si="1"/>
        <v>339.94630797071898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20.399999999999999</v>
      </c>
      <c r="N45" s="13">
        <f>IF('Données projet'!$A$36&gt;35,N44+M45-V44,IF(A45&lt;'Données projet'!$A$36,$K$205^A45,IF(A45='Données projet'!$A$36,'Données projet'!$B$36,N44+M45-V44)))</f>
        <v>539.80000000000007</v>
      </c>
      <c r="O45" s="13">
        <f>N45*VLOOKUP('Données projet'!$B$9,Paramètres!$A$1:$I$89,3,0)*VLOOKUP('Données projet'!$B$9,Paramètres!$A$1:$I$89,5,0)</f>
        <v>301.74820000000005</v>
      </c>
      <c r="P45" s="13">
        <f t="shared" si="33"/>
        <v>71.542829318170703</v>
      </c>
      <c r="Q45" s="20">
        <f t="shared" si="53"/>
        <v>650.14854272914738</v>
      </c>
      <c r="R45" s="59">
        <f t="shared" si="0"/>
        <v>943.48187606248075</v>
      </c>
      <c r="S45" s="59">
        <f ca="1">AVERAGE(OFFSET($R$3,0,0,'Données projet'!$E$9+1,1))-AVERAGE(OFFSET($H$3,0,0,'Données projet'!$E$9+1,1))</f>
        <v>470.58485082099065</v>
      </c>
      <c r="T45" s="59">
        <f t="shared" si="34"/>
        <v>498.77167507743559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36.693290755978218</v>
      </c>
      <c r="AA45" s="21">
        <f>EXP(-LN(2)/25)*AA44+(1-EXP(-LN(2)/25))/(LN(2)/25)*Calculateur!V45*Calculateur!X45*VLOOKUP('Données projet'!$B$9,Paramètres!$A$1:$I$89,3,0)*0.475*44/12</f>
        <v>27.875177771822102</v>
      </c>
      <c r="AB45" s="21">
        <f>EXP(-LN(2)/2)*AB44+(1-EXP(-LN(2)/2))/(LN(2)/2)*V45*Y45*VLOOKUP('Données projet'!$B$9,Paramètres!$A$1:$I$89,3,0)*0.475*44/12</f>
        <v>3.984987513865764</v>
      </c>
      <c r="AC45" s="22">
        <f t="shared" si="3"/>
        <v>68.553456041666081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4.3352272727272725</v>
      </c>
      <c r="AI45" s="13">
        <f>IF('Données projet'!$A$62&gt;35,AI44+AH45-AQ44,IF(A45&lt;'Données projet'!$A$62,$AF$205^A45,IF(A45='Données projet'!$A$62,'Données projet'!$B$62,AI44+AH45-AQ44)))</f>
        <v>182.07954545454547</v>
      </c>
      <c r="AJ45" s="13">
        <f>AI45*VLOOKUP('Données projet'!$B$10,Paramètres!$A$1:$I$89,3,0)*VLOOKUP('Données projet'!$B$10,Paramètres!$A$1:$I$89,5,0)</f>
        <v>164.74557272727273</v>
      </c>
      <c r="AK45" s="13">
        <f t="shared" si="35"/>
        <v>41.911064973947369</v>
      </c>
      <c r="AL45" s="20">
        <f t="shared" si="4"/>
        <v>359.926977329625</v>
      </c>
      <c r="AM45" s="59">
        <f t="shared" si="5"/>
        <v>653.26031066295832</v>
      </c>
      <c r="AN45" s="59">
        <f ca="1">AVERAGE(OFFSET($AM$3,0,0,'Données projet'!$E$10+1,1))-AVERAGE(OFFSET($H$3,0,0,'Données projet'!$E$10+1,1))</f>
        <v>321.13571401604742</v>
      </c>
      <c r="AO45" s="59">
        <f t="shared" si="36"/>
        <v>225.55225019382294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20.683000000000014</v>
      </c>
      <c r="D46" s="11">
        <f t="shared" si="32"/>
        <v>6.6992808015544414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211.3719921523502</v>
      </c>
      <c r="H46" s="67">
        <f t="shared" si="1"/>
        <v>341.02413906270732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20.399999999999999</v>
      </c>
      <c r="N46" s="13">
        <f>IF('Données projet'!$A$36&gt;35,N45+M46-V45,IF(A46&lt;'Données projet'!$A$36,$K$205^A46,IF(A46='Données projet'!$A$36,'Données projet'!$B$36,N45+M46-V45)))</f>
        <v>560.20000000000005</v>
      </c>
      <c r="O46" s="13">
        <f>N46*VLOOKUP('Données projet'!$B$9,Paramètres!$A$1:$I$89,3,0)*VLOOKUP('Données projet'!$B$9,Paramètres!$A$1:$I$89,5,0)</f>
        <v>313.15180000000004</v>
      </c>
      <c r="P46" s="13">
        <f t="shared" si="33"/>
        <v>73.926663436613353</v>
      </c>
      <c r="Q46" s="20">
        <f t="shared" si="53"/>
        <v>674.16165715210161</v>
      </c>
      <c r="R46" s="59">
        <f t="shared" si="0"/>
        <v>967.49499048543498</v>
      </c>
      <c r="S46" s="59">
        <f ca="1">AVERAGE(OFFSET($R$3,0,0,'Données projet'!$E$9+1,1))-AVERAGE(OFFSET($H$3,0,0,'Données projet'!$E$9+1,1))</f>
        <v>470.58485082099065</v>
      </c>
      <c r="T46" s="59">
        <f t="shared" si="34"/>
        <v>498.77167507743559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35.973757704950934</v>
      </c>
      <c r="AA46" s="21">
        <f>EXP(-LN(2)/25)*AA45+(1-EXP(-LN(2)/25))/(LN(2)/25)*Calculateur!V46*Calculateur!X46*VLOOKUP('Données projet'!$B$9,Paramètres!$A$1:$I$89,3,0)*0.475*44/12</f>
        <v>27.112929569759736</v>
      </c>
      <c r="AB46" s="21">
        <f>EXP(-LN(2)/2)*AB45+(1-EXP(-LN(2)/2))/(LN(2)/2)*V46*Y46*VLOOKUP('Données projet'!$B$9,Paramètres!$A$1:$I$89,3,0)*0.475*44/12</f>
        <v>2.8178116939982032</v>
      </c>
      <c r="AC46" s="22">
        <f t="shared" si="3"/>
        <v>65.904498968708879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4.3352272727272725</v>
      </c>
      <c r="AI46" s="13">
        <f>IF('Données projet'!$A$62&gt;35,AI45+AH46-AQ45,IF(A46&lt;'Données projet'!$A$62,$AF$205^A46,IF(A46='Données projet'!$A$62,'Données projet'!$B$62,AI45+AH46-AQ45)))</f>
        <v>186.41477272727275</v>
      </c>
      <c r="AJ46" s="13">
        <f>AI46*VLOOKUP('Données projet'!$B$10,Paramètres!$A$1:$I$89,3,0)*VLOOKUP('Données projet'!$B$10,Paramètres!$A$1:$I$89,5,0)</f>
        <v>168.66808636363638</v>
      </c>
      <c r="AK46" s="13">
        <f t="shared" si="35"/>
        <v>42.791582817325541</v>
      </c>
      <c r="AL46" s="20">
        <f t="shared" si="4"/>
        <v>368.29225715684197</v>
      </c>
      <c r="AM46" s="59">
        <f t="shared" si="5"/>
        <v>661.62559049017523</v>
      </c>
      <c r="AN46" s="59">
        <f ca="1">AVERAGE(OFFSET($AM$3,0,0,'Données projet'!$E$10+1,1))-AVERAGE(OFFSET($H$3,0,0,'Données projet'!$E$10+1,1))</f>
        <v>321.13571401604742</v>
      </c>
      <c r="AO46" s="59">
        <f t="shared" si="36"/>
        <v>225.55225019382294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21.164000000000016</v>
      </c>
      <c r="D47" s="11">
        <f t="shared" si="32"/>
        <v>6.8367585006090259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216.14620596961367</v>
      </c>
      <c r="H47" s="67">
        <f t="shared" si="1"/>
        <v>342.1013210552274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20.399999999999999</v>
      </c>
      <c r="N47" s="13">
        <f>IF('Données projet'!$A$36&gt;35,N46+M47-V46,IF(A47&lt;'Données projet'!$A$36,$K$205^A47,IF(A47='Données projet'!$A$36,'Données projet'!$B$36,N46+M47-V46)))</f>
        <v>580.6</v>
      </c>
      <c r="O47" s="13">
        <f>N47*VLOOKUP('Données projet'!$B$9,Paramètres!$A$1:$I$89,3,0)*VLOOKUP('Données projet'!$B$9,Paramètres!$A$1:$I$89,5,0)</f>
        <v>324.55540000000002</v>
      </c>
      <c r="P47" s="13">
        <f t="shared" si="33"/>
        <v>76.300412056684536</v>
      </c>
      <c r="Q47" s="20">
        <f t="shared" si="53"/>
        <v>698.15720599872554</v>
      </c>
      <c r="R47" s="59">
        <f t="shared" si="0"/>
        <v>991.49053933205892</v>
      </c>
      <c r="S47" s="59">
        <f ca="1">AVERAGE(OFFSET($R$3,0,0,'Données projet'!$E$9+1,1))-AVERAGE(OFFSET($H$3,0,0,'Données projet'!$E$9+1,1))</f>
        <v>470.58485082099065</v>
      </c>
      <c r="T47" s="59">
        <f t="shared" si="34"/>
        <v>498.77167507743559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35.26833425818247</v>
      </c>
      <c r="AA47" s="21">
        <f>EXP(-LN(2)/25)*AA46+(1-EXP(-LN(2)/25))/(LN(2)/25)*Calculateur!V47*Calculateur!X47*VLOOKUP('Données projet'!$B$9,Paramètres!$A$1:$I$89,3,0)*0.475*44/12</f>
        <v>26.371525084867656</v>
      </c>
      <c r="AB47" s="21">
        <f>EXP(-LN(2)/2)*AB46+(1-EXP(-LN(2)/2))/(LN(2)/2)*V47*Y47*VLOOKUP('Données projet'!$B$9,Paramètres!$A$1:$I$89,3,0)*0.475*44/12</f>
        <v>1.9924937569328824</v>
      </c>
      <c r="AC47" s="22">
        <f t="shared" si="3"/>
        <v>63.632353099983007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>
        <f>VLOOKUP(A47,'Données projet'!$A$61:$I$81,2,0)</f>
        <v>190.75</v>
      </c>
      <c r="AG47" s="12">
        <f>VLOOKUP(A47,'Données projet'!$A$61:$I$81,9,0)</f>
        <v>4.3352272727272725</v>
      </c>
      <c r="AH47" s="12">
        <f t="array" ref="AH47">INDEX(AG:AG,MIN(IF(ISNUMBER(AG47:AG243),ROW(AG47:AG243),"")))</f>
        <v>4.3352272727272725</v>
      </c>
      <c r="AI47" s="13">
        <f>IF('Données projet'!$A$62&gt;35,AI46+AH47-AQ46,IF(A47&lt;'Données projet'!$A$62,$AF$205^A47,IF(A47='Données projet'!$A$62,'Données projet'!$B$62,AI46+AH47-AQ46)))</f>
        <v>190.75000000000003</v>
      </c>
      <c r="AJ47" s="13">
        <f>AI47*VLOOKUP('Données projet'!$B$10,Paramètres!$A$1:$I$89,3,0)*VLOOKUP('Données projet'!$B$10,Paramètres!$A$1:$I$89,5,0)</f>
        <v>172.59060000000002</v>
      </c>
      <c r="AK47" s="13">
        <f t="shared" si="35"/>
        <v>43.669720115774744</v>
      </c>
      <c r="AL47" s="20">
        <f t="shared" si="4"/>
        <v>376.65339086830772</v>
      </c>
      <c r="AM47" s="59">
        <f t="shared" si="5"/>
        <v>669.98672420164098</v>
      </c>
      <c r="AN47" s="59">
        <f ca="1">AVERAGE(OFFSET($AM$3,0,0,'Données projet'!$E$10+1,1))-AVERAGE(OFFSET($H$3,0,0,'Données projet'!$E$10+1,1))</f>
        <v>321.13571401604742</v>
      </c>
      <c r="AO47" s="59">
        <f t="shared" si="36"/>
        <v>225.55225019382294</v>
      </c>
      <c r="AP47" s="15">
        <f>IF(ISNA(VLOOKUP(A47,'Données projet'!$A$61:$I$81,3,0)),0,VLOOKUP(A47,'Données projet'!$A$61:$I$81,3,0))</f>
        <v>1</v>
      </c>
      <c r="AQ47" s="15">
        <f>IF(ISNA(VLOOKUP(A47,'Données projet'!$A$61:$I$81,4,0)),0,VLOOKUP(A47,'Données projet'!$A$61:$I$81,4,0))</f>
        <v>74.010000000000005</v>
      </c>
      <c r="AR47" s="16">
        <f>IF(ISNA(VLOOKUP(A47,'Données projet'!$A$61:$I$81,5,0)),0%,VLOOKUP(A47,'Données projet'!$A$61:$I$81,5,0)*VLOOKUP('Données projet'!$B$10,Paramètres!$A$1:$I$89,7,0))</f>
        <v>8.6000000000000007E-2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6.36632136804608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6.36632136804608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21.645000000000017</v>
      </c>
      <c r="D48" s="11">
        <f t="shared" si="32"/>
        <v>6.973872956248516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220.91761580262028</v>
      </c>
      <c r="H48" s="67">
        <f t="shared" si="1"/>
        <v>343.17787039879954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601</v>
      </c>
      <c r="L48" s="12">
        <f>VLOOKUP(A48,'Données projet'!$A$35:$I$55,9,0)</f>
        <v>20.399999999999999</v>
      </c>
      <c r="M48" s="12">
        <f t="array" ref="M48">INDEX(L:L,MIN(IF(ISNUMBER(L48:L244),ROW(L48:L244),"")))</f>
        <v>20.399999999999999</v>
      </c>
      <c r="N48" s="13">
        <f>IF('Données projet'!$A$36&gt;35,N47+M48-V47,IF(A48&lt;'Données projet'!$A$36,$K$205^A48,IF(A48='Données projet'!$A$36,'Données projet'!$B$36,N47+M48-V47)))</f>
        <v>601</v>
      </c>
      <c r="O48" s="13">
        <f>N48*VLOOKUP('Données projet'!$B$9,Paramètres!$A$1:$I$89,3,0)*VLOOKUP('Données projet'!$B$9,Paramètres!$A$1:$I$89,5,0)</f>
        <v>335.959</v>
      </c>
      <c r="P48" s="13">
        <f t="shared" si="33"/>
        <v>78.664470148497045</v>
      </c>
      <c r="Q48" s="20">
        <f t="shared" si="53"/>
        <v>722.1358771752989</v>
      </c>
      <c r="R48" s="59">
        <f t="shared" si="0"/>
        <v>1015.4692105086322</v>
      </c>
      <c r="S48" s="59">
        <f ca="1">AVERAGE(OFFSET($R$3,0,0,'Données projet'!$E$9+1,1))-AVERAGE(OFFSET($H$3,0,0,'Données projet'!$E$9+1,1))</f>
        <v>470.58485082099065</v>
      </c>
      <c r="T48" s="59">
        <f t="shared" si="34"/>
        <v>498.77167507743559</v>
      </c>
      <c r="U48" s="15">
        <f>IF(ISNA(VLOOKUP(A48,'Données projet'!$A$35:$I$55,3,0)),0,VLOOKUP(A48,'Données projet'!$A$35:$I$55,3,0))</f>
        <v>7</v>
      </c>
      <c r="V48" s="15">
        <f>IF(ISNA(VLOOKUP(A48,'Données projet'!$A$35:$I$55,4,0)),0,VLOOKUP(A48,'Données projet'!$A$35:$I$55,4,0))</f>
        <v>53</v>
      </c>
      <c r="W48" s="16">
        <f>IF(ISNA(VLOOKUP(A48,'Données projet'!$A$35:$I$55,5,0)),0%,VLOOKUP(A48,'Données projet'!$A$35:$I$55,5,0)*VLOOKUP('Données projet'!$B$9,Paramètres!$A$1:$I$89,7,0))</f>
        <v>0.38500000000000001</v>
      </c>
      <c r="X48" s="16">
        <f>IF(ISNA(VLOOKUP(A48,'Données projet'!$A$35:$I$55,6,0)),0%,VLOOKUP(A48,'Données projet'!$A$35:$I$55,6,0)*VLOOKUP('Données projet'!$B$9,Paramètres!$A$1:$I$89,7,0))</f>
        <v>9.3500000000000014E-2</v>
      </c>
      <c r="Y48" s="16">
        <f>IF(ISNA(VLOOKUP(A48,'Données projet'!$A$35:$I$55,7,0)),0%,VLOOKUP(A48,'Données projet'!$A$35:$I$55,7,0))</f>
        <v>0.13</v>
      </c>
      <c r="Z48" s="21">
        <f>EXP(-LN(2)/35)*Z47+(1-EXP(-LN(2)/35))/(LN(2)/35)*V48*W48*VLOOKUP('Données projet'!$B$9,Paramètres!$A$1:$I$89,3,0)*0.475*44/12</f>
        <v>49.708061906642619</v>
      </c>
      <c r="AA48" s="21">
        <f>EXP(-LN(2)/25)*AA47+(1-EXP(-LN(2)/25))/(LN(2)/25)*Calculateur!V48*Calculateur!X48*VLOOKUP('Données projet'!$B$9,Paramètres!$A$1:$I$89,3,0)*0.475*44/12</f>
        <v>29.310674157629578</v>
      </c>
      <c r="AB48" s="21">
        <f>EXP(-LN(2)/2)*AB47+(1-EXP(-LN(2)/2))/(LN(2)/2)*V48*Y48*VLOOKUP('Données projet'!$B$9,Paramètres!$A$1:$I$89,3,0)*0.475*44/12</f>
        <v>5.769709863245259</v>
      </c>
      <c r="AC48" s="22">
        <f t="shared" si="3"/>
        <v>84.788445927517444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8.8971428571428586</v>
      </c>
      <c r="AI48" s="13">
        <f>IF('Données projet'!$A$62&gt;35,AI47+AH48-AQ47,IF(A48&lt;'Données projet'!$A$62,$AF$205^A48,IF(A48='Données projet'!$A$62,'Données projet'!$B$62,AI47+AH48-AQ47)))</f>
        <v>125.63714285714288</v>
      </c>
      <c r="AJ48" s="13">
        <f>AI48*VLOOKUP('Données projet'!$B$10,Paramètres!$A$1:$I$89,3,0)*VLOOKUP('Données projet'!$B$10,Paramètres!$A$1:$I$89,5,0)</f>
        <v>113.67648685714286</v>
      </c>
      <c r="AK48" s="13">
        <f t="shared" si="35"/>
        <v>30.195529199341561</v>
      </c>
      <c r="AL48" s="20">
        <f t="shared" si="4"/>
        <v>250.57709463171037</v>
      </c>
      <c r="AM48" s="59">
        <f t="shared" si="5"/>
        <v>543.91042796504371</v>
      </c>
      <c r="AN48" s="59">
        <f ca="1">AVERAGE(OFFSET($AM$3,0,0,'Données projet'!$E$10+1,1))-AVERAGE(OFFSET($H$3,0,0,'Données projet'!$E$10+1,1))</f>
        <v>321.13571401604742</v>
      </c>
      <c r="AO48" s="59">
        <f t="shared" si="36"/>
        <v>225.55225019382294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6.2414816890913096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6.2414816890913096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22.126000000000019</v>
      </c>
      <c r="D49" s="11">
        <f t="shared" si="32"/>
        <v>7.1106331699901988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225.68629113676658</v>
      </c>
      <c r="H49" s="67">
        <f t="shared" si="1"/>
        <v>344.25380277106626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19.399999999999999</v>
      </c>
      <c r="N49" s="13">
        <f>IF('Données projet'!$A$36&gt;35,N48+M49-V48,IF(A49&lt;'Données projet'!$A$36,$K$205^A49,IF(A49='Données projet'!$A$36,'Données projet'!$B$36,N48+M49-V48)))</f>
        <v>567.4</v>
      </c>
      <c r="O49" s="13">
        <f>N49*VLOOKUP('Données projet'!$B$9,Paramètres!$A$1:$I$89,3,0)*VLOOKUP('Données projet'!$B$9,Paramètres!$A$1:$I$89,5,0)</f>
        <v>317.17660000000001</v>
      </c>
      <c r="P49" s="13">
        <f t="shared" si="33"/>
        <v>74.765587722928572</v>
      </c>
      <c r="Q49" s="20">
        <f t="shared" si="53"/>
        <v>682.63264361743393</v>
      </c>
      <c r="R49" s="59">
        <f t="shared" si="0"/>
        <v>975.9659769507673</v>
      </c>
      <c r="S49" s="59">
        <f ca="1">AVERAGE(OFFSET($R$3,0,0,'Données projet'!$E$9+1,1))-AVERAGE(OFFSET($H$3,0,0,'Données projet'!$E$9+1,1))</f>
        <v>470.58485082099065</v>
      </c>
      <c r="T49" s="59">
        <f t="shared" si="34"/>
        <v>498.77167507743559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48.733317131577373</v>
      </c>
      <c r="AA49" s="21">
        <f>EXP(-LN(2)/25)*AA48+(1-EXP(-LN(2)/25))/(LN(2)/25)*Calculateur!V49*Calculateur!X49*VLOOKUP('Données projet'!$B$9,Paramètres!$A$1:$I$89,3,0)*0.475*44/12</f>
        <v>28.509172231407835</v>
      </c>
      <c r="AB49" s="21">
        <f>EXP(-LN(2)/2)*AB48+(1-EXP(-LN(2)/2))/(LN(2)/2)*V49*Y49*VLOOKUP('Données projet'!$B$9,Paramètres!$A$1:$I$89,3,0)*0.475*44/12</f>
        <v>4.0798009697796305</v>
      </c>
      <c r="AC49" s="22">
        <f t="shared" si="3"/>
        <v>81.322290332764837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8.8971428571428586</v>
      </c>
      <c r="AI49" s="13">
        <f>IF('Données projet'!$A$62&gt;35,AI48+AH49-AQ48,IF(A49&lt;'Données projet'!$A$62,$AF$205^A49,IF(A49='Données projet'!$A$62,'Données projet'!$B$62,AI48+AH49-AQ48)))</f>
        <v>134.53428571428574</v>
      </c>
      <c r="AJ49" s="13">
        <f>AI49*VLOOKUP('Données projet'!$B$10,Paramètres!$A$1:$I$89,3,0)*VLOOKUP('Données projet'!$B$10,Paramètres!$A$1:$I$89,5,0)</f>
        <v>121.72662171428574</v>
      </c>
      <c r="AK49" s="13">
        <f t="shared" si="35"/>
        <v>32.077370015909594</v>
      </c>
      <c r="AL49" s="20">
        <f t="shared" si="4"/>
        <v>267.87528559675684</v>
      </c>
      <c r="AM49" s="59">
        <f t="shared" si="5"/>
        <v>561.2086189300901</v>
      </c>
      <c r="AN49" s="59">
        <f ca="1">AVERAGE(OFFSET($AM$3,0,0,'Données projet'!$E$10+1,1))-AVERAGE(OFFSET($H$3,0,0,'Données projet'!$E$10+1,1))</f>
        <v>321.13571401604742</v>
      </c>
      <c r="AO49" s="59">
        <f t="shared" si="36"/>
        <v>225.55225019382294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6.1190900400961565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6.1190900400961565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22.607000000000021</v>
      </c>
      <c r="D50" s="11">
        <f t="shared" si="32"/>
        <v>7.2470477296289397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230.4522982638025</v>
      </c>
      <c r="H50" s="67">
        <f t="shared" si="1"/>
        <v>345.32913312910375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19.399999999999999</v>
      </c>
      <c r="N50" s="13">
        <f>IF('Données projet'!$A$36&gt;35,N49+M50-V49,IF(A50&lt;'Données projet'!$A$36,$K$205^A50,IF(A50='Données projet'!$A$36,'Données projet'!$B$36,N49+M50-V49)))</f>
        <v>586.79999999999995</v>
      </c>
      <c r="O50" s="13">
        <f>N50*VLOOKUP('Données projet'!$B$9,Paramètres!$A$1:$I$89,3,0)*VLOOKUP('Données projet'!$B$9,Paramètres!$A$1:$I$89,5,0)</f>
        <v>328.02119999999996</v>
      </c>
      <c r="P50" s="13">
        <f t="shared" si="33"/>
        <v>77.019907950957702</v>
      </c>
      <c r="Q50" s="20">
        <f t="shared" si="53"/>
        <v>705.44659634791788</v>
      </c>
      <c r="R50" s="59">
        <f t="shared" si="0"/>
        <v>998.77992968125113</v>
      </c>
      <c r="S50" s="59">
        <f ca="1">AVERAGE(OFFSET($R$3,0,0,'Données projet'!$E$9+1,1))-AVERAGE(OFFSET($H$3,0,0,'Données projet'!$E$9+1,1))</f>
        <v>470.58485082099065</v>
      </c>
      <c r="T50" s="59">
        <f t="shared" si="34"/>
        <v>498.77167507743559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47.777686507015552</v>
      </c>
      <c r="AA50" s="21">
        <f>EXP(-LN(2)/25)*AA49+(1-EXP(-LN(2)/25))/(LN(2)/25)*Calculateur!V50*Calculateur!X50*VLOOKUP('Données projet'!$B$9,Paramètres!$A$1:$I$89,3,0)*0.475*44/12</f>
        <v>27.72958741750778</v>
      </c>
      <c r="AB50" s="21">
        <f>EXP(-LN(2)/2)*AB49+(1-EXP(-LN(2)/2))/(LN(2)/2)*V50*Y50*VLOOKUP('Données projet'!$B$9,Paramètres!$A$1:$I$89,3,0)*0.475*44/12</f>
        <v>2.88485493162263</v>
      </c>
      <c r="AC50" s="22">
        <f t="shared" si="3"/>
        <v>78.392128856145959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8.8971428571428586</v>
      </c>
      <c r="AI50" s="13">
        <f>IF('Données projet'!$A$62&gt;35,AI49+AH50-AQ49,IF(A50&lt;'Données projet'!$A$62,$AF$205^A50,IF(A50='Données projet'!$A$62,'Données projet'!$B$62,AI49+AH50-AQ49)))</f>
        <v>143.4314285714286</v>
      </c>
      <c r="AJ50" s="13">
        <f>AI50*VLOOKUP('Données projet'!$B$10,Paramètres!$A$1:$I$89,3,0)*VLOOKUP('Données projet'!$B$10,Paramètres!$A$1:$I$89,5,0)</f>
        <v>129.77675657142859</v>
      </c>
      <c r="AK50" s="13">
        <f t="shared" si="35"/>
        <v>33.944769171667311</v>
      </c>
      <c r="AL50" s="20">
        <f t="shared" si="4"/>
        <v>285.1483240025587</v>
      </c>
      <c r="AM50" s="59">
        <f t="shared" si="5"/>
        <v>578.48165733589201</v>
      </c>
      <c r="AN50" s="59">
        <f ca="1">AVERAGE(OFFSET($AM$3,0,0,'Données projet'!$E$10+1,1))-AVERAGE(OFFSET($H$3,0,0,'Données projet'!$E$10+1,1))</f>
        <v>321.13571401604742</v>
      </c>
      <c r="AO50" s="59">
        <f t="shared" si="36"/>
        <v>225.55225019382294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5.9990984166862633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5.9990984166862633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23.088000000000022</v>
      </c>
      <c r="D51" s="11">
        <f t="shared" si="32"/>
        <v>7.3831248366439324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235.21570049339198</v>
      </c>
      <c r="H51" s="67">
        <f t="shared" si="1"/>
        <v>346.40387575715488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19.399999999999999</v>
      </c>
      <c r="N51" s="13">
        <f>IF('Données projet'!$A$36&gt;35,N50+M51-V50,IF(A51&lt;'Données projet'!$A$36,$K$205^A51,IF(A51='Données projet'!$A$36,'Données projet'!$B$36,N50+M51-V50)))</f>
        <v>606.19999999999993</v>
      </c>
      <c r="O51" s="13">
        <f>N51*VLOOKUP('Données projet'!$B$9,Paramètres!$A$1:$I$89,3,0)*VLOOKUP('Données projet'!$B$9,Paramètres!$A$1:$I$89,5,0)</f>
        <v>338.86579999999992</v>
      </c>
      <c r="P51" s="13">
        <f t="shared" si="33"/>
        <v>79.265567968856317</v>
      </c>
      <c r="Q51" s="20">
        <f t="shared" si="53"/>
        <v>728.24546587909117</v>
      </c>
      <c r="R51" s="59">
        <f t="shared" si="0"/>
        <v>1021.5787992124244</v>
      </c>
      <c r="S51" s="59">
        <f ca="1">AVERAGE(OFFSET($R$3,0,0,'Données projet'!$E$9+1,1))-AVERAGE(OFFSET($H$3,0,0,'Données projet'!$E$9+1,1))</f>
        <v>470.58485082099065</v>
      </c>
      <c r="T51" s="59">
        <f t="shared" si="34"/>
        <v>498.77167507743559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46.840795216124263</v>
      </c>
      <c r="AA51" s="21">
        <f>EXP(-LN(2)/25)*AA50+(1-EXP(-LN(2)/25))/(LN(2)/25)*Calculateur!V51*Calculateur!X51*VLOOKUP('Données projet'!$B$9,Paramètres!$A$1:$I$89,3,0)*0.475*44/12</f>
        <v>26.971320391340406</v>
      </c>
      <c r="AB51" s="21">
        <f>EXP(-LN(2)/2)*AB50+(1-EXP(-LN(2)/2))/(LN(2)/2)*V51*Y51*VLOOKUP('Données projet'!$B$9,Paramètres!$A$1:$I$89,3,0)*0.475*44/12</f>
        <v>2.0399004848898157</v>
      </c>
      <c r="AC51" s="22">
        <f t="shared" si="3"/>
        <v>75.852016092354489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8.8971428571428586</v>
      </c>
      <c r="AI51" s="13">
        <f>IF('Données projet'!$A$62&gt;35,AI50+AH51-AQ50,IF(A51&lt;'Données projet'!$A$62,$AF$205^A51,IF(A51='Données projet'!$A$62,'Données projet'!$B$62,AI50+AH51-AQ50)))</f>
        <v>152.32857142857145</v>
      </c>
      <c r="AJ51" s="13">
        <f>AI51*VLOOKUP('Données projet'!$B$10,Paramètres!$A$1:$I$89,3,0)*VLOOKUP('Données projet'!$B$10,Paramètres!$A$1:$I$89,5,0)</f>
        <v>137.82689142857146</v>
      </c>
      <c r="AK51" s="13">
        <f t="shared" si="35"/>
        <v>35.798724483163042</v>
      </c>
      <c r="AL51" s="20">
        <f t="shared" si="4"/>
        <v>302.39794771293754</v>
      </c>
      <c r="AM51" s="59">
        <f t="shared" si="5"/>
        <v>595.73128104627085</v>
      </c>
      <c r="AN51" s="59">
        <f ca="1">AVERAGE(OFFSET($AM$3,0,0,'Données projet'!$E$10+1,1))-AVERAGE(OFFSET($H$3,0,0,'Données projet'!$E$10+1,1))</f>
        <v>321.13571401604742</v>
      </c>
      <c r="AO51" s="59">
        <f t="shared" si="36"/>
        <v>225.55225019382294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5.8814597558237747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5.8814597558237747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23.569000000000024</v>
      </c>
      <c r="D52" s="11">
        <f t="shared" si="32"/>
        <v>7.5188723312571559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239.97655834654668</v>
      </c>
      <c r="H52" s="67">
        <f t="shared" si="1"/>
        <v>347.47804431027294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19.399999999999999</v>
      </c>
      <c r="N52" s="13">
        <f>IF('Données projet'!$A$36&gt;35,N51+M52-V51,IF(A52&lt;'Données projet'!$A$36,$K$205^A52,IF(A52='Données projet'!$A$36,'Données projet'!$B$36,N51+M52-V51)))</f>
        <v>625.59999999999991</v>
      </c>
      <c r="O52" s="13">
        <f>N52*VLOOKUP('Données projet'!$B$9,Paramètres!$A$1:$I$89,3,0)*VLOOKUP('Données projet'!$B$9,Paramètres!$A$1:$I$89,5,0)</f>
        <v>349.71039999999999</v>
      </c>
      <c r="P52" s="13">
        <f t="shared" si="33"/>
        <v>81.502876717883439</v>
      </c>
      <c r="Q52" s="20">
        <f t="shared" si="53"/>
        <v>751.02979028364689</v>
      </c>
      <c r="R52" s="59">
        <f t="shared" si="0"/>
        <v>1044.3631236169801</v>
      </c>
      <c r="S52" s="59">
        <f ca="1">AVERAGE(OFFSET($R$3,0,0,'Données projet'!$E$9+1,1))-AVERAGE(OFFSET($H$3,0,0,'Données projet'!$E$9+1,1))</f>
        <v>470.58485082099065</v>
      </c>
      <c r="T52" s="59">
        <f t="shared" si="34"/>
        <v>498.77167507743559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45.922275792000086</v>
      </c>
      <c r="AA52" s="21">
        <f>EXP(-LN(2)/25)*AA51+(1-EXP(-LN(2)/25))/(LN(2)/25)*Calculateur!V52*Calculateur!X52*VLOOKUP('Données projet'!$B$9,Paramètres!$A$1:$I$89,3,0)*0.475*44/12</f>
        <v>26.233788216879105</v>
      </c>
      <c r="AB52" s="21">
        <f>EXP(-LN(2)/2)*AB51+(1-EXP(-LN(2)/2))/(LN(2)/2)*V52*Y52*VLOOKUP('Données projet'!$B$9,Paramètres!$A$1:$I$89,3,0)*0.475*44/12</f>
        <v>1.4424274658113152</v>
      </c>
      <c r="AC52" s="22">
        <f t="shared" si="3"/>
        <v>73.598491474690505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8.8971428571428586</v>
      </c>
      <c r="AI52" s="13">
        <f>IF('Données projet'!$A$62&gt;35,AI51+AH52-AQ51,IF(A52&lt;'Données projet'!$A$62,$AF$205^A52,IF(A52='Données projet'!$A$62,'Données projet'!$B$62,AI51+AH52-AQ51)))</f>
        <v>161.2257142857143</v>
      </c>
      <c r="AJ52" s="13">
        <f>AI52*VLOOKUP('Données projet'!$B$10,Paramètres!$A$1:$I$89,3,0)*VLOOKUP('Données projet'!$B$10,Paramètres!$A$1:$I$89,5,0)</f>
        <v>145.87702628571429</v>
      </c>
      <c r="AK52" s="13">
        <f t="shared" si="35"/>
        <v>37.640110622547454</v>
      </c>
      <c r="AL52" s="20">
        <f t="shared" si="4"/>
        <v>319.62568011522256</v>
      </c>
      <c r="AM52" s="59">
        <f t="shared" si="5"/>
        <v>612.95901344855588</v>
      </c>
      <c r="AN52" s="59">
        <f ca="1">AVERAGE(OFFSET($AM$3,0,0,'Données projet'!$E$10+1,1))-AVERAGE(OFFSET($H$3,0,0,'Données projet'!$E$10+1,1))</f>
        <v>321.13571401604742</v>
      </c>
      <c r="AO52" s="59">
        <f t="shared" si="36"/>
        <v>225.55225019382294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5.7661279173483013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5.7661279173483013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24.050000000000026</v>
      </c>
      <c r="D53" s="11">
        <f t="shared" si="32"/>
        <v>7.6542977153884264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244.73492973282316</v>
      </c>
      <c r="H53" s="67">
        <f t="shared" si="1"/>
        <v>348.55165185430155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645</v>
      </c>
      <c r="L53" s="12">
        <f>VLOOKUP(A53,'Données projet'!$A$35:$I$55,9,0)</f>
        <v>19.399999999999999</v>
      </c>
      <c r="M53" s="12">
        <f t="array" ref="M53">INDEX(L:L,MIN(IF(ISNUMBER(L53:L249),ROW(L53:L249),"")))</f>
        <v>19.399999999999999</v>
      </c>
      <c r="N53" s="13">
        <f>IF('Données projet'!$A$36&gt;35,N52+M53-V52,IF(A53&lt;'Données projet'!$A$36,$K$205^A53,IF(A53='Données projet'!$A$36,'Données projet'!$B$36,N52+M53-V52)))</f>
        <v>644.99999999999989</v>
      </c>
      <c r="O53" s="13">
        <f>N53*VLOOKUP('Données projet'!$B$9,Paramètres!$A$1:$I$89,3,0)*VLOOKUP('Données projet'!$B$9,Paramètres!$A$1:$I$89,5,0)</f>
        <v>360.55499999999995</v>
      </c>
      <c r="P53" s="13">
        <f t="shared" si="33"/>
        <v>83.732122890172221</v>
      </c>
      <c r="Q53" s="20">
        <f t="shared" si="53"/>
        <v>773.80007236704989</v>
      </c>
      <c r="R53" s="59">
        <f t="shared" si="0"/>
        <v>1067.1334057003833</v>
      </c>
      <c r="S53" s="59">
        <f ca="1">AVERAGE(OFFSET($R$3,0,0,'Données projet'!$E$9+1,1))-AVERAGE(OFFSET($H$3,0,0,'Données projet'!$E$9+1,1))</f>
        <v>470.58485082099065</v>
      </c>
      <c r="T53" s="59">
        <f t="shared" si="34"/>
        <v>498.77167507743559</v>
      </c>
      <c r="U53" s="15">
        <f>IF(ISNA(VLOOKUP(A53,'Données projet'!$A$35:$I$55,3,0)),0,VLOOKUP(A53,'Données projet'!$A$35:$I$55,3,0))</f>
        <v>8</v>
      </c>
      <c r="V53" s="15">
        <f>IF(ISNA(VLOOKUP(A53,'Données projet'!$A$35:$I$55,4,0)),0,VLOOKUP(A53,'Données projet'!$A$35:$I$55,4,0))</f>
        <v>51</v>
      </c>
      <c r="W53" s="16">
        <f>IF(ISNA(VLOOKUP(A53,'Données projet'!$A$35:$I$55,5,0)),0%,VLOOKUP(A53,'Données projet'!$A$35:$I$55,5,0)*VLOOKUP('Données projet'!$B$9,Paramètres!$A$1:$I$89,7,0))</f>
        <v>0.38500000000000001</v>
      </c>
      <c r="X53" s="16">
        <f>IF(ISNA(VLOOKUP(A53,'Données projet'!$A$35:$I$55,6,0)),0%,VLOOKUP(A53,'Données projet'!$A$35:$I$55,6,0)*VLOOKUP('Données projet'!$B$9,Paramètres!$A$1:$I$89,7,0))</f>
        <v>9.3500000000000014E-2</v>
      </c>
      <c r="Y53" s="16">
        <f>IF(ISNA(VLOOKUP(A53,'Données projet'!$A$35:$I$55,7,0)),0%,VLOOKUP(A53,'Données projet'!$A$35:$I$55,7,0))</f>
        <v>0.13</v>
      </c>
      <c r="Z53" s="21">
        <f>EXP(-LN(2)/35)*Z52+(1-EXP(-LN(2)/35))/(LN(2)/35)*V53*W53*VLOOKUP('Données projet'!$B$9,Paramètres!$A$1:$I$89,3,0)*0.475*44/12</f>
        <v>59.582093006689909</v>
      </c>
      <c r="AA53" s="21">
        <f>EXP(-LN(2)/25)*AA52+(1-EXP(-LN(2)/25))/(LN(2)/25)*Calculateur!V53*Calculateur!X53*VLOOKUP('Données projet'!$B$9,Paramètres!$A$1:$I$89,3,0)*0.475*44/12</f>
        <v>29.038579945010166</v>
      </c>
      <c r="AB53" s="21">
        <f>EXP(-LN(2)/2)*AB52+(1-EXP(-LN(2)/2))/(LN(2)/2)*V53*Y53*VLOOKUP('Données projet'!$B$9,Paramètres!$A$1:$I$89,3,0)*0.475*44/12</f>
        <v>5.2161956165685703</v>
      </c>
      <c r="AC53" s="22">
        <f t="shared" si="3"/>
        <v>93.836868568268642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8.8971428571428586</v>
      </c>
      <c r="AI53" s="13">
        <f>IF('Données projet'!$A$62&gt;35,AI52+AH53-AQ52,IF(A53&lt;'Données projet'!$A$62,$AF$205^A53,IF(A53='Données projet'!$A$62,'Données projet'!$B$62,AI52+AH53-AQ52)))</f>
        <v>170.12285714285716</v>
      </c>
      <c r="AJ53" s="13">
        <f>AI53*VLOOKUP('Données projet'!$B$10,Paramètres!$A$1:$I$89,3,0)*VLOOKUP('Données projet'!$B$10,Paramètres!$A$1:$I$89,5,0)</f>
        <v>153.92716114285716</v>
      </c>
      <c r="AK53" s="13">
        <f t="shared" si="35"/>
        <v>39.46970027323875</v>
      </c>
      <c r="AL53" s="20">
        <f t="shared" si="4"/>
        <v>336.83286696636702</v>
      </c>
      <c r="AM53" s="59">
        <f t="shared" si="5"/>
        <v>630.16620029970034</v>
      </c>
      <c r="AN53" s="59">
        <f ca="1">AVERAGE(OFFSET($AM$3,0,0,'Données projet'!$E$10+1,1))-AVERAGE(OFFSET($H$3,0,0,'Données projet'!$E$10+1,1))</f>
        <v>321.13571401604742</v>
      </c>
      <c r="AO53" s="59">
        <f t="shared" si="36"/>
        <v>225.55225019382294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5.6530576658798566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5.6530576658798566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24.531000000000027</v>
      </c>
      <c r="D54" s="11">
        <f t="shared" si="32"/>
        <v>7.789408173722185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249.49087011294341</v>
      </c>
      <c r="H54" s="67">
        <f t="shared" si="1"/>
        <v>349.62471090256616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18</v>
      </c>
      <c r="N54" s="13">
        <f>IF('Données projet'!$A$36&gt;35,N53+M54-V53,IF(A54&lt;'Données projet'!$A$36,$K$205^A54,IF(A54='Données projet'!$A$36,'Données projet'!$B$36,N53+M54-V53)))</f>
        <v>611.99999999999989</v>
      </c>
      <c r="O54" s="13">
        <f>N54*VLOOKUP('Données projet'!$B$9,Paramètres!$A$1:$I$89,3,0)*VLOOKUP('Données projet'!$B$9,Paramètres!$A$1:$I$89,5,0)</f>
        <v>342.10799999999995</v>
      </c>
      <c r="P54" s="13">
        <f t="shared" si="33"/>
        <v>79.935315774430151</v>
      </c>
      <c r="Q54" s="20">
        <f t="shared" si="53"/>
        <v>735.0587749737989</v>
      </c>
      <c r="R54" s="59">
        <f t="shared" si="0"/>
        <v>1028.3921083071323</v>
      </c>
      <c r="S54" s="59">
        <f ca="1">AVERAGE(OFFSET($R$3,0,0,'Données projet'!$E$9+1,1))-AVERAGE(OFFSET($H$3,0,0,'Données projet'!$E$9+1,1))</f>
        <v>470.58485082099065</v>
      </c>
      <c r="T54" s="59">
        <f t="shared" si="34"/>
        <v>498.77167507743559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58.413724504317031</v>
      </c>
      <c r="AA54" s="21">
        <f>EXP(-LN(2)/25)*AA53+(1-EXP(-LN(2)/25))/(LN(2)/25)*Calculateur!V54*Calculateur!X54*VLOOKUP('Données projet'!$B$9,Paramètres!$A$1:$I$89,3,0)*0.475*44/12</f>
        <v>28.244518449341314</v>
      </c>
      <c r="AB54" s="21">
        <f>EXP(-LN(2)/2)*AB53+(1-EXP(-LN(2)/2))/(LN(2)/2)*V54*Y54*VLOOKUP('Données projet'!$B$9,Paramètres!$A$1:$I$89,3,0)*0.475*44/12</f>
        <v>3.6884072924711808</v>
      </c>
      <c r="AC54" s="22">
        <f t="shared" si="3"/>
        <v>90.346650246129528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>
        <f>VLOOKUP(A54,'Données projet'!$A$61:$I$81,2,0)</f>
        <v>179.02</v>
      </c>
      <c r="AG54" s="12">
        <f>VLOOKUP(A54,'Données projet'!$A$61:$I$81,9,0)</f>
        <v>8.8971428571428586</v>
      </c>
      <c r="AH54" s="12">
        <f t="array" ref="AH54">INDEX(AG:AG,MIN(IF(ISNUMBER(AG54:AG250),ROW(AG54:AG250),"")))</f>
        <v>8.8971428571428586</v>
      </c>
      <c r="AI54" s="13">
        <f>IF('Données projet'!$A$62&gt;35,AI53+AH54-AQ53,IF(A54&lt;'Données projet'!$A$62,$AF$205^A54,IF(A54='Données projet'!$A$62,'Données projet'!$B$62,AI53+AH54-AQ53)))</f>
        <v>179.02</v>
      </c>
      <c r="AJ54" s="13">
        <f>AI54*VLOOKUP('Données projet'!$B$10,Paramètres!$A$1:$I$89,3,0)*VLOOKUP('Données projet'!$B$10,Paramètres!$A$1:$I$89,5,0)</f>
        <v>161.977296</v>
      </c>
      <c r="AK54" s="13">
        <f t="shared" si="35"/>
        <v>41.288180733775725</v>
      </c>
      <c r="AL54" s="20">
        <f t="shared" si="4"/>
        <v>354.02070531132603</v>
      </c>
      <c r="AM54" s="59">
        <f t="shared" si="5"/>
        <v>647.35403864465934</v>
      </c>
      <c r="AN54" s="59">
        <f ca="1">AVERAGE(OFFSET($AM$3,0,0,'Données projet'!$E$10+1,1))-AVERAGE(OFFSET($H$3,0,0,'Données projet'!$E$10+1,1))</f>
        <v>321.13571401604742</v>
      </c>
      <c r="AO54" s="59">
        <f t="shared" si="36"/>
        <v>225.55225019382294</v>
      </c>
      <c r="AP54" s="15">
        <f>IF(ISNA(VLOOKUP(A54,'Données projet'!$A$61:$I$81,3,0)),0,VLOOKUP(A54,'Données projet'!$A$61:$I$81,3,0))</f>
        <v>2</v>
      </c>
      <c r="AQ54" s="15">
        <f>IF(ISNA(VLOOKUP(A54,'Données projet'!$A$61:$I$81,4,0)),0,VLOOKUP(A54,'Données projet'!$A$61:$I$81,4,0))</f>
        <v>46.13</v>
      </c>
      <c r="AR54" s="16">
        <f>IF(ISNA(VLOOKUP(A54,'Données projet'!$A$61:$I$81,5,0)),0%,VLOOKUP(A54,'Données projet'!$A$61:$I$81,5,0)*VLOOKUP('Données projet'!$B$10,Paramètres!$A$1:$I$89,7,0))</f>
        <v>8.6000000000000007E-2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9.5102955152299646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9.5102955152299646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25.012000000000029</v>
      </c>
      <c r="D55" s="11">
        <f t="shared" si="32"/>
        <v>7.9242105930753244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254.24443264830097</v>
      </c>
      <c r="H55" s="67">
        <f t="shared" si="1"/>
        <v>350.69723344960619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18</v>
      </c>
      <c r="N55" s="13">
        <f>IF('Données projet'!$A$36&gt;35,N54+M55-V54,IF(A55&lt;'Données projet'!$A$36,$K$205^A55,IF(A55='Données projet'!$A$36,'Données projet'!$B$36,N54+M55-V54)))</f>
        <v>629.99999999999989</v>
      </c>
      <c r="O55" s="13">
        <f>N55*VLOOKUP('Données projet'!$B$9,Paramètres!$A$1:$I$89,3,0)*VLOOKUP('Données projet'!$B$9,Paramètres!$A$1:$I$89,5,0)</f>
        <v>352.1699999999999</v>
      </c>
      <c r="P55" s="13">
        <f t="shared" si="33"/>
        <v>82.009175912878291</v>
      </c>
      <c r="Q55" s="20">
        <f t="shared" si="53"/>
        <v>756.19539804826275</v>
      </c>
      <c r="R55" s="59">
        <f t="shared" si="0"/>
        <v>1049.5287313815961</v>
      </c>
      <c r="S55" s="59">
        <f ca="1">AVERAGE(OFFSET($R$3,0,0,'Données projet'!$E$9+1,1))-AVERAGE(OFFSET($H$3,0,0,'Données projet'!$E$9+1,1))</f>
        <v>470.58485082099065</v>
      </c>
      <c r="T55" s="59">
        <f t="shared" si="34"/>
        <v>498.77167507743559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57.268266995641262</v>
      </c>
      <c r="AA55" s="21">
        <f>EXP(-LN(2)/25)*AA54+(1-EXP(-LN(2)/25))/(LN(2)/25)*Calculateur!V55*Calculateur!X55*VLOOKUP('Données projet'!$B$9,Paramètres!$A$1:$I$89,3,0)*0.475*44/12</f>
        <v>27.472170607029405</v>
      </c>
      <c r="AB55" s="21">
        <f>EXP(-LN(2)/2)*AB54+(1-EXP(-LN(2)/2))/(LN(2)/2)*V55*Y55*VLOOKUP('Données projet'!$B$9,Paramètres!$A$1:$I$89,3,0)*0.475*44/12</f>
        <v>2.6080978082842856</v>
      </c>
      <c r="AC55" s="22">
        <f t="shared" si="3"/>
        <v>87.348535410954952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8.2874999999999979</v>
      </c>
      <c r="AI55" s="13">
        <f>IF('Données projet'!$A$62&gt;35,AI54+AH55-AQ54,IF(A55&lt;'Données projet'!$A$62,$AF$205^A55,IF(A55='Données projet'!$A$62,'Données projet'!$B$62,AI54+AH55-AQ54)))</f>
        <v>141.17750000000001</v>
      </c>
      <c r="AJ55" s="13">
        <f>AI55*VLOOKUP('Données projet'!$B$10,Paramètres!$A$1:$I$89,3,0)*VLOOKUP('Données projet'!$B$10,Paramètres!$A$1:$I$89,5,0)</f>
        <v>127.73740199999999</v>
      </c>
      <c r="AK55" s="13">
        <f t="shared" si="35"/>
        <v>33.473006314774921</v>
      </c>
      <c r="AL55" s="20">
        <f t="shared" si="4"/>
        <v>280.77479448156629</v>
      </c>
      <c r="AM55" s="59">
        <f t="shared" si="5"/>
        <v>574.1081278148996</v>
      </c>
      <c r="AN55" s="59">
        <f ca="1">AVERAGE(OFFSET($AM$3,0,0,'Données projet'!$E$10+1,1))-AVERAGE(OFFSET($H$3,0,0,'Données projet'!$E$10+1,1))</f>
        <v>321.13571401604742</v>
      </c>
      <c r="AO55" s="59">
        <f t="shared" si="36"/>
        <v>225.55225019382294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9.3238044208837962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9.3238044208837962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25.493000000000031</v>
      </c>
      <c r="D56" s="11">
        <f t="shared" si="32"/>
        <v>8.0587115802330267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258.99566833864117</v>
      </c>
      <c r="H56" s="67">
        <f t="shared" si="1"/>
        <v>351.76923100223922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18</v>
      </c>
      <c r="N56" s="13">
        <f>IF('Données projet'!$A$36&gt;35,N55+M56-V55,IF(A56&lt;'Données projet'!$A$36,$K$205^A56,IF(A56='Données projet'!$A$36,'Données projet'!$B$36,N55+M56-V55)))</f>
        <v>647.99999999999989</v>
      </c>
      <c r="O56" s="13">
        <f>N56*VLOOKUP('Données projet'!$B$9,Paramètres!$A$1:$I$89,3,0)*VLOOKUP('Données projet'!$B$9,Paramètres!$A$1:$I$89,5,0)</f>
        <v>362.23199999999991</v>
      </c>
      <c r="P56" s="13">
        <f t="shared" si="33"/>
        <v>84.076149451138917</v>
      </c>
      <c r="Q56" s="20">
        <f t="shared" si="53"/>
        <v>777.32002696073334</v>
      </c>
      <c r="R56" s="59">
        <f t="shared" si="0"/>
        <v>1070.6533602940667</v>
      </c>
      <c r="S56" s="59">
        <f ca="1">AVERAGE(OFFSET($R$3,0,0,'Données projet'!$E$9+1,1))-AVERAGE(OFFSET($H$3,0,0,'Données projet'!$E$9+1,1))</f>
        <v>470.58485082099065</v>
      </c>
      <c r="T56" s="59">
        <f t="shared" si="34"/>
        <v>498.77167507743559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56.145271210050538</v>
      </c>
      <c r="AA56" s="21">
        <f>EXP(-LN(2)/25)*AA55+(1-EXP(-LN(2)/25))/(LN(2)/25)*Calculateur!V56*Calculateur!X56*VLOOKUP('Données projet'!$B$9,Paramètres!$A$1:$I$89,3,0)*0.475*44/12</f>
        <v>26.720942657081522</v>
      </c>
      <c r="AB56" s="21">
        <f>EXP(-LN(2)/2)*AB55+(1-EXP(-LN(2)/2))/(LN(2)/2)*V56*Y56*VLOOKUP('Données projet'!$B$9,Paramètres!$A$1:$I$89,3,0)*0.475*44/12</f>
        <v>1.8442036462355906</v>
      </c>
      <c r="AC56" s="22">
        <f t="shared" si="3"/>
        <v>84.710417513367645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8.2874999999999979</v>
      </c>
      <c r="AI56" s="13">
        <f>IF('Données projet'!$A$62&gt;35,AI55+AH56-AQ55,IF(A56&lt;'Données projet'!$A$62,$AF$205^A56,IF(A56='Données projet'!$A$62,'Données projet'!$B$62,AI55+AH56-AQ55)))</f>
        <v>149.465</v>
      </c>
      <c r="AJ56" s="13">
        <f>AI56*VLOOKUP('Données projet'!$B$10,Paramètres!$A$1:$I$89,3,0)*VLOOKUP('Données projet'!$B$10,Paramètres!$A$1:$I$89,5,0)</f>
        <v>135.23593200000002</v>
      </c>
      <c r="AK56" s="13">
        <f t="shared" si="35"/>
        <v>35.203435069936809</v>
      </c>
      <c r="AL56" s="20">
        <f t="shared" si="4"/>
        <v>296.84856431347328</v>
      </c>
      <c r="AM56" s="59">
        <f t="shared" si="5"/>
        <v>590.18189764680665</v>
      </c>
      <c r="AN56" s="59">
        <f ca="1">AVERAGE(OFFSET($AM$3,0,0,'Données projet'!$E$10+1,1))-AVERAGE(OFFSET($H$3,0,0,'Données projet'!$E$10+1,1))</f>
        <v>321.13571401604742</v>
      </c>
      <c r="AO56" s="59">
        <f t="shared" si="36"/>
        <v>225.55225019382294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9.1409703031494214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9.1409703031494214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25.974000000000032</v>
      </c>
      <c r="D57" s="11">
        <f t="shared" si="32"/>
        <v>8.1929174784004761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263.74462614905656</v>
      </c>
      <c r="H57" s="67">
        <f t="shared" si="1"/>
        <v>352.84071460821417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18</v>
      </c>
      <c r="N57" s="13">
        <f>IF('Données projet'!$A$36&gt;35,N56+M57-V56,IF(A57&lt;'Données projet'!$A$36,$K$205^A57,IF(A57='Données projet'!$A$36,'Données projet'!$B$36,N56+M57-V56)))</f>
        <v>665.99999999999989</v>
      </c>
      <c r="O57" s="13">
        <f>N57*VLOOKUP('Données projet'!$B$9,Paramètres!$A$1:$I$89,3,0)*VLOOKUP('Données projet'!$B$9,Paramètres!$A$1:$I$89,5,0)</f>
        <v>372.29399999999993</v>
      </c>
      <c r="P57" s="13">
        <f t="shared" si="33"/>
        <v>86.136449661008839</v>
      </c>
      <c r="Q57" s="20">
        <f t="shared" si="53"/>
        <v>798.4330331595902</v>
      </c>
      <c r="R57" s="59">
        <f t="shared" si="0"/>
        <v>1091.7663664929235</v>
      </c>
      <c r="S57" s="59">
        <f ca="1">AVERAGE(OFFSET($R$3,0,0,'Données projet'!$E$9+1,1))-AVERAGE(OFFSET($H$3,0,0,'Données projet'!$E$9+1,1))</f>
        <v>470.58485082099065</v>
      </c>
      <c r="T57" s="59">
        <f t="shared" si="34"/>
        <v>498.77167507743559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55.044296686855446</v>
      </c>
      <c r="AA57" s="21">
        <f>EXP(-LN(2)/25)*AA56+(1-EXP(-LN(2)/25))/(LN(2)/25)*Calculateur!V57*Calculateur!X57*VLOOKUP('Données projet'!$B$9,Paramètres!$A$1:$I$89,3,0)*0.475*44/12</f>
        <v>25.990257074930327</v>
      </c>
      <c r="AB57" s="21">
        <f>EXP(-LN(2)/2)*AB56+(1-EXP(-LN(2)/2))/(LN(2)/2)*V57*Y57*VLOOKUP('Données projet'!$B$9,Paramètres!$A$1:$I$89,3,0)*0.475*44/12</f>
        <v>1.304048904142143</v>
      </c>
      <c r="AC57" s="22">
        <f t="shared" si="3"/>
        <v>82.338602665927922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8.2874999999999979</v>
      </c>
      <c r="AI57" s="13">
        <f>IF('Données projet'!$A$62&gt;35,AI56+AH57-AQ56,IF(A57&lt;'Données projet'!$A$62,$AF$205^A57,IF(A57='Données projet'!$A$62,'Données projet'!$B$62,AI56+AH57-AQ56)))</f>
        <v>157.7525</v>
      </c>
      <c r="AJ57" s="13">
        <f>AI57*VLOOKUP('Données projet'!$B$10,Paramètres!$A$1:$I$89,3,0)*VLOOKUP('Données projet'!$B$10,Paramètres!$A$1:$I$89,5,0)</f>
        <v>142.73446200000001</v>
      </c>
      <c r="AK57" s="13">
        <f t="shared" si="35"/>
        <v>36.922725369813143</v>
      </c>
      <c r="AL57" s="20">
        <f t="shared" si="4"/>
        <v>312.90293466909122</v>
      </c>
      <c r="AM57" s="59">
        <f t="shared" si="5"/>
        <v>606.23626800242459</v>
      </c>
      <c r="AN57" s="59">
        <f ca="1">AVERAGE(OFFSET($AM$3,0,0,'Données projet'!$E$10+1,1))-AVERAGE(OFFSET($H$3,0,0,'Données projet'!$E$10+1,1))</f>
        <v>321.13571401604742</v>
      </c>
      <c r="AO57" s="59">
        <f t="shared" si="36"/>
        <v>225.55225019382294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8.9617214509460172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8.9617214509460172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26.455000000000034</v>
      </c>
      <c r="D58" s="11">
        <f t="shared" si="32"/>
        <v>8.3268343824014242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268.49135312730948</v>
      </c>
      <c r="H58" s="67">
        <f t="shared" si="1"/>
        <v>353.91169488268253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684</v>
      </c>
      <c r="L58" s="12">
        <f>VLOOKUP(A58,'Données projet'!$A$35:$I$55,9,0)</f>
        <v>18</v>
      </c>
      <c r="M58" s="12">
        <f t="array" ref="M58">INDEX(L:L,MIN(IF(ISNUMBER(L58:L254),ROW(L58:L254),"")))</f>
        <v>18</v>
      </c>
      <c r="N58" s="13">
        <f>IF('Données projet'!$A$36&gt;35,N57+M58-V57,IF(A58&lt;'Données projet'!$A$36,$K$205^A58,IF(A58='Données projet'!$A$36,'Données projet'!$B$36,N57+M58-V57)))</f>
        <v>683.99999999999989</v>
      </c>
      <c r="O58" s="13">
        <f>N58*VLOOKUP('Données projet'!$B$9,Paramètres!$A$1:$I$89,3,0)*VLOOKUP('Données projet'!$B$9,Paramètres!$A$1:$I$89,5,0)</f>
        <v>382.35599999999994</v>
      </c>
      <c r="P58" s="13">
        <f t="shared" si="33"/>
        <v>88.190277629826127</v>
      </c>
      <c r="Q58" s="20">
        <f t="shared" si="53"/>
        <v>819.534766871947</v>
      </c>
      <c r="R58" s="59">
        <f t="shared" si="0"/>
        <v>1112.8681002052804</v>
      </c>
      <c r="S58" s="59">
        <f ca="1">AVERAGE(OFFSET($R$3,0,0,'Données projet'!$E$9+1,1))-AVERAGE(OFFSET($H$3,0,0,'Données projet'!$E$9+1,1))</f>
        <v>470.58485082099065</v>
      </c>
      <c r="T58" s="59">
        <f t="shared" si="34"/>
        <v>498.77167507743559</v>
      </c>
      <c r="U58" s="15">
        <f>IF(ISNA(VLOOKUP(A58,'Données projet'!$A$35:$I$55,3,0)),0,VLOOKUP(A58,'Données projet'!$A$35:$I$55,3,0))</f>
        <v>9</v>
      </c>
      <c r="V58" s="15">
        <f>IF(ISNA(VLOOKUP(A58,'Données projet'!$A$35:$I$55,4,0)),0,VLOOKUP(A58,'Données projet'!$A$35:$I$55,4,0))</f>
        <v>51</v>
      </c>
      <c r="W58" s="16">
        <f>IF(ISNA(VLOOKUP(A58,'Données projet'!$A$35:$I$55,5,0)),0%,VLOOKUP(A58,'Données projet'!$A$35:$I$55,5,0)*VLOOKUP('Données projet'!$B$9,Paramètres!$A$1:$I$89,7,0))</f>
        <v>0.44000000000000006</v>
      </c>
      <c r="X58" s="16">
        <f>IF(ISNA(VLOOKUP(A58,'Données projet'!$A$35:$I$55,6,0)),0%,VLOOKUP(A58,'Données projet'!$A$35:$I$55,6,0)*VLOOKUP('Données projet'!$B$9,Paramètres!$A$1:$I$89,7,0))</f>
        <v>6.0500000000000005E-2</v>
      </c>
      <c r="Y58" s="16">
        <f>IF(ISNA(VLOOKUP(A58,'Données projet'!$A$35:$I$55,7,0)),0%,VLOOKUP(A58,'Données projet'!$A$35:$I$55,7,0))</f>
        <v>0.09</v>
      </c>
      <c r="Z58" s="21">
        <f>EXP(-LN(2)/35)*Z57+(1-EXP(-LN(2)/35))/(LN(2)/35)*V58*W58*VLOOKUP('Données projet'!$B$9,Paramètres!$A$1:$I$89,3,0)*0.475*44/12</f>
        <v>70.605283068987433</v>
      </c>
      <c r="AA58" s="21">
        <f>EXP(-LN(2)/25)*AA57+(1-EXP(-LN(2)/25))/(LN(2)/25)*Calculateur!V58*Calculateur!X58*VLOOKUP('Données projet'!$B$9,Paramètres!$A$1:$I$89,3,0)*0.475*44/12</f>
        <v>27.558594276181221</v>
      </c>
      <c r="AB58" s="21">
        <f>EXP(-LN(2)/2)*AB57+(1-EXP(-LN(2)/2))/(LN(2)/2)*V58*Y58*VLOOKUP('Données projet'!$B$9,Paramètres!$A$1:$I$89,3,0)*0.475*44/12</f>
        <v>3.8271947744341768</v>
      </c>
      <c r="AC58" s="22">
        <f t="shared" si="3"/>
        <v>101.99107211960283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8.2874999999999979</v>
      </c>
      <c r="AI58" s="13">
        <f>IF('Données projet'!$A$62&gt;35,AI57+AH58-AQ57,IF(A58&lt;'Données projet'!$A$62,$AF$205^A58,IF(A58='Données projet'!$A$62,'Données projet'!$B$62,AI57+AH58-AQ57)))</f>
        <v>166.04</v>
      </c>
      <c r="AJ58" s="13">
        <f>AI58*VLOOKUP('Données projet'!$B$10,Paramètres!$A$1:$I$89,3,0)*VLOOKUP('Données projet'!$B$10,Paramètres!$A$1:$I$89,5,0)</f>
        <v>150.232992</v>
      </c>
      <c r="AK58" s="13">
        <f t="shared" si="35"/>
        <v>38.631529105107383</v>
      </c>
      <c r="AL58" s="20">
        <f t="shared" si="4"/>
        <v>328.93904092472866</v>
      </c>
      <c r="AM58" s="59">
        <f t="shared" si="5"/>
        <v>622.27237425806197</v>
      </c>
      <c r="AN58" s="59">
        <f ca="1">AVERAGE(OFFSET($AM$3,0,0,'Données projet'!$E$10+1,1))-AVERAGE(OFFSET($H$3,0,0,'Données projet'!$E$10+1,1))</f>
        <v>321.13571401604742</v>
      </c>
      <c r="AO58" s="59">
        <f t="shared" si="36"/>
        <v>225.55225019382294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8.785987559403317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8.785987559403317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26.936000000000035</v>
      </c>
      <c r="D59" s="11">
        <f t="shared" si="32"/>
        <v>8.4604681527401535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273.23589451238041</v>
      </c>
      <c r="H59" s="67">
        <f t="shared" si="1"/>
        <v>354.98218203268914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17</v>
      </c>
      <c r="N59" s="13">
        <f>IF('Données projet'!$A$36&gt;35,N58+M59-V58,IF(A59&lt;'Données projet'!$A$36,$K$205^A59,IF(A59='Données projet'!$A$36,'Données projet'!$B$36,N58+M59-V58)))</f>
        <v>649.99999999999989</v>
      </c>
      <c r="O59" s="13">
        <f>N59*VLOOKUP('Données projet'!$B$9,Paramètres!$A$1:$I$89,3,0)*VLOOKUP('Données projet'!$B$9,Paramètres!$A$1:$I$89,5,0)</f>
        <v>363.34999999999997</v>
      </c>
      <c r="P59" s="13">
        <f t="shared" si="33"/>
        <v>84.30539746449827</v>
      </c>
      <c r="Q59" s="20">
        <f t="shared" si="53"/>
        <v>779.6664839173344</v>
      </c>
      <c r="R59" s="59">
        <f t="shared" si="0"/>
        <v>1072.9998172506678</v>
      </c>
      <c r="S59" s="59">
        <f ca="1">AVERAGE(OFFSET($R$3,0,0,'Données projet'!$E$9+1,1))-AVERAGE(OFFSET($H$3,0,0,'Données projet'!$E$9+1,1))</f>
        <v>470.58485082099065</v>
      </c>
      <c r="T59" s="59">
        <f t="shared" si="34"/>
        <v>498.77167507743559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69.220756532974946</v>
      </c>
      <c r="AA59" s="21">
        <f>EXP(-LN(2)/25)*AA58+(1-EXP(-LN(2)/25))/(LN(2)/25)*Calculateur!V59*Calculateur!X59*VLOOKUP('Données projet'!$B$9,Paramètres!$A$1:$I$89,3,0)*0.475*44/12</f>
        <v>26.805003066455559</v>
      </c>
      <c r="AB59" s="21">
        <f>EXP(-LN(2)/2)*AB58+(1-EXP(-LN(2)/2))/(LN(2)/2)*V59*Y59*VLOOKUP('Données projet'!$B$9,Paramètres!$A$1:$I$89,3,0)*0.475*44/12</f>
        <v>2.7062353779241257</v>
      </c>
      <c r="AC59" s="22">
        <f t="shared" si="3"/>
        <v>98.731994977354631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8.2874999999999979</v>
      </c>
      <c r="AI59" s="13">
        <f>IF('Données projet'!$A$62&gt;35,AI58+AH59-AQ58,IF(A59&lt;'Données projet'!$A$62,$AF$205^A59,IF(A59='Données projet'!$A$62,'Données projet'!$B$62,AI58+AH59-AQ58)))</f>
        <v>174.32749999999999</v>
      </c>
      <c r="AJ59" s="13">
        <f>AI59*VLOOKUP('Données projet'!$B$10,Paramètres!$A$1:$I$89,3,0)*VLOOKUP('Données projet'!$B$10,Paramètres!$A$1:$I$89,5,0)</f>
        <v>157.73152199999998</v>
      </c>
      <c r="AK59" s="13">
        <f t="shared" si="35"/>
        <v>40.330429415213182</v>
      </c>
      <c r="AL59" s="20">
        <f t="shared" si="4"/>
        <v>344.95789871482958</v>
      </c>
      <c r="AM59" s="59">
        <f t="shared" si="5"/>
        <v>638.2912320481629</v>
      </c>
      <c r="AN59" s="59">
        <f ca="1">AVERAGE(OFFSET($AM$3,0,0,'Données projet'!$E$10+1,1))-AVERAGE(OFFSET($H$3,0,0,'Données projet'!$E$10+1,1))</f>
        <v>321.13571401604742</v>
      </c>
      <c r="AO59" s="59">
        <f t="shared" si="36"/>
        <v>225.55225019382294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8.613699702286679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8.613699702286679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27.417000000000037</v>
      </c>
      <c r="D60" s="11">
        <f t="shared" si="32"/>
        <v>8.5938244286305778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277.97829383504336</v>
      </c>
      <c r="H60" s="67">
        <f t="shared" si="1"/>
        <v>356.05218587986496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17</v>
      </c>
      <c r="N60" s="13">
        <f>IF('Données projet'!$A$36&gt;35,N59+M60-V59,IF(A60&lt;'Données projet'!$A$36,$K$205^A60,IF(A60='Données projet'!$A$36,'Données projet'!$B$36,N59+M60-V59)))</f>
        <v>666.99999999999989</v>
      </c>
      <c r="O60" s="13">
        <f>N60*VLOOKUP('Données projet'!$B$9,Paramètres!$A$1:$I$89,3,0)*VLOOKUP('Données projet'!$B$9,Paramètres!$A$1:$I$89,5,0)</f>
        <v>372.85299999999995</v>
      </c>
      <c r="P60" s="13">
        <f t="shared" si="33"/>
        <v>86.250719209905597</v>
      </c>
      <c r="Q60" s="20">
        <f t="shared" si="53"/>
        <v>799.60564429058547</v>
      </c>
      <c r="R60" s="59">
        <f t="shared" si="0"/>
        <v>1092.9389776239188</v>
      </c>
      <c r="S60" s="59">
        <f ca="1">AVERAGE(OFFSET($R$3,0,0,'Données projet'!$E$9+1,1))-AVERAGE(OFFSET($H$3,0,0,'Données projet'!$E$9+1,1))</f>
        <v>470.58485082099065</v>
      </c>
      <c r="T60" s="59">
        <f t="shared" si="34"/>
        <v>498.77167507743559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67.863379717855864</v>
      </c>
      <c r="AA60" s="21">
        <f>EXP(-LN(2)/25)*AA59+(1-EXP(-LN(2)/25))/(LN(2)/25)*Calculateur!V60*Calculateur!X60*VLOOKUP('Données projet'!$B$9,Paramètres!$A$1:$I$89,3,0)*0.475*44/12</f>
        <v>26.072018847989483</v>
      </c>
      <c r="AB60" s="21">
        <f>EXP(-LN(2)/2)*AB59+(1-EXP(-LN(2)/2))/(LN(2)/2)*V60*Y60*VLOOKUP('Données projet'!$B$9,Paramètres!$A$1:$I$89,3,0)*0.475*44/12</f>
        <v>1.9135973872170886</v>
      </c>
      <c r="AC60" s="22">
        <f t="shared" si="3"/>
        <v>95.848995953062442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8.2874999999999979</v>
      </c>
      <c r="AI60" s="13">
        <f>IF('Données projet'!$A$62&gt;35,AI59+AH60-AQ59,IF(A60&lt;'Données projet'!$A$62,$AF$205^A60,IF(A60='Données projet'!$A$62,'Données projet'!$B$62,AI59+AH60-AQ59)))</f>
        <v>182.61499999999998</v>
      </c>
      <c r="AJ60" s="13">
        <f>AI60*VLOOKUP('Données projet'!$B$10,Paramètres!$A$1:$I$89,3,0)*VLOOKUP('Données projet'!$B$10,Paramètres!$A$1:$I$89,5,0)</f>
        <v>165.23005199999997</v>
      </c>
      <c r="AK60" s="13">
        <f t="shared" si="35"/>
        <v>42.019950861853005</v>
      </c>
      <c r="AL60" s="20">
        <f t="shared" si="4"/>
        <v>360.96042165106059</v>
      </c>
      <c r="AM60" s="59">
        <f t="shared" si="5"/>
        <v>654.2937549843939</v>
      </c>
      <c r="AN60" s="59">
        <f ca="1">AVERAGE(OFFSET($AM$3,0,0,'Données projet'!$E$10+1,1))-AVERAGE(OFFSET($H$3,0,0,'Données projet'!$E$10+1,1))</f>
        <v>321.13571401604742</v>
      </c>
      <c r="AO60" s="59">
        <f t="shared" si="36"/>
        <v>225.55225019382294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8.4447903049628827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8.4447903049628827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27.898000000000039</v>
      </c>
      <c r="D61" s="11">
        <f t="shared" si="32"/>
        <v>8.7269086400851155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282.71859301118366</v>
      </c>
      <c r="H61" s="67">
        <f t="shared" si="1"/>
        <v>357.12171588148163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17</v>
      </c>
      <c r="N61" s="13">
        <f>IF('Données projet'!$A$36&gt;35,N60+M61-V60,IF(A61&lt;'Données projet'!$A$36,$K$205^A61,IF(A61='Données projet'!$A$36,'Données projet'!$B$36,N60+M61-V60)))</f>
        <v>683.99999999999989</v>
      </c>
      <c r="O61" s="13">
        <f>N61*VLOOKUP('Données projet'!$B$9,Paramètres!$A$1:$I$89,3,0)*VLOOKUP('Données projet'!$B$9,Paramètres!$A$1:$I$89,5,0)</f>
        <v>382.35599999999994</v>
      </c>
      <c r="P61" s="13">
        <f t="shared" si="33"/>
        <v>88.190277629826127</v>
      </c>
      <c r="Q61" s="20">
        <f t="shared" si="53"/>
        <v>819.534766871947</v>
      </c>
      <c r="R61" s="59">
        <f t="shared" si="0"/>
        <v>1112.8681002052804</v>
      </c>
      <c r="S61" s="59">
        <f ca="1">AVERAGE(OFFSET($R$3,0,0,'Données projet'!$E$9+1,1))-AVERAGE(OFFSET($H$3,0,0,'Données projet'!$E$9+1,1))</f>
        <v>470.58485082099065</v>
      </c>
      <c r="T61" s="59">
        <f t="shared" si="34"/>
        <v>498.77167507743559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66.532620234163161</v>
      </c>
      <c r="AA61" s="21">
        <f>EXP(-LN(2)/25)*AA60+(1-EXP(-LN(2)/25))/(LN(2)/25)*Calculateur!V61*Calculateur!X61*VLOOKUP('Données projet'!$B$9,Paramètres!$A$1:$I$89,3,0)*0.475*44/12</f>
        <v>25.359078121523329</v>
      </c>
      <c r="AB61" s="21">
        <f>EXP(-LN(2)/2)*AB60+(1-EXP(-LN(2)/2))/(LN(2)/2)*V61*Y61*VLOOKUP('Données projet'!$B$9,Paramètres!$A$1:$I$89,3,0)*0.475*44/12</f>
        <v>1.3531176889620631</v>
      </c>
      <c r="AC61" s="22">
        <f t="shared" si="3"/>
        <v>93.244816044648545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8.2874999999999979</v>
      </c>
      <c r="AI61" s="13">
        <f>IF('Données projet'!$A$62&gt;35,AI60+AH61-AQ60,IF(A61&lt;'Données projet'!$A$62,$AF$205^A61,IF(A61='Données projet'!$A$62,'Données projet'!$B$62,AI60+AH61-AQ60)))</f>
        <v>190.90249999999997</v>
      </c>
      <c r="AJ61" s="13">
        <f>AI61*VLOOKUP('Données projet'!$B$10,Paramètres!$A$1:$I$89,3,0)*VLOOKUP('Données projet'!$B$10,Paramètres!$A$1:$I$89,5,0)</f>
        <v>172.72858199999996</v>
      </c>
      <c r="AK61" s="13">
        <f t="shared" si="35"/>
        <v>43.700567703700294</v>
      </c>
      <c r="AL61" s="20">
        <f t="shared" si="4"/>
        <v>376.94743573394459</v>
      </c>
      <c r="AM61" s="59">
        <f t="shared" si="5"/>
        <v>670.2807690672779</v>
      </c>
      <c r="AN61" s="59">
        <f ca="1">AVERAGE(OFFSET($AM$3,0,0,'Données projet'!$E$10+1,1))-AVERAGE(OFFSET($H$3,0,0,'Données projet'!$E$10+1,1))</f>
        <v>321.13571401604742</v>
      </c>
      <c r="AO61" s="59">
        <f t="shared" si="36"/>
        <v>225.55225019382294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8.2791931178960461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8.2791931178960461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28.37900000000004</v>
      </c>
      <c r="D62" s="11">
        <f t="shared" si="32"/>
        <v>8.8597260191462528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287.45683242849771</v>
      </c>
      <c r="H62" s="67">
        <f t="shared" si="1"/>
        <v>358.19078115001309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17</v>
      </c>
      <c r="N62" s="13">
        <f>IF('Données projet'!$A$36&gt;35,N61+M62-V61,IF(A62&lt;'Données projet'!$A$36,$K$205^A62,IF(A62='Données projet'!$A$36,'Données projet'!$B$36,N61+M62-V61)))</f>
        <v>700.99999999999989</v>
      </c>
      <c r="O62" s="13">
        <f>N62*VLOOKUP('Données projet'!$B$9,Paramètres!$A$1:$I$89,3,0)*VLOOKUP('Données projet'!$B$9,Paramètres!$A$1:$I$89,5,0)</f>
        <v>391.85899999999992</v>
      </c>
      <c r="P62" s="13">
        <f t="shared" si="33"/>
        <v>90.124232440176513</v>
      </c>
      <c r="Q62" s="20">
        <f t="shared" si="53"/>
        <v>839.45412983330732</v>
      </c>
      <c r="R62" s="59">
        <f t="shared" si="0"/>
        <v>1132.7874631666407</v>
      </c>
      <c r="S62" s="59">
        <f ca="1">AVERAGE(OFFSET($R$3,0,0,'Données projet'!$E$9+1,1))-AVERAGE(OFFSET($H$3,0,0,'Données projet'!$E$9+1,1))</f>
        <v>470.58485082099065</v>
      </c>
      <c r="T62" s="59">
        <f t="shared" si="34"/>
        <v>498.77167507743559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65.227956132262534</v>
      </c>
      <c r="AA62" s="21">
        <f>EXP(-LN(2)/25)*AA61+(1-EXP(-LN(2)/25))/(LN(2)/25)*Calculateur!V62*Calculateur!X62*VLOOKUP('Données projet'!$B$9,Paramètres!$A$1:$I$89,3,0)*0.475*44/12</f>
        <v>24.665632796714313</v>
      </c>
      <c r="AB62" s="21">
        <f>EXP(-LN(2)/2)*AB61+(1-EXP(-LN(2)/2))/(LN(2)/2)*V62*Y62*VLOOKUP('Données projet'!$B$9,Paramètres!$A$1:$I$89,3,0)*0.475*44/12</f>
        <v>0.95679869360854453</v>
      </c>
      <c r="AC62" s="22">
        <f t="shared" si="3"/>
        <v>90.850387622585387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>
        <f>VLOOKUP(A62,'Données projet'!$A$61:$I$81,2,0)</f>
        <v>199.19</v>
      </c>
      <c r="AG62" s="12">
        <f>VLOOKUP(A62,'Données projet'!$A$61:$I$81,9,0)</f>
        <v>8.2874999999999979</v>
      </c>
      <c r="AH62" s="12">
        <f t="array" ref="AH62">INDEX(AG:AG,MIN(IF(ISNUMBER(AG62:AG258),ROW(AG62:AG258),"")))</f>
        <v>8.2874999999999979</v>
      </c>
      <c r="AI62" s="13">
        <f>IF('Données projet'!$A$62&gt;35,AI61+AH62-AQ61,IF(A62&lt;'Données projet'!$A$62,$AF$205^A62,IF(A62='Données projet'!$A$62,'Données projet'!$B$62,AI61+AH62-AQ61)))</f>
        <v>199.18999999999997</v>
      </c>
      <c r="AJ62" s="13">
        <f>AI62*VLOOKUP('Données projet'!$B$10,Paramètres!$A$1:$I$89,3,0)*VLOOKUP('Données projet'!$B$10,Paramètres!$A$1:$I$89,5,0)</f>
        <v>180.22711199999998</v>
      </c>
      <c r="AK62" s="13">
        <f t="shared" si="35"/>
        <v>45.372710693580842</v>
      </c>
      <c r="AL62" s="20">
        <f t="shared" si="4"/>
        <v>392.91969119131994</v>
      </c>
      <c r="AM62" s="59">
        <f t="shared" si="5"/>
        <v>686.25302452465326</v>
      </c>
      <c r="AN62" s="59">
        <f ca="1">AVERAGE(OFFSET($AM$3,0,0,'Données projet'!$E$10+1,1))-AVERAGE(OFFSET($H$3,0,0,'Données projet'!$E$10+1,1))</f>
        <v>321.13571401604742</v>
      </c>
      <c r="AO62" s="59">
        <f t="shared" si="36"/>
        <v>225.55225019382294</v>
      </c>
      <c r="AP62" s="15">
        <f>IF(ISNA(VLOOKUP(A62,'Données projet'!$A$61:$I$81,3,0)),0,VLOOKUP(A62,'Données projet'!$A$61:$I$81,3,0))</f>
        <v>3</v>
      </c>
      <c r="AQ62" s="15">
        <f>IF(ISNA(VLOOKUP(A62,'Données projet'!$A$61:$I$81,4,0)),0,VLOOKUP(A62,'Données projet'!$A$61:$I$81,4,0))</f>
        <v>48.96</v>
      </c>
      <c r="AR62" s="16">
        <f>IF(ISNA(VLOOKUP(A62,'Données projet'!$A$61:$I$81,5,0)),0%,VLOOKUP(A62,'Données projet'!$A$61:$I$81,5,0)*VLOOKUP('Données projet'!$B$10,Paramètres!$A$1:$I$89,7,0))</f>
        <v>8.6000000000000007E-2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12.328369932718896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12.328369932718896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28.860000000000042</v>
      </c>
      <c r="D63" s="11">
        <f t="shared" si="32"/>
        <v>8.9922816103350858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292.19305102714833</v>
      </c>
      <c r="H63" s="67">
        <f t="shared" si="1"/>
        <v>359.25939047133363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718</v>
      </c>
      <c r="L63" s="12">
        <f>VLOOKUP(A63,'Données projet'!$A$35:$I$55,9,0)</f>
        <v>17</v>
      </c>
      <c r="M63" s="12">
        <f t="array" ref="M63">INDEX(L:L,MIN(IF(ISNUMBER(L63:L259),ROW(L63:L259),"")))</f>
        <v>17</v>
      </c>
      <c r="N63" s="13">
        <f>IF('Données projet'!$A$36&gt;35,N62+M63-V62,IF(A63&lt;'Données projet'!$A$36,$K$205^A63,IF(A63='Données projet'!$A$36,'Données projet'!$B$36,N62+M63-V62)))</f>
        <v>717.99999999999989</v>
      </c>
      <c r="O63" s="13">
        <f>N63*VLOOKUP('Données projet'!$B$9,Paramètres!$A$1:$I$89,3,0)*VLOOKUP('Données projet'!$B$9,Paramètres!$A$1:$I$89,5,0)</f>
        <v>401.36199999999997</v>
      </c>
      <c r="P63" s="13">
        <f t="shared" si="33"/>
        <v>92.052735168600762</v>
      </c>
      <c r="Q63" s="20">
        <f t="shared" si="53"/>
        <v>859.3639970853128</v>
      </c>
      <c r="R63" s="59">
        <f t="shared" si="0"/>
        <v>1152.6973304186461</v>
      </c>
      <c r="S63" s="59">
        <f ca="1">AVERAGE(OFFSET($R$3,0,0,'Données projet'!$E$9+1,1))-AVERAGE(OFFSET($H$3,0,0,'Données projet'!$E$9+1,1))</f>
        <v>470.58485082099065</v>
      </c>
      <c r="T63" s="59">
        <f t="shared" si="34"/>
        <v>498.77167507743559</v>
      </c>
      <c r="U63" s="15">
        <f>IF(ISNA(VLOOKUP(A63,'Données projet'!$A$35:$I$55,3,0)),0,VLOOKUP(A63,'Données projet'!$A$35:$I$55,3,0))</f>
        <v>10</v>
      </c>
      <c r="V63" s="15">
        <f>IF(ISNA(VLOOKUP(A63,'Données projet'!$A$35:$I$55,4,0)),0,VLOOKUP(A63,'Données projet'!$A$35:$I$55,4,0))</f>
        <v>45</v>
      </c>
      <c r="W63" s="16">
        <f>IF(ISNA(VLOOKUP(A63,'Données projet'!$A$35:$I$55,5,0)),0%,VLOOKUP(A63,'Données projet'!$A$35:$I$55,5,0)*VLOOKUP('Données projet'!$B$9,Paramètres!$A$1:$I$89,7,0))</f>
        <v>0.44000000000000006</v>
      </c>
      <c r="X63" s="16">
        <f>IF(ISNA(VLOOKUP(A63,'Données projet'!$A$35:$I$55,6,0)),0%,VLOOKUP(A63,'Données projet'!$A$35:$I$55,6,0)*VLOOKUP('Données projet'!$B$9,Paramètres!$A$1:$I$89,7,0))</f>
        <v>6.0500000000000005E-2</v>
      </c>
      <c r="Y63" s="16">
        <f>IF(ISNA(VLOOKUP(A63,'Données projet'!$A$35:$I$55,7,0)),0%,VLOOKUP(A63,'Données projet'!$A$35:$I$55,7,0))</f>
        <v>0.09</v>
      </c>
      <c r="Z63" s="21">
        <f>EXP(-LN(2)/35)*Z62+(1-EXP(-LN(2)/35))/(LN(2)/35)*V63*W63*VLOOKUP('Données projet'!$B$9,Paramètres!$A$1:$I$89,3,0)*0.475*44/12</f>
        <v>78.631556403329569</v>
      </c>
      <c r="AA63" s="21">
        <f>EXP(-LN(2)/25)*AA62+(1-EXP(-LN(2)/25))/(LN(2)/25)*Calculateur!V63*Calculateur!X63*VLOOKUP('Données projet'!$B$9,Paramètres!$A$1:$I$89,3,0)*0.475*44/12</f>
        <v>26.002069312896328</v>
      </c>
      <c r="AB63" s="21">
        <f>EXP(-LN(2)/2)*AB62+(1-EXP(-LN(2)/2))/(LN(2)/2)*V63*Y63*VLOOKUP('Données projet'!$B$9,Paramètres!$A$1:$I$89,3,0)*0.475*44/12</f>
        <v>3.2398761544660739</v>
      </c>
      <c r="AC63" s="22">
        <f t="shared" si="3"/>
        <v>107.87350187069197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7.6762499999999996</v>
      </c>
      <c r="AI63" s="13">
        <f>IF('Données projet'!$A$62&gt;35,AI62+AH63-AQ62,IF(A63&lt;'Données projet'!$A$62,$AF$205^A63,IF(A63='Données projet'!$A$62,'Données projet'!$B$62,AI62+AH63-AQ62)))</f>
        <v>157.90624999999997</v>
      </c>
      <c r="AJ63" s="13">
        <f>AI63*VLOOKUP('Données projet'!$B$10,Paramètres!$A$1:$I$89,3,0)*VLOOKUP('Données projet'!$B$10,Paramètres!$A$1:$I$89,5,0)</f>
        <v>142.87357499999996</v>
      </c>
      <c r="AK63" s="13">
        <f t="shared" si="35"/>
        <v>36.954520726750353</v>
      </c>
      <c r="AL63" s="20">
        <f t="shared" si="4"/>
        <v>313.20060005742351</v>
      </c>
      <c r="AM63" s="59">
        <f t="shared" si="5"/>
        <v>606.53393339075683</v>
      </c>
      <c r="AN63" s="59">
        <f ca="1">AVERAGE(OFFSET($AM$3,0,0,'Données projet'!$E$10+1,1))-AVERAGE(OFFSET($H$3,0,0,'Données projet'!$E$10+1,1))</f>
        <v>321.13571401604742</v>
      </c>
      <c r="AO63" s="59">
        <f t="shared" si="36"/>
        <v>225.55225019382294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12.086618117901443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12.086618117901443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29.341000000000044</v>
      </c>
      <c r="D64" s="11">
        <f t="shared" si="32"/>
        <v>9.1245802803834923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296.92728637489046</v>
      </c>
      <c r="H64" s="67">
        <f t="shared" si="1"/>
        <v>360.32755232166795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16.399999999999999</v>
      </c>
      <c r="N64" s="13">
        <f>IF('Données projet'!$A$36&gt;35,N63+M64-V63,IF(A64&lt;'Données projet'!$A$36,$K$205^A64,IF(A64='Données projet'!$A$36,'Données projet'!$B$36,N63+M64-V63)))</f>
        <v>689.39999999999986</v>
      </c>
      <c r="O64" s="13">
        <f>N64*VLOOKUP('Données projet'!$B$9,Paramètres!$A$1:$I$89,3,0)*VLOOKUP('Données projet'!$B$9,Paramètres!$A$1:$I$89,5,0)</f>
        <v>385.37459999999993</v>
      </c>
      <c r="P64" s="13">
        <f t="shared" si="33"/>
        <v>88.805192600445807</v>
      </c>
      <c r="Q64" s="20">
        <f t="shared" si="53"/>
        <v>825.8631387791097</v>
      </c>
      <c r="R64" s="59">
        <f t="shared" si="0"/>
        <v>1119.196472112443</v>
      </c>
      <c r="S64" s="59">
        <f ca="1">AVERAGE(OFFSET($R$3,0,0,'Données projet'!$E$9+1,1))-AVERAGE(OFFSET($H$3,0,0,'Données projet'!$E$9+1,1))</f>
        <v>470.58485082099065</v>
      </c>
      <c r="T64" s="59">
        <f t="shared" si="34"/>
        <v>498.77167507743559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77.08963954277398</v>
      </c>
      <c r="AA64" s="21">
        <f>EXP(-LN(2)/25)*AA63+(1-EXP(-LN(2)/25))/(LN(2)/25)*Calculateur!V64*Calculateur!X64*VLOOKUP('Données projet'!$B$9,Paramètres!$A$1:$I$89,3,0)*0.475*44/12</f>
        <v>25.29104136014578</v>
      </c>
      <c r="AB64" s="21">
        <f>EXP(-LN(2)/2)*AB63+(1-EXP(-LN(2)/2))/(LN(2)/2)*V64*Y64*VLOOKUP('Données projet'!$B$9,Paramètres!$A$1:$I$89,3,0)*0.475*44/12</f>
        <v>2.2909383990275551</v>
      </c>
      <c r="AC64" s="22">
        <f t="shared" si="3"/>
        <v>104.67161930194732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7.6762499999999996</v>
      </c>
      <c r="AI64" s="13">
        <f>IF('Données projet'!$A$62&gt;35,AI63+AH64-AQ63,IF(A64&lt;'Données projet'!$A$62,$AF$205^A64,IF(A64='Données projet'!$A$62,'Données projet'!$B$62,AI63+AH64-AQ63)))</f>
        <v>165.58249999999998</v>
      </c>
      <c r="AJ64" s="13">
        <f>AI64*VLOOKUP('Données projet'!$B$10,Paramètres!$A$1:$I$89,3,0)*VLOOKUP('Données projet'!$B$10,Paramètres!$A$1:$I$89,5,0)</f>
        <v>149.81904599999996</v>
      </c>
      <c r="AK64" s="13">
        <f t="shared" si="35"/>
        <v>38.537460286514737</v>
      </c>
      <c r="AL64" s="20">
        <f t="shared" si="4"/>
        <v>328.05424844901307</v>
      </c>
      <c r="AM64" s="59">
        <f t="shared" si="5"/>
        <v>621.38758178234639</v>
      </c>
      <c r="AN64" s="59">
        <f ca="1">AVERAGE(OFFSET($AM$3,0,0,'Données projet'!$E$10+1,1))-AVERAGE(OFFSET($H$3,0,0,'Données projet'!$E$10+1,1))</f>
        <v>321.13571401604742</v>
      </c>
      <c r="AO64" s="59">
        <f t="shared" si="36"/>
        <v>225.55225019382294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11.849606908718512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11.849606908718512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29.822000000000045</v>
      </c>
      <c r="D65" s="11">
        <f t="shared" si="32"/>
        <v>9.2566267273101186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301.65957473713115</v>
      </c>
      <c r="H65" s="67">
        <f t="shared" si="1"/>
        <v>361.39527488339854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16.399999999999999</v>
      </c>
      <c r="N65" s="13">
        <f>IF('Données projet'!$A$36&gt;35,N64+M65-V64,IF(A65&lt;'Données projet'!$A$36,$K$205^A65,IF(A65='Données projet'!$A$36,'Données projet'!$B$36,N64+M65-V64)))</f>
        <v>705.79999999999984</v>
      </c>
      <c r="O65" s="13">
        <f>N65*VLOOKUP('Données projet'!$B$9,Paramètres!$A$1:$I$89,3,0)*VLOOKUP('Données projet'!$B$9,Paramètres!$A$1:$I$89,5,0)</f>
        <v>394.54219999999992</v>
      </c>
      <c r="P65" s="13">
        <f t="shared" si="33"/>
        <v>90.669296864670571</v>
      </c>
      <c r="Q65" s="20">
        <f t="shared" si="53"/>
        <v>845.0766903726344</v>
      </c>
      <c r="R65" s="59">
        <f t="shared" si="0"/>
        <v>1138.4100237059677</v>
      </c>
      <c r="S65" s="59">
        <f ca="1">AVERAGE(OFFSET($R$3,0,0,'Données projet'!$E$9+1,1))-AVERAGE(OFFSET($H$3,0,0,'Données projet'!$E$9+1,1))</f>
        <v>470.58485082099065</v>
      </c>
      <c r="T65" s="59">
        <f t="shared" si="34"/>
        <v>498.77167507743559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75.577958731377464</v>
      </c>
      <c r="AA65" s="21">
        <f>EXP(-LN(2)/25)*AA64+(1-EXP(-LN(2)/25))/(LN(2)/25)*Calculateur!V65*Calculateur!X65*VLOOKUP('Données projet'!$B$9,Paramètres!$A$1:$I$89,3,0)*0.475*44/12</f>
        <v>24.599456504154531</v>
      </c>
      <c r="AB65" s="21">
        <f>EXP(-LN(2)/2)*AB64+(1-EXP(-LN(2)/2))/(LN(2)/2)*V65*Y65*VLOOKUP('Données projet'!$B$9,Paramètres!$A$1:$I$89,3,0)*0.475*44/12</f>
        <v>1.619938077233037</v>
      </c>
      <c r="AC65" s="22">
        <f t="shared" si="3"/>
        <v>101.79735331276503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7.6762499999999996</v>
      </c>
      <c r="AI65" s="13">
        <f>IF('Données projet'!$A$62&gt;35,AI64+AH65-AQ64,IF(A65&lt;'Données projet'!$A$62,$AF$205^A65,IF(A65='Données projet'!$A$62,'Données projet'!$B$62,AI64+AH65-AQ64)))</f>
        <v>173.25874999999999</v>
      </c>
      <c r="AJ65" s="13">
        <f>AI65*VLOOKUP('Données projet'!$B$10,Paramètres!$A$1:$I$89,3,0)*VLOOKUP('Données projet'!$B$10,Paramètres!$A$1:$I$89,5,0)</f>
        <v>156.76451699999998</v>
      </c>
      <c r="AK65" s="13">
        <f t="shared" si="35"/>
        <v>40.111877777510912</v>
      </c>
      <c r="AL65" s="20">
        <f t="shared" si="4"/>
        <v>342.89305423749806</v>
      </c>
      <c r="AM65" s="59">
        <f t="shared" si="5"/>
        <v>636.22638757083132</v>
      </c>
      <c r="AN65" s="59">
        <f ca="1">AVERAGE(OFFSET($AM$3,0,0,'Données projet'!$E$10+1,1))-AVERAGE(OFFSET($H$3,0,0,'Données projet'!$E$10+1,1))</f>
        <v>321.13571401604742</v>
      </c>
      <c r="AO65" s="59">
        <f t="shared" si="36"/>
        <v>225.55225019382294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11.617243344785095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11.617243344785095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30.303000000000047</v>
      </c>
      <c r="D66" s="11">
        <f t="shared" si="32"/>
        <v>9.3884254888941534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306.3899511423412</v>
      </c>
      <c r="H66" s="67">
        <f t="shared" si="1"/>
        <v>362.46256605982404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16.399999999999999</v>
      </c>
      <c r="N66" s="13">
        <f>IF('Données projet'!$A$36&gt;35,N65+M66-V65,IF(A66&lt;'Données projet'!$A$36,$K$205^A66,IF(A66='Données projet'!$A$36,'Données projet'!$B$36,N65+M66-V65)))</f>
        <v>722.19999999999982</v>
      </c>
      <c r="O66" s="13">
        <f>N66*VLOOKUP('Données projet'!$B$9,Paramètres!$A$1:$I$89,3,0)*VLOOKUP('Données projet'!$B$9,Paramètres!$A$1:$I$89,5,0)</f>
        <v>403.70979999999992</v>
      </c>
      <c r="P66" s="13">
        <f t="shared" si="33"/>
        <v>92.528365664842099</v>
      </c>
      <c r="Q66" s="20">
        <f t="shared" si="53"/>
        <v>864.28147186626654</v>
      </c>
      <c r="R66" s="59">
        <f t="shared" si="0"/>
        <v>1157.6148051995999</v>
      </c>
      <c r="S66" s="59">
        <f ca="1">AVERAGE(OFFSET($R$3,0,0,'Données projet'!$E$9+1,1))-AVERAGE(OFFSET($H$3,0,0,'Données projet'!$E$9+1,1))</f>
        <v>470.58485082099065</v>
      </c>
      <c r="T66" s="59">
        <f t="shared" si="34"/>
        <v>498.77167507743559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74.095921058658178</v>
      </c>
      <c r="AA66" s="21">
        <f>EXP(-LN(2)/25)*AA65+(1-EXP(-LN(2)/25))/(LN(2)/25)*Calculateur!V66*Calculateur!X66*VLOOKUP('Données projet'!$B$9,Paramètres!$A$1:$I$89,3,0)*0.475*44/12</f>
        <v>23.92678307241923</v>
      </c>
      <c r="AB66" s="21">
        <f>EXP(-LN(2)/2)*AB65+(1-EXP(-LN(2)/2))/(LN(2)/2)*V66*Y66*VLOOKUP('Données projet'!$B$9,Paramètres!$A$1:$I$89,3,0)*0.475*44/12</f>
        <v>1.1454691995137776</v>
      </c>
      <c r="AC66" s="22">
        <f t="shared" si="3"/>
        <v>99.168173330591188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7.6762499999999996</v>
      </c>
      <c r="AI66" s="13">
        <f>IF('Données projet'!$A$62&gt;35,AI65+AH66-AQ65,IF(A66&lt;'Données projet'!$A$62,$AF$205^A66,IF(A66='Données projet'!$A$62,'Données projet'!$B$62,AI65+AH66-AQ65)))</f>
        <v>180.935</v>
      </c>
      <c r="AJ66" s="13">
        <f>AI66*VLOOKUP('Données projet'!$B$10,Paramètres!$A$1:$I$89,3,0)*VLOOKUP('Données projet'!$B$10,Paramètres!$A$1:$I$89,5,0)</f>
        <v>163.70998799999998</v>
      </c>
      <c r="AK66" s="13">
        <f t="shared" si="35"/>
        <v>41.678193916379044</v>
      </c>
      <c r="AL66" s="20">
        <f t="shared" si="4"/>
        <v>357.71775017102681</v>
      </c>
      <c r="AM66" s="59">
        <f t="shared" si="5"/>
        <v>651.05108350436012</v>
      </c>
      <c r="AN66" s="59">
        <f ca="1">AVERAGE(OFFSET($AM$3,0,0,'Données projet'!$E$10+1,1))-AVERAGE(OFFSET($H$3,0,0,'Données projet'!$E$10+1,1))</f>
        <v>321.13571401604742</v>
      </c>
      <c r="AO66" s="59">
        <f t="shared" si="36"/>
        <v>225.55225019382294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11.389436288612632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11.389436288612632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30.784000000000049</v>
      </c>
      <c r="D67" s="11">
        <f t="shared" si="32"/>
        <v>9.5199809505958548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311.11844944319643</v>
      </c>
      <c r="H67" s="67">
        <f t="shared" si="1"/>
        <v>363.52943348895451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16.399999999999999</v>
      </c>
      <c r="N67" s="13">
        <f>IF('Données projet'!$A$36&gt;35,N66+M67-V66,IF(A67&lt;'Données projet'!$A$36,$K$205^A67,IF(A67='Données projet'!$A$36,'Données projet'!$B$36,N66+M67-V66)))</f>
        <v>738.5999999999998</v>
      </c>
      <c r="O67" s="13">
        <f>N67*VLOOKUP('Données projet'!$B$9,Paramètres!$A$1:$I$89,3,0)*VLOOKUP('Données projet'!$B$9,Paramètres!$A$1:$I$89,5,0)</f>
        <v>412.87739999999991</v>
      </c>
      <c r="P67" s="13">
        <f t="shared" si="33"/>
        <v>94.382526511850514</v>
      </c>
      <c r="Q67" s="20">
        <f t="shared" ref="Q67:Q98" si="54">(O67+P67)*0.475*44/12</f>
        <v>883.47770534147287</v>
      </c>
      <c r="R67" s="59">
        <f t="shared" ref="R67:R130" si="55">Q67+(I67+J67)*44/12</f>
        <v>1176.8110386748062</v>
      </c>
      <c r="S67" s="59">
        <f ca="1">AVERAGE(OFFSET($R$3,0,0,'Données projet'!$E$9+1,1))-AVERAGE(OFFSET($H$3,0,0,'Données projet'!$E$9+1,1))</f>
        <v>470.58485082099065</v>
      </c>
      <c r="T67" s="59">
        <f t="shared" si="34"/>
        <v>498.77167507743559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72.642945240747196</v>
      </c>
      <c r="AA67" s="21">
        <f>EXP(-LN(2)/25)*AA66+(1-EXP(-LN(2)/25))/(LN(2)/25)*Calculateur!V67*Calculateur!X67*VLOOKUP('Données projet'!$B$9,Paramètres!$A$1:$I$89,3,0)*0.475*44/12</f>
        <v>23.272503931049091</v>
      </c>
      <c r="AB67" s="21">
        <f>EXP(-LN(2)/2)*AB66+(1-EXP(-LN(2)/2))/(LN(2)/2)*V67*Y67*VLOOKUP('Données projet'!$B$9,Paramètres!$A$1:$I$89,3,0)*0.475*44/12</f>
        <v>0.80996903861651848</v>
      </c>
      <c r="AC67" s="22">
        <f t="shared" si="3"/>
        <v>96.725418210412798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7.6762499999999996</v>
      </c>
      <c r="AI67" s="13">
        <f>IF('Données projet'!$A$62&gt;35,AI66+AH67-AQ66,IF(A67&lt;'Données projet'!$A$62,$AF$205^A67,IF(A67='Données projet'!$A$62,'Données projet'!$B$62,AI66+AH67-AQ66)))</f>
        <v>188.61125000000001</v>
      </c>
      <c r="AJ67" s="13">
        <f>AI67*VLOOKUP('Données projet'!$B$10,Paramètres!$A$1:$I$89,3,0)*VLOOKUP('Données projet'!$B$10,Paramètres!$A$1:$I$89,5,0)</f>
        <v>170.65545900000001</v>
      </c>
      <c r="AK67" s="13">
        <f t="shared" si="35"/>
        <v>43.236791702313674</v>
      </c>
      <c r="AL67" s="20">
        <f t="shared" si="4"/>
        <v>372.52900330652966</v>
      </c>
      <c r="AM67" s="59">
        <f t="shared" si="5"/>
        <v>665.86233663986297</v>
      </c>
      <c r="AN67" s="59">
        <f ca="1">AVERAGE(OFFSET($AM$3,0,0,'Données projet'!$E$10+1,1))-AVERAGE(OFFSET($H$3,0,0,'Données projet'!$E$10+1,1))</f>
        <v>321.13571401604742</v>
      </c>
      <c r="AO67" s="59">
        <f t="shared" si="36"/>
        <v>225.55225019382294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11.166096389863128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11.166096389863128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31.26500000000005</v>
      </c>
      <c r="D68" s="11">
        <f t="shared" si="32"/>
        <v>9.6512973529679762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315.84510237378828</v>
      </c>
      <c r="H68" s="67">
        <f t="shared" ref="H68:H131" si="56">(B68+E68+F68)*44/12+(C68+D68)*0.475*44/12</f>
        <v>364.59588455641932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>
        <f>VLOOKUP(A68,'Données projet'!$A$35:$I$55,2,0)</f>
        <v>755</v>
      </c>
      <c r="L68" s="12">
        <f>VLOOKUP(A68,'Données projet'!$A$35:$I$55,9,0)</f>
        <v>16.399999999999999</v>
      </c>
      <c r="M68" s="12">
        <f t="array" ref="M68">INDEX(L:L,MIN(IF(ISNUMBER(L68:L264),ROW(L68:L264),"")))</f>
        <v>16.399999999999999</v>
      </c>
      <c r="N68" s="13">
        <f>IF('Données projet'!$A$36&gt;35,N67+M68-V67,IF(A68&lt;'Données projet'!$A$36,$K$205^A68,IF(A68='Données projet'!$A$36,'Données projet'!$B$36,N67+M68-V67)))</f>
        <v>754.99999999999977</v>
      </c>
      <c r="O68" s="13">
        <f>N68*VLOOKUP('Données projet'!$B$9,Paramètres!$A$1:$I$89,3,0)*VLOOKUP('Données projet'!$B$9,Paramètres!$A$1:$I$89,5,0)</f>
        <v>422.0449999999999</v>
      </c>
      <c r="P68" s="13">
        <f t="shared" si="33"/>
        <v>96.231900930736671</v>
      </c>
      <c r="Q68" s="20">
        <f t="shared" si="54"/>
        <v>902.66560245436619</v>
      </c>
      <c r="R68" s="59">
        <f t="shared" si="55"/>
        <v>1195.9989357876996</v>
      </c>
      <c r="S68" s="59">
        <f ca="1">AVERAGE(OFFSET($R$3,0,0,'Données projet'!$E$9+1,1))-AVERAGE(OFFSET($H$3,0,0,'Données projet'!$E$9+1,1))</f>
        <v>470.58485082099065</v>
      </c>
      <c r="T68" s="59">
        <f t="shared" si="34"/>
        <v>498.77167507743559</v>
      </c>
      <c r="U68" s="15">
        <f>IF(ISNA(VLOOKUP(A68,'Données projet'!$A$35:$I$55,3,0)),0,VLOOKUP(A68,'Données projet'!$A$35:$I$55,3,0))</f>
        <v>11</v>
      </c>
      <c r="V68" s="15">
        <f>IF(ISNA(VLOOKUP(A68,'Données projet'!$A$35:$I$55,4,0)),0,VLOOKUP(A68,'Données projet'!$A$35:$I$55,4,0))</f>
        <v>46</v>
      </c>
      <c r="W68" s="16">
        <f>IF(ISNA(VLOOKUP(A68,'Données projet'!$A$35:$I$55,5,0)),0%,VLOOKUP(A68,'Données projet'!$A$35:$I$55,5,0)*VLOOKUP('Données projet'!$B$9,Paramètres!$A$1:$I$89,7,0))</f>
        <v>0.49500000000000005</v>
      </c>
      <c r="X68" s="16">
        <f>IF(ISNA(VLOOKUP(A68,'Données projet'!$A$35:$I$55,6,0)),0%,VLOOKUP(A68,'Données projet'!$A$35:$I$55,6,0)*VLOOKUP('Données projet'!$B$9,Paramètres!$A$1:$I$89,7,0))</f>
        <v>3.3000000000000002E-2</v>
      </c>
      <c r="Y68" s="16">
        <f>IF(ISNA(VLOOKUP(A68,'Données projet'!$A$35:$I$55,7,0)),0%,VLOOKUP(A68,'Données projet'!$A$35:$I$55,7,0))</f>
        <v>0.04</v>
      </c>
      <c r="Z68" s="21">
        <f>EXP(-LN(2)/35)*Z67+(1-EXP(-LN(2)/35))/(LN(2)/35)*V68*W68*VLOOKUP('Données projet'!$B$9,Paramètres!$A$1:$I$89,3,0)*0.475*44/12</f>
        <v>88.103544203948019</v>
      </c>
      <c r="AA68" s="21">
        <f>EXP(-LN(2)/25)*AA67+(1-EXP(-LN(2)/25))/(LN(2)/25)*Calculateur!V68*Calculateur!X68*VLOOKUP('Données projet'!$B$9,Paramètres!$A$1:$I$89,3,0)*0.475*44/12</f>
        <v>23.757356074326783</v>
      </c>
      <c r="AB68" s="21">
        <f>EXP(-LN(2)/2)*AB67+(1-EXP(-LN(2)/2))/(LN(2)/2)*V68*Y68*VLOOKUP('Données projet'!$B$9,Paramètres!$A$1:$I$89,3,0)*0.475*44/12</f>
        <v>1.7373034517007104</v>
      </c>
      <c r="AC68" s="22">
        <f t="shared" ref="AC68:AC131" si="57">SUM(Z68:AB68)</f>
        <v>113.59820372997551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7.6762499999999996</v>
      </c>
      <c r="AI68" s="13">
        <f>IF('Données projet'!$A$62&gt;35,AI67+AH68-AQ67,IF(A68&lt;'Données projet'!$A$62,$AF$205^A68,IF(A68='Données projet'!$A$62,'Données projet'!$B$62,AI67+AH68-AQ67)))</f>
        <v>196.28750000000002</v>
      </c>
      <c r="AJ68" s="13">
        <f>AI68*VLOOKUP('Données projet'!$B$10,Paramètres!$A$1:$I$89,3,0)*VLOOKUP('Données projet'!$B$10,Paramètres!$A$1:$I$89,5,0)</f>
        <v>177.60093000000001</v>
      </c>
      <c r="AK68" s="13">
        <f t="shared" si="35"/>
        <v>44.788021195052877</v>
      </c>
      <c r="AL68" s="20">
        <f t="shared" ref="AL68:AL131" si="58">(AJ68+AK68)*0.475*44/12</f>
        <v>387.32742333138373</v>
      </c>
      <c r="AM68" s="59">
        <f t="shared" ref="AM68:AM131" si="59">AL68+(AD68+AE68)*44/12</f>
        <v>680.66075666471704</v>
      </c>
      <c r="AN68" s="59">
        <f ca="1">AVERAGE(OFFSET($AM$3,0,0,'Données projet'!$E$10+1,1))-AVERAGE(OFFSET($H$3,0,0,'Données projet'!$E$10+1,1))</f>
        <v>321.13571401604742</v>
      </c>
      <c r="AO68" s="59">
        <f t="shared" si="36"/>
        <v>225.55225019382294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10.947136050304215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10.947136050304215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31.746000000000052</v>
      </c>
      <c r="D69" s="11">
        <f t="shared" ref="D69:D132" si="86">IFERROR(EXP(-1.0587+0.8836*LN(C69)+0.284),0)</f>
        <v>9.7823787985981756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320.56994160321437</v>
      </c>
      <c r="H69" s="67">
        <f t="shared" si="56"/>
        <v>365.66192640755855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15.2</v>
      </c>
      <c r="N69" s="13">
        <f>IF('Données projet'!$A$36&gt;35,N68+M69-V68,IF(A69&lt;'Données projet'!$A$36,$K$205^A69,IF(A69='Données projet'!$A$36,'Données projet'!$B$36,N68+M69-V68)))</f>
        <v>724.19999999999982</v>
      </c>
      <c r="O69" s="13">
        <f>N69*VLOOKUP('Données projet'!$B$9,Paramètres!$A$1:$I$89,3,0)*VLOOKUP('Données projet'!$B$9,Paramètres!$A$1:$I$89,5,0)</f>
        <v>404.82779999999985</v>
      </c>
      <c r="P69" s="13">
        <f t="shared" ref="P69:P132" si="87">EXP(-1.0587+0.8836*LN(O69)+0.284)</f>
        <v>92.75474312308576</v>
      </c>
      <c r="Q69" s="20">
        <f t="shared" si="54"/>
        <v>866.62292927270744</v>
      </c>
      <c r="R69" s="59">
        <f t="shared" si="55"/>
        <v>1159.9562626060408</v>
      </c>
      <c r="S69" s="59">
        <f ca="1">AVERAGE(OFFSET($R$3,0,0,'Données projet'!$E$9+1,1))-AVERAGE(OFFSET($H$3,0,0,'Données projet'!$E$9+1,1))</f>
        <v>470.58485082099065</v>
      </c>
      <c r="T69" s="59">
        <f t="shared" ref="T69:T132" si="88">$T$3</f>
        <v>498.77167507743559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86.375887439964387</v>
      </c>
      <c r="AA69" s="21">
        <f>EXP(-LN(2)/25)*AA68+(1-EXP(-LN(2)/25))/(LN(2)/25)*Calculateur!V69*Calculateur!X69*VLOOKUP('Données projet'!$B$9,Paramètres!$A$1:$I$89,3,0)*0.475*44/12</f>
        <v>23.10770992312926</v>
      </c>
      <c r="AB69" s="21">
        <f>EXP(-LN(2)/2)*AB68+(1-EXP(-LN(2)/2))/(LN(2)/2)*V69*Y69*VLOOKUP('Données projet'!$B$9,Paramètres!$A$1:$I$89,3,0)*0.475*44/12</f>
        <v>1.228459051676368</v>
      </c>
      <c r="AC69" s="22">
        <f t="shared" si="57"/>
        <v>110.71205641477002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7.6762499999999996</v>
      </c>
      <c r="AI69" s="13">
        <f>IF('Données projet'!$A$62&gt;35,AI68+AH69-AQ68,IF(A69&lt;'Données projet'!$A$62,$AF$205^A69,IF(A69='Données projet'!$A$62,'Données projet'!$B$62,AI68+AH69-AQ68)))</f>
        <v>203.96375000000003</v>
      </c>
      <c r="AJ69" s="13">
        <f>AI69*VLOOKUP('Données projet'!$B$10,Paramètres!$A$1:$I$89,3,0)*VLOOKUP('Données projet'!$B$10,Paramètres!$A$1:$I$89,5,0)</f>
        <v>184.54640100000003</v>
      </c>
      <c r="AK69" s="13">
        <f t="shared" ref="AK69:AK132" si="89">EXP(-1.0587+0.8836*LN(AJ69)+0.284)</f>
        <v>46.332203524423406</v>
      </c>
      <c r="AL69" s="20">
        <f t="shared" si="58"/>
        <v>402.11356954670413</v>
      </c>
      <c r="AM69" s="59">
        <f t="shared" si="59"/>
        <v>695.44690288003744</v>
      </c>
      <c r="AN69" s="59">
        <f ca="1">AVERAGE(OFFSET($AM$3,0,0,'Données projet'!$E$10+1,1))-AVERAGE(OFFSET($H$3,0,0,'Données projet'!$E$10+1,1))</f>
        <v>321.13571401604742</v>
      </c>
      <c r="AO69" s="59">
        <f t="shared" ref="AO69:AO132" si="90">$AO$3</f>
        <v>225.55225019382294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10.732469389451431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10.732469389451431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32.227000000000054</v>
      </c>
      <c r="D70" s="11">
        <f t="shared" si="86"/>
        <v>9.9132292586187312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325.29299778582924</v>
      </c>
      <c r="H70" s="67">
        <f t="shared" si="56"/>
        <v>366.72756595876103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15.2</v>
      </c>
      <c r="N70" s="13">
        <f>IF('Données projet'!$A$36&gt;35,N69+M70-V69,IF(A70&lt;'Données projet'!$A$36,$K$205^A70,IF(A70='Données projet'!$A$36,'Données projet'!$B$36,N69+M70-V69)))</f>
        <v>739.39999999999986</v>
      </c>
      <c r="O70" s="13">
        <f>N70*VLOOKUP('Données projet'!$B$9,Paramètres!$A$1:$I$89,3,0)*VLOOKUP('Données projet'!$B$9,Paramètres!$A$1:$I$89,5,0)</f>
        <v>413.32459999999998</v>
      </c>
      <c r="P70" s="13">
        <f t="shared" si="87"/>
        <v>94.472849983701352</v>
      </c>
      <c r="Q70" s="20">
        <f t="shared" si="54"/>
        <v>884.41389205494636</v>
      </c>
      <c r="R70" s="59">
        <f t="shared" si="55"/>
        <v>1177.7472253882797</v>
      </c>
      <c r="S70" s="59">
        <f ca="1">AVERAGE(OFFSET($R$3,0,0,'Données projet'!$E$9+1,1))-AVERAGE(OFFSET($H$3,0,0,'Données projet'!$E$9+1,1))</f>
        <v>470.58485082099065</v>
      </c>
      <c r="T70" s="59">
        <f t="shared" si="88"/>
        <v>498.77167507743559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84.682108971355902</v>
      </c>
      <c r="AA70" s="21">
        <f>EXP(-LN(2)/25)*AA69+(1-EXP(-LN(2)/25))/(LN(2)/25)*Calculateur!V70*Calculateur!X70*VLOOKUP('Données projet'!$B$9,Paramètres!$A$1:$I$89,3,0)*0.475*44/12</f>
        <v>22.475828380099639</v>
      </c>
      <c r="AB70" s="21">
        <f>EXP(-LN(2)/2)*AB69+(1-EXP(-LN(2)/2))/(LN(2)/2)*V70*Y70*VLOOKUP('Données projet'!$B$9,Paramètres!$A$1:$I$89,3,0)*0.475*44/12</f>
        <v>0.86865172585035533</v>
      </c>
      <c r="AC70" s="22">
        <f t="shared" si="57"/>
        <v>108.0265890773059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>
        <f>VLOOKUP(A70,'Données projet'!$A$61:$I$81,2,0)</f>
        <v>211.64</v>
      </c>
      <c r="AG70" s="12">
        <f>VLOOKUP(A70,'Données projet'!$A$61:$I$81,9,0)</f>
        <v>7.6762499999999996</v>
      </c>
      <c r="AH70" s="12">
        <f t="array" ref="AH70">INDEX(AG:AG,MIN(IF(ISNUMBER(AG70:AG266),ROW(AG70:AG266),"")))</f>
        <v>7.6762499999999996</v>
      </c>
      <c r="AI70" s="13">
        <f>IF('Données projet'!$A$62&gt;35,AI69+AH70-AQ69,IF(A70&lt;'Données projet'!$A$62,$AF$205^A70,IF(A70='Données projet'!$A$62,'Données projet'!$B$62,AI69+AH70-AQ69)))</f>
        <v>211.64000000000004</v>
      </c>
      <c r="AJ70" s="13">
        <f>AI70*VLOOKUP('Données projet'!$B$10,Paramètres!$A$1:$I$89,3,0)*VLOOKUP('Données projet'!$B$10,Paramètres!$A$1:$I$89,5,0)</f>
        <v>191.49187200000003</v>
      </c>
      <c r="AK70" s="13">
        <f t="shared" si="89"/>
        <v>47.86963427931142</v>
      </c>
      <c r="AL70" s="20">
        <f t="shared" si="58"/>
        <v>416.88795676980072</v>
      </c>
      <c r="AM70" s="59">
        <f t="shared" si="59"/>
        <v>710.22129010313404</v>
      </c>
      <c r="AN70" s="59">
        <f ca="1">AVERAGE(OFFSET($AM$3,0,0,'Données projet'!$E$10+1,1))-AVERAGE(OFFSET($H$3,0,0,'Données projet'!$E$10+1,1))</f>
        <v>321.13571401604742</v>
      </c>
      <c r="AO70" s="59">
        <f t="shared" si="90"/>
        <v>225.55225019382294</v>
      </c>
      <c r="AP70" s="15">
        <f>IF(ISNA(VLOOKUP(A70,'Données projet'!$A$61:$I$81,3,0)),0,VLOOKUP(A70,'Données projet'!$A$61:$I$81,3,0))</f>
        <v>4</v>
      </c>
      <c r="AQ70" s="15">
        <f>IF(ISNA(VLOOKUP(A70,'Données projet'!$A$61:$I$81,4,0)),0,VLOOKUP(A70,'Données projet'!$A$61:$I$81,4,0))</f>
        <v>40.630000000000003</v>
      </c>
      <c r="AR70" s="16">
        <f>IF(ISNA(VLOOKUP(A70,'Données projet'!$A$61:$I$81,5,0)),0%,VLOOKUP(A70,'Données projet'!$A$61:$I$81,5,0)*VLOOKUP('Données projet'!$B$10,Paramètres!$A$1:$I$89,7,0))</f>
        <v>0.129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15.764485603338882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15.764485603338882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32.708000000000055</v>
      </c>
      <c r="D71" s="11">
        <f t="shared" si="86"/>
        <v>10.043852578816578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330.01430060840909</v>
      </c>
      <c r="H71" s="67">
        <f t="shared" si="56"/>
        <v>367.7928099081056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15.2</v>
      </c>
      <c r="N71" s="13">
        <f>IF('Données projet'!$A$36&gt;35,N70+M71-V70,IF(A71&lt;'Données projet'!$A$36,$K$205^A71,IF(A71='Données projet'!$A$36,'Données projet'!$B$36,N70+M71-V70)))</f>
        <v>754.59999999999991</v>
      </c>
      <c r="O71" s="13">
        <f>N71*VLOOKUP('Données projet'!$B$9,Paramètres!$A$1:$I$89,3,0)*VLOOKUP('Données projet'!$B$9,Paramètres!$A$1:$I$89,5,0)</f>
        <v>421.82139999999993</v>
      </c>
      <c r="P71" s="13">
        <f t="shared" si="87"/>
        <v>96.186850265811003</v>
      </c>
      <c r="Q71" s="20">
        <f t="shared" si="54"/>
        <v>902.19770254628736</v>
      </c>
      <c r="R71" s="59">
        <f t="shared" si="55"/>
        <v>1195.5310358796207</v>
      </c>
      <c r="S71" s="59">
        <f ca="1">AVERAGE(OFFSET($R$3,0,0,'Données projet'!$E$9+1,1))-AVERAGE(OFFSET($H$3,0,0,'Données projet'!$E$9+1,1))</f>
        <v>470.58485082099065</v>
      </c>
      <c r="T71" s="59">
        <f t="shared" si="88"/>
        <v>498.77167507743559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83.021544465413967</v>
      </c>
      <c r="AA71" s="21">
        <f>EXP(-LN(2)/25)*AA70+(1-EXP(-LN(2)/25))/(LN(2)/25)*Calculateur!V71*Calculateur!X71*VLOOKUP('Données projet'!$B$9,Paramètres!$A$1:$I$89,3,0)*0.475*44/12</f>
        <v>21.861225671093369</v>
      </c>
      <c r="AB71" s="21">
        <f>EXP(-LN(2)/2)*AB70+(1-EXP(-LN(2)/2))/(LN(2)/2)*V71*Y71*VLOOKUP('Données projet'!$B$9,Paramètres!$A$1:$I$89,3,0)*0.475*44/12</f>
        <v>0.61422952583818413</v>
      </c>
      <c r="AC71" s="22">
        <f t="shared" si="57"/>
        <v>105.49699966234552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7.3250000000000028</v>
      </c>
      <c r="AI71" s="13">
        <f>IF('Données projet'!$A$62&gt;35,AI70+AH71-AQ70,IF(A71&lt;'Données projet'!$A$62,$AF$205^A71,IF(A71='Données projet'!$A$62,'Données projet'!$B$62,AI70+AH71-AQ70)))</f>
        <v>178.33500000000004</v>
      </c>
      <c r="AJ71" s="13">
        <f>AI71*VLOOKUP('Données projet'!$B$10,Paramètres!$A$1:$I$89,3,0)*VLOOKUP('Données projet'!$B$10,Paramètres!$A$1:$I$89,5,0)</f>
        <v>161.35750800000002</v>
      </c>
      <c r="AK71" s="13">
        <f t="shared" si="89"/>
        <v>41.148554406090135</v>
      </c>
      <c r="AL71" s="20">
        <f t="shared" si="58"/>
        <v>352.69805869060701</v>
      </c>
      <c r="AM71" s="59">
        <f t="shared" si="59"/>
        <v>646.03139202394027</v>
      </c>
      <c r="AN71" s="59">
        <f ca="1">AVERAGE(OFFSET($AM$3,0,0,'Données projet'!$E$10+1,1))-AVERAGE(OFFSET($H$3,0,0,'Données projet'!$E$10+1,1))</f>
        <v>321.13571401604742</v>
      </c>
      <c r="AO71" s="59">
        <f t="shared" si="90"/>
        <v>225.55225019382294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15.455353656044183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15.455353656044183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33.189000000000057</v>
      </c>
      <c r="D72" s="11">
        <f t="shared" si="86"/>
        <v>10.174252485373691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334.73387883446406</v>
      </c>
      <c r="H72" s="67">
        <f t="shared" si="56"/>
        <v>368.85766474535927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15.2</v>
      </c>
      <c r="N72" s="13">
        <f>IF('Données projet'!$A$36&gt;35,N71+M72-V71,IF(A72&lt;'Données projet'!$A$36,$K$205^A72,IF(A72='Données projet'!$A$36,'Données projet'!$B$36,N71+M72-V71)))</f>
        <v>769.8</v>
      </c>
      <c r="O72" s="13">
        <f>N72*VLOOKUP('Données projet'!$B$9,Paramètres!$A$1:$I$89,3,0)*VLOOKUP('Données projet'!$B$9,Paramètres!$A$1:$I$89,5,0)</f>
        <v>430.31819999999993</v>
      </c>
      <c r="P72" s="13">
        <f t="shared" si="87"/>
        <v>97.89683622166929</v>
      </c>
      <c r="Q72" s="20">
        <f t="shared" si="54"/>
        <v>919.97452141940721</v>
      </c>
      <c r="R72" s="59">
        <f t="shared" si="55"/>
        <v>1213.3078547527405</v>
      </c>
      <c r="S72" s="59">
        <f ca="1">AVERAGE(OFFSET($R$3,0,0,'Données projet'!$E$9+1,1))-AVERAGE(OFFSET($H$3,0,0,'Données projet'!$E$9+1,1))</f>
        <v>470.58485082099065</v>
      </c>
      <c r="T72" s="59">
        <f t="shared" si="88"/>
        <v>498.77167507743559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81.393542616589215</v>
      </c>
      <c r="AA72" s="21">
        <f>EXP(-LN(2)/25)*AA71+(1-EXP(-LN(2)/25))/(LN(2)/25)*Calculateur!V72*Calculateur!X72*VLOOKUP('Données projet'!$B$9,Paramètres!$A$1:$I$89,3,0)*0.475*44/12</f>
        <v>21.263429305485428</v>
      </c>
      <c r="AB72" s="21">
        <f>EXP(-LN(2)/2)*AB71+(1-EXP(-LN(2)/2))/(LN(2)/2)*V72*Y72*VLOOKUP('Données projet'!$B$9,Paramètres!$A$1:$I$89,3,0)*0.475*44/12</f>
        <v>0.43432586292517772</v>
      </c>
      <c r="AC72" s="22">
        <f t="shared" si="57"/>
        <v>103.09129778499982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7.3250000000000028</v>
      </c>
      <c r="AI72" s="13">
        <f>IF('Données projet'!$A$62&gt;35,AI71+AH72-AQ71,IF(A72&lt;'Données projet'!$A$62,$AF$205^A72,IF(A72='Données projet'!$A$62,'Données projet'!$B$62,AI71+AH72-AQ71)))</f>
        <v>185.66000000000003</v>
      </c>
      <c r="AJ72" s="13">
        <f>AI72*VLOOKUP('Données projet'!$B$10,Paramètres!$A$1:$I$89,3,0)*VLOOKUP('Données projet'!$B$10,Paramètres!$A$1:$I$89,5,0)</f>
        <v>167.98516800000002</v>
      </c>
      <c r="AK72" s="13">
        <f t="shared" si="89"/>
        <v>42.638455591914493</v>
      </c>
      <c r="AL72" s="20">
        <f t="shared" si="58"/>
        <v>366.83614442258437</v>
      </c>
      <c r="AM72" s="59">
        <f t="shared" si="59"/>
        <v>660.16947775591768</v>
      </c>
      <c r="AN72" s="59">
        <f ca="1">AVERAGE(OFFSET($AM$3,0,0,'Données projet'!$E$10+1,1))-AVERAGE(OFFSET($H$3,0,0,'Données projet'!$E$10+1,1))</f>
        <v>321.13571401604742</v>
      </c>
      <c r="AO72" s="59">
        <f t="shared" si="90"/>
        <v>225.55225019382294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15.152283597684065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15.152283597684065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33.670000000000059</v>
      </c>
      <c r="D73" s="11">
        <f t="shared" si="86"/>
        <v>10.304432590265302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339.45176034590804</v>
      </c>
      <c r="H73" s="67">
        <f t="shared" si="56"/>
        <v>369.92213676137879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785</v>
      </c>
      <c r="L73" s="12">
        <f>VLOOKUP(A73,'Données projet'!$A$35:$I$55,9,0)</f>
        <v>15.2</v>
      </c>
      <c r="M73" s="12">
        <f t="array" ref="M73">INDEX(L:L,MIN(IF(ISNUMBER(L73:L269),ROW(L73:L269),"")))</f>
        <v>15.2</v>
      </c>
      <c r="N73" s="13">
        <f>IF('Données projet'!$A$36&gt;35,N72+M73-V72,IF(A73&lt;'Données projet'!$A$36,$K$205^A73,IF(A73='Données projet'!$A$36,'Données projet'!$B$36,N72+M73-V72)))</f>
        <v>785</v>
      </c>
      <c r="O73" s="13">
        <f>N73*VLOOKUP('Données projet'!$B$9,Paramètres!$A$1:$I$89,3,0)*VLOOKUP('Données projet'!$B$9,Paramètres!$A$1:$I$89,5,0)</f>
        <v>438.81500000000005</v>
      </c>
      <c r="P73" s="13">
        <f t="shared" si="87"/>
        <v>99.602896252065023</v>
      </c>
      <c r="Q73" s="20">
        <f t="shared" si="54"/>
        <v>937.74450263901326</v>
      </c>
      <c r="R73" s="59">
        <f t="shared" si="55"/>
        <v>1231.0778359723465</v>
      </c>
      <c r="S73" s="59">
        <f ca="1">AVERAGE(OFFSET($R$3,0,0,'Données projet'!$E$9+1,1))-AVERAGE(OFFSET($H$3,0,0,'Données projet'!$E$9+1,1))</f>
        <v>470.58485082099065</v>
      </c>
      <c r="T73" s="59">
        <f t="shared" si="88"/>
        <v>498.77167507743559</v>
      </c>
      <c r="U73" s="15">
        <f>IF(ISNA(VLOOKUP(A73,'Données projet'!$A$35:$I$55,3,0)),0,VLOOKUP(A73,'Données projet'!$A$35:$I$55,3,0))</f>
        <v>12</v>
      </c>
      <c r="V73" s="15">
        <f>IF(ISNA(VLOOKUP(A73,'Données projet'!$A$35:$I$55,4,0)),0,VLOOKUP(A73,'Données projet'!$A$35:$I$55,4,0))</f>
        <v>785</v>
      </c>
      <c r="W73" s="16">
        <f>IF(ISNA(VLOOKUP(A73,'Données projet'!$A$35:$I$55,5,0)),0%,VLOOKUP(A73,'Données projet'!$A$35:$I$55,5,0)*VLOOKUP('Données projet'!$B$9,Paramètres!$A$1:$I$89,7,0))</f>
        <v>0.49500000000000005</v>
      </c>
      <c r="X73" s="16">
        <f>IF(ISNA(VLOOKUP(A73,'Données projet'!$A$35:$I$55,6,0)),0%,VLOOKUP(A73,'Données projet'!$A$35:$I$55,6,0)*VLOOKUP('Données projet'!$B$9,Paramètres!$A$1:$I$89,7,0))</f>
        <v>3.3000000000000002E-2</v>
      </c>
      <c r="Y73" s="16">
        <f>IF(ISNA(VLOOKUP(A73,'Données projet'!$A$35:$I$55,7,0)),0%,VLOOKUP(A73,'Données projet'!$A$35:$I$55,7,0))</f>
        <v>0.04</v>
      </c>
      <c r="Z73" s="21">
        <f>EXP(-LN(2)/35)*Z72+(1-EXP(-LN(2)/35))/(LN(2)/35)*V73*W73*VLOOKUP('Données projet'!$B$9,Paramètres!$A$1:$I$89,3,0)*0.475*44/12</f>
        <v>367.94507374031929</v>
      </c>
      <c r="AA73" s="21">
        <f>EXP(-LN(2)/25)*AA72+(1-EXP(-LN(2)/25))/(LN(2)/25)*Calculateur!V73*Calculateur!X73*VLOOKUP('Données projet'!$B$9,Paramètres!$A$1:$I$89,3,0)*0.475*44/12</f>
        <v>39.816183840958196</v>
      </c>
      <c r="AB73" s="21">
        <f>EXP(-LN(2)/2)*AB72+(1-EXP(-LN(2)/2))/(LN(2)/2)*V73*Y73*VLOOKUP('Données projet'!$B$9,Paramètres!$A$1:$I$89,3,0)*0.475*44/12</f>
        <v>20.180735388482137</v>
      </c>
      <c r="AC73" s="22">
        <f t="shared" si="57"/>
        <v>427.94199296975967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7.3250000000000028</v>
      </c>
      <c r="AI73" s="13">
        <f>IF('Données projet'!$A$62&gt;35,AI72+AH73-AQ72,IF(A73&lt;'Données projet'!$A$62,$AF$205^A73,IF(A73='Données projet'!$A$62,'Données projet'!$B$62,AI72+AH73-AQ72)))</f>
        <v>192.98500000000001</v>
      </c>
      <c r="AJ73" s="13">
        <f>AI73*VLOOKUP('Données projet'!$B$10,Paramètres!$A$1:$I$89,3,0)*VLOOKUP('Données projet'!$B$10,Paramètres!$A$1:$I$89,5,0)</f>
        <v>174.61282800000001</v>
      </c>
      <c r="AK73" s="13">
        <f t="shared" si="89"/>
        <v>44.121528331511364</v>
      </c>
      <c r="AL73" s="20">
        <f t="shared" si="58"/>
        <v>380.96233727738235</v>
      </c>
      <c r="AM73" s="59">
        <f t="shared" si="59"/>
        <v>674.29567061071566</v>
      </c>
      <c r="AN73" s="59">
        <f ca="1">AVERAGE(OFFSET($AM$3,0,0,'Données projet'!$E$10+1,1))-AVERAGE(OFFSET($H$3,0,0,'Données projet'!$E$10+1,1))</f>
        <v>321.13571401604742</v>
      </c>
      <c r="AO73" s="59">
        <f t="shared" si="90"/>
        <v>225.55225019382294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14.855156558313904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14.855156558313904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34.15100000000006</v>
      </c>
      <c r="D74" s="11">
        <f t="shared" si="86"/>
        <v>10.434396396340826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344.16797218228049</v>
      </c>
      <c r="H74" s="67">
        <f t="shared" si="56"/>
        <v>370.98623205696038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470.58485082099065</v>
      </c>
      <c r="T74" s="59">
        <f t="shared" si="88"/>
        <v>498.77167507743559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360.72989526860653</v>
      </c>
      <c r="AA74" s="21">
        <f>EXP(-LN(2)/25)*AA73+(1-EXP(-LN(2)/25))/(LN(2)/25)*Calculateur!V74*Calculateur!X74*VLOOKUP('Données projet'!$B$9,Paramètres!$A$1:$I$89,3,0)*0.475*44/12</f>
        <v>38.727408199985085</v>
      </c>
      <c r="AB74" s="21">
        <f>EXP(-LN(2)/2)*AB73+(1-EXP(-LN(2)/2))/(LN(2)/2)*V74*Y74*VLOOKUP('Données projet'!$B$9,Paramètres!$A$1:$I$89,3,0)*0.475*44/12</f>
        <v>14.269934842527055</v>
      </c>
      <c r="AC74" s="22">
        <f t="shared" si="57"/>
        <v>413.72723831111864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7.3250000000000028</v>
      </c>
      <c r="AI74" s="13">
        <f>IF('Données projet'!$A$62&gt;35,AI73+AH74-AQ73,IF(A74&lt;'Données projet'!$A$62,$AF$205^A74,IF(A74='Données projet'!$A$62,'Données projet'!$B$62,AI73+AH74-AQ73)))</f>
        <v>200.31</v>
      </c>
      <c r="AJ74" s="13">
        <f>AI74*VLOOKUP('Données projet'!$B$10,Paramètres!$A$1:$I$89,3,0)*VLOOKUP('Données projet'!$B$10,Paramètres!$A$1:$I$89,5,0)</f>
        <v>181.240488</v>
      </c>
      <c r="AK74" s="13">
        <f t="shared" si="89"/>
        <v>45.598061479363125</v>
      </c>
      <c r="AL74" s="20">
        <f t="shared" si="58"/>
        <v>395.07714034322407</v>
      </c>
      <c r="AM74" s="59">
        <f t="shared" si="59"/>
        <v>688.41047367655733</v>
      </c>
      <c r="AN74" s="59">
        <f ca="1">AVERAGE(OFFSET($AM$3,0,0,'Données projet'!$E$10+1,1))-AVERAGE(OFFSET($H$3,0,0,'Données projet'!$E$10+1,1))</f>
        <v>321.13571401604742</v>
      </c>
      <c r="AO74" s="59">
        <f t="shared" si="90"/>
        <v>225.55225019382294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14.563855998956194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14.563855998956194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34.632000000000062</v>
      </c>
      <c r="D75" s="11">
        <f t="shared" si="86"/>
        <v>10.564147302110412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348.88254057769495</v>
      </c>
      <c r="H75" s="67">
        <f t="shared" si="56"/>
        <v>372.04995655117574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470.58485082099065</v>
      </c>
      <c r="T75" s="59">
        <f t="shared" si="88"/>
        <v>498.77167507743559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353.65620204589976</v>
      </c>
      <c r="AA75" s="21">
        <f>EXP(-LN(2)/25)*AA74+(1-EXP(-LN(2)/25))/(LN(2)/25)*Calculateur!V75*Calculateur!X75*VLOOKUP('Données projet'!$B$9,Paramètres!$A$1:$I$89,3,0)*0.475*44/12</f>
        <v>37.66840518617061</v>
      </c>
      <c r="AB75" s="21">
        <f>EXP(-LN(2)/2)*AB74+(1-EXP(-LN(2)/2))/(LN(2)/2)*V75*Y75*VLOOKUP('Données projet'!$B$9,Paramètres!$A$1:$I$89,3,0)*0.475*44/12</f>
        <v>10.09036769424107</v>
      </c>
      <c r="AC75" s="22">
        <f t="shared" si="57"/>
        <v>401.41497492631146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7.3250000000000028</v>
      </c>
      <c r="AI75" s="13">
        <f>IF('Données projet'!$A$62&gt;35,AI74+AH75-AQ74,IF(A75&lt;'Données projet'!$A$62,$AF$205^A75,IF(A75='Données projet'!$A$62,'Données projet'!$B$62,AI74+AH75-AQ74)))</f>
        <v>207.63499999999999</v>
      </c>
      <c r="AJ75" s="13">
        <f>AI75*VLOOKUP('Données projet'!$B$10,Paramètres!$A$1:$I$89,3,0)*VLOOKUP('Données projet'!$B$10,Paramètres!$A$1:$I$89,5,0)</f>
        <v>187.86814799999999</v>
      </c>
      <c r="AK75" s="13">
        <f t="shared" si="89"/>
        <v>47.068321566912815</v>
      </c>
      <c r="AL75" s="20">
        <f t="shared" si="58"/>
        <v>409.18101782903983</v>
      </c>
      <c r="AM75" s="59">
        <f t="shared" si="59"/>
        <v>702.51435116237315</v>
      </c>
      <c r="AN75" s="59">
        <f ca="1">AVERAGE(OFFSET($AM$3,0,0,'Données projet'!$E$10+1,1))-AVERAGE(OFFSET($H$3,0,0,'Données projet'!$E$10+1,1))</f>
        <v>321.13571401604742</v>
      </c>
      <c r="AO75" s="59">
        <f t="shared" si="90"/>
        <v>225.55225019382294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14.278267665891692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14.278267665891692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35.113000000000063</v>
      </c>
      <c r="D76" s="11">
        <f t="shared" si="86"/>
        <v>10.693688606258034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353.59549099567658</v>
      </c>
      <c r="H76" s="67">
        <f t="shared" si="56"/>
        <v>373.11331598923283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470.58485082099065</v>
      </c>
      <c r="T76" s="59">
        <f t="shared" si="88"/>
        <v>498.77167507743559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346.72121963276339</v>
      </c>
      <c r="AA76" s="21">
        <f>EXP(-LN(2)/25)*AA75+(1-EXP(-LN(2)/25))/(LN(2)/25)*Calculateur!V76*Calculateur!X76*VLOOKUP('Données projet'!$B$9,Paramètres!$A$1:$I$89,3,0)*0.475*44/12</f>
        <v>36.638360665459437</v>
      </c>
      <c r="AB76" s="21">
        <f>EXP(-LN(2)/2)*AB75+(1-EXP(-LN(2)/2))/(LN(2)/2)*V76*Y76*VLOOKUP('Données projet'!$B$9,Paramètres!$A$1:$I$89,3,0)*0.475*44/12</f>
        <v>7.1349674212635295</v>
      </c>
      <c r="AC76" s="22">
        <f t="shared" si="57"/>
        <v>390.49454771948638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7.3250000000000028</v>
      </c>
      <c r="AI76" s="13">
        <f>IF('Données projet'!$A$62&gt;35,AI75+AH76-AQ75,IF(A76&lt;'Données projet'!$A$62,$AF$205^A76,IF(A76='Données projet'!$A$62,'Données projet'!$B$62,AI75+AH76-AQ75)))</f>
        <v>214.95999999999998</v>
      </c>
      <c r="AJ76" s="13">
        <f>AI76*VLOOKUP('Données projet'!$B$10,Paramètres!$A$1:$I$89,3,0)*VLOOKUP('Données projet'!$B$10,Paramètres!$A$1:$I$89,5,0)</f>
        <v>194.49580799999998</v>
      </c>
      <c r="AK76" s="13">
        <f t="shared" si="89"/>
        <v>48.532555253837756</v>
      </c>
      <c r="AL76" s="20">
        <f t="shared" si="58"/>
        <v>423.27439933376741</v>
      </c>
      <c r="AM76" s="59">
        <f t="shared" si="59"/>
        <v>716.60773266710066</v>
      </c>
      <c r="AN76" s="59">
        <f ca="1">AVERAGE(OFFSET($AM$3,0,0,'Données projet'!$E$10+1,1))-AVERAGE(OFFSET($H$3,0,0,'Données projet'!$E$10+1,1))</f>
        <v>321.13571401604742</v>
      </c>
      <c r="AO76" s="59">
        <f t="shared" si="90"/>
        <v>225.55225019382294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13.9982795458469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13.9982795458469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35.594000000000065</v>
      </c>
      <c r="D77" s="11">
        <f t="shared" si="86"/>
        <v>10.823023511900249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358.30684816203751</v>
      </c>
      <c r="H77" s="67">
        <f t="shared" si="56"/>
        <v>374.17631594989302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470.58485082099065</v>
      </c>
      <c r="T77" s="59">
        <f t="shared" si="88"/>
        <v>498.77167507743559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339.92222799482704</v>
      </c>
      <c r="AA77" s="21">
        <f>EXP(-LN(2)/25)*AA76+(1-EXP(-LN(2)/25))/(LN(2)/25)*Calculateur!V77*Calculateur!X77*VLOOKUP('Données projet'!$B$9,Paramètres!$A$1:$I$89,3,0)*0.475*44/12</f>
        <v>35.636482766334801</v>
      </c>
      <c r="AB77" s="21">
        <f>EXP(-LN(2)/2)*AB76+(1-EXP(-LN(2)/2))/(LN(2)/2)*V77*Y77*VLOOKUP('Données projet'!$B$9,Paramètres!$A$1:$I$89,3,0)*0.475*44/12</f>
        <v>5.0451838471205361</v>
      </c>
      <c r="AC77" s="22">
        <f t="shared" si="57"/>
        <v>380.60389460828236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7.3250000000000028</v>
      </c>
      <c r="AI77" s="13">
        <f>IF('Données projet'!$A$62&gt;35,AI76+AH77-AQ76,IF(A77&lt;'Données projet'!$A$62,$AF$205^A77,IF(A77='Données projet'!$A$62,'Données projet'!$B$62,AI76+AH77-AQ76)))</f>
        <v>222.28499999999997</v>
      </c>
      <c r="AJ77" s="13">
        <f>AI77*VLOOKUP('Données projet'!$B$10,Paramètres!$A$1:$I$89,3,0)*VLOOKUP('Données projet'!$B$10,Paramètres!$A$1:$I$89,5,0)</f>
        <v>201.12346799999995</v>
      </c>
      <c r="AK77" s="13">
        <f t="shared" si="89"/>
        <v>49.990991435816994</v>
      </c>
      <c r="AL77" s="20">
        <f t="shared" si="58"/>
        <v>437.35768351738119</v>
      </c>
      <c r="AM77" s="59">
        <f t="shared" si="59"/>
        <v>730.6910168507145</v>
      </c>
      <c r="AN77" s="59">
        <f ca="1">AVERAGE(OFFSET($AM$3,0,0,'Données projet'!$E$10+1,1))-AVERAGE(OFFSET($H$3,0,0,'Données projet'!$E$10+1,1))</f>
        <v>321.13571401604742</v>
      </c>
      <c r="AO77" s="59">
        <f t="shared" si="90"/>
        <v>225.55225019382294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13.723781822060298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13.723781822060298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36.075000000000067</v>
      </c>
      <c r="D78" s="11">
        <f t="shared" si="86"/>
        <v>10.952155130608178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363.01663609592327</v>
      </c>
      <c r="H78" s="67">
        <f t="shared" si="56"/>
        <v>375.238961852476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470.58485082099065</v>
      </c>
      <c r="T78" s="59">
        <f t="shared" si="88"/>
        <v>498.77167507743559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333.25656043593523</v>
      </c>
      <c r="AA78" s="21">
        <f>EXP(-LN(2)/25)*AA77+(1-EXP(-LN(2)/25))/(LN(2)/25)*Calculateur!V78*Calculateur!X78*VLOOKUP('Données projet'!$B$9,Paramètres!$A$1:$I$89,3,0)*0.475*44/12</f>
        <v>34.662001271048197</v>
      </c>
      <c r="AB78" s="21">
        <f>EXP(-LN(2)/2)*AB77+(1-EXP(-LN(2)/2))/(LN(2)/2)*V78*Y78*VLOOKUP('Données projet'!$B$9,Paramètres!$A$1:$I$89,3,0)*0.475*44/12</f>
        <v>3.5674837106317652</v>
      </c>
      <c r="AC78" s="22">
        <f t="shared" si="57"/>
        <v>371.48604541761523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229.61</v>
      </c>
      <c r="AG78" s="12">
        <f>VLOOKUP(A78,'Données projet'!$A$61:$I$81,9,0)</f>
        <v>7.3250000000000028</v>
      </c>
      <c r="AH78" s="12">
        <f t="array" ref="AH78">INDEX(AG:AG,MIN(IF(ISNUMBER(AG78:AG274),ROW(AG78:AG274),"")))</f>
        <v>7.3250000000000028</v>
      </c>
      <c r="AI78" s="13">
        <f>IF('Données projet'!$A$62&gt;35,AI77+AH78-AQ77,IF(A78&lt;'Données projet'!$A$62,$AF$205^A78,IF(A78='Données projet'!$A$62,'Données projet'!$B$62,AI77+AH78-AQ77)))</f>
        <v>229.60999999999996</v>
      </c>
      <c r="AJ78" s="13">
        <f>AI78*VLOOKUP('Données projet'!$B$10,Paramètres!$A$1:$I$89,3,0)*VLOOKUP('Données projet'!$B$10,Paramètres!$A$1:$I$89,5,0)</f>
        <v>207.75112799999997</v>
      </c>
      <c r="AK78" s="13">
        <f t="shared" si="89"/>
        <v>51.443843066664108</v>
      </c>
      <c r="AL78" s="20">
        <f t="shared" si="58"/>
        <v>451.43124127443997</v>
      </c>
      <c r="AM78" s="59">
        <f t="shared" si="59"/>
        <v>744.76457460777328</v>
      </c>
      <c r="AN78" s="59">
        <f ca="1">AVERAGE(OFFSET($AM$3,0,0,'Données projet'!$E$10+1,1))-AVERAGE(OFFSET($H$3,0,0,'Données projet'!$E$10+1,1))</f>
        <v>321.13571401604742</v>
      </c>
      <c r="AO78" s="59">
        <f t="shared" si="90"/>
        <v>225.55225019382294</v>
      </c>
      <c r="AP78" s="15">
        <f>IF(ISNA(VLOOKUP(A78,'Données projet'!$A$61:$I$81,3,0)),0,VLOOKUP(A78,'Données projet'!$A$61:$I$81,3,0))</f>
        <v>5</v>
      </c>
      <c r="AQ78" s="15">
        <f>IF(ISNA(VLOOKUP(A78,'Données projet'!$A$61:$I$81,4,0)),0,VLOOKUP(A78,'Données projet'!$A$61:$I$81,4,0))</f>
        <v>39.54</v>
      </c>
      <c r="AR78" s="16">
        <f>IF(ISNA(VLOOKUP(A78,'Données projet'!$A$61:$I$81,5,0)),0%,VLOOKUP(A78,'Données projet'!$A$61:$I$81,5,0)*VLOOKUP('Données projet'!$B$10,Paramètres!$A$1:$I$89,7,0))</f>
        <v>0.129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18.556497939692882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18.556497939692882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36.556000000000068</v>
      </c>
      <c r="D79" s="11">
        <f t="shared" si="86"/>
        <v>11.081086486208905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367.724878139157</v>
      </c>
      <c r="H79" s="67">
        <f t="shared" si="56"/>
        <v>376.30125896348062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470.58485082099065</v>
      </c>
      <c r="T79" s="59">
        <f t="shared" si="88"/>
        <v>498.77167507743559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326.72160255221752</v>
      </c>
      <c r="AA79" s="21">
        <f>EXP(-LN(2)/25)*AA78+(1-EXP(-LN(2)/25))/(LN(2)/25)*Calculateur!V79*Calculateur!X79*VLOOKUP('Données projet'!$B$9,Paramètres!$A$1:$I$89,3,0)*0.475*44/12</f>
        <v>33.714167023495961</v>
      </c>
      <c r="AB79" s="21">
        <f>EXP(-LN(2)/2)*AB78+(1-EXP(-LN(2)/2))/(LN(2)/2)*V79*Y79*VLOOKUP('Données projet'!$B$9,Paramètres!$A$1:$I$89,3,0)*0.475*44/12</f>
        <v>2.5225919235602685</v>
      </c>
      <c r="AC79" s="22">
        <f t="shared" si="57"/>
        <v>362.95836149927374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7.0711111111111098</v>
      </c>
      <c r="AI79" s="13">
        <f>IF('Données projet'!$A$62&gt;35,AI78+AH79-AQ78,IF(A79&lt;'Données projet'!$A$62,$AF$205^A79,IF(A79='Données projet'!$A$62,'Données projet'!$B$62,AI78+AH79-AQ78)))</f>
        <v>197.14111111111109</v>
      </c>
      <c r="AJ79" s="13">
        <f>AI79*VLOOKUP('Données projet'!$B$10,Paramètres!$A$1:$I$89,3,0)*VLOOKUP('Données projet'!$B$10,Paramètres!$A$1:$I$89,5,0)</f>
        <v>178.37327733333331</v>
      </c>
      <c r="AK79" s="13">
        <f t="shared" si="89"/>
        <v>44.960079342354923</v>
      </c>
      <c r="AL79" s="20">
        <f t="shared" si="58"/>
        <v>388.97226287682361</v>
      </c>
      <c r="AM79" s="59">
        <f t="shared" si="59"/>
        <v>682.30559621015686</v>
      </c>
      <c r="AN79" s="59">
        <f ca="1">AVERAGE(OFFSET($AM$3,0,0,'Données projet'!$E$10+1,1))-AVERAGE(OFFSET($H$3,0,0,'Données projet'!$E$10+1,1))</f>
        <v>321.13571401604742</v>
      </c>
      <c r="AO79" s="59">
        <f t="shared" si="90"/>
        <v>225.55225019382294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18.192616333441652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18.192616333441652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37.03700000000007</v>
      </c>
      <c r="D80" s="11">
        <f t="shared" si="86"/>
        <v>11.209820518381111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372.43159698399512</v>
      </c>
      <c r="H80" s="67">
        <f t="shared" si="56"/>
        <v>377.36321240284718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470.58485082099065</v>
      </c>
      <c r="T80" s="59">
        <f t="shared" si="88"/>
        <v>498.77167507743559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320.31479120666876</v>
      </c>
      <c r="AA80" s="21">
        <f>EXP(-LN(2)/25)*AA79+(1-EXP(-LN(2)/25))/(LN(2)/25)*Calculateur!V80*Calculateur!X80*VLOOKUP('Données projet'!$B$9,Paramètres!$A$1:$I$89,3,0)*0.475*44/12</f>
        <v>32.792251353287476</v>
      </c>
      <c r="AB80" s="21">
        <f>EXP(-LN(2)/2)*AB79+(1-EXP(-LN(2)/2))/(LN(2)/2)*V80*Y80*VLOOKUP('Données projet'!$B$9,Paramètres!$A$1:$I$89,3,0)*0.475*44/12</f>
        <v>1.783741855315883</v>
      </c>
      <c r="AC80" s="22">
        <f t="shared" si="57"/>
        <v>354.89078441527215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7.0711111111111098</v>
      </c>
      <c r="AI80" s="13">
        <f>IF('Données projet'!$A$62&gt;35,AI79+AH80-AQ79,IF(A80&lt;'Données projet'!$A$62,$AF$205^A80,IF(A80='Données projet'!$A$62,'Données projet'!$B$62,AI79+AH80-AQ79)))</f>
        <v>204.21222222222221</v>
      </c>
      <c r="AJ80" s="13">
        <f>AI80*VLOOKUP('Données projet'!$B$10,Paramètres!$A$1:$I$89,3,0)*VLOOKUP('Données projet'!$B$10,Paramètres!$A$1:$I$89,5,0)</f>
        <v>184.77121866666667</v>
      </c>
      <c r="AK80" s="13">
        <f t="shared" si="89"/>
        <v>46.382072763296549</v>
      </c>
      <c r="AL80" s="20">
        <f t="shared" si="58"/>
        <v>402.59198257385259</v>
      </c>
      <c r="AM80" s="59">
        <f t="shared" si="59"/>
        <v>695.9253159071859</v>
      </c>
      <c r="AN80" s="59">
        <f ca="1">AVERAGE(OFFSET($AM$3,0,0,'Données projet'!$E$10+1,1))-AVERAGE(OFFSET($H$3,0,0,'Données projet'!$E$10+1,1))</f>
        <v>321.13571401604742</v>
      </c>
      <c r="AO80" s="59">
        <f t="shared" si="90"/>
        <v>225.55225019382294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17.835870223543147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17.835870223543147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37.518000000000072</v>
      </c>
      <c r="D81" s="11">
        <f t="shared" si="86"/>
        <v>11.338360086058589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377.13681469940019</v>
      </c>
      <c r="H81" s="67">
        <f t="shared" si="56"/>
        <v>378.42482714988546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470.58485082099065</v>
      </c>
      <c r="T81" s="59">
        <f t="shared" si="88"/>
        <v>498.77167507743559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314.03361352383718</v>
      </c>
      <c r="AA81" s="21">
        <f>EXP(-LN(2)/25)*AA80+(1-EXP(-LN(2)/25))/(LN(2)/25)*Calculateur!V81*Calculateur!X81*VLOOKUP('Données projet'!$B$9,Paramètres!$A$1:$I$89,3,0)*0.475*44/12</f>
        <v>31.895545515562279</v>
      </c>
      <c r="AB81" s="21">
        <f>EXP(-LN(2)/2)*AB80+(1-EXP(-LN(2)/2))/(LN(2)/2)*V81*Y81*VLOOKUP('Données projet'!$B$9,Paramètres!$A$1:$I$89,3,0)*0.475*44/12</f>
        <v>1.2612959617801345</v>
      </c>
      <c r="AC81" s="22">
        <f t="shared" si="57"/>
        <v>347.1904550011796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7.0711111111111098</v>
      </c>
      <c r="AI81" s="13">
        <f>IF('Données projet'!$A$62&gt;35,AI80+AH81-AQ80,IF(A81&lt;'Données projet'!$A$62,$AF$205^A81,IF(A81='Données projet'!$A$62,'Données projet'!$B$62,AI80+AH81-AQ80)))</f>
        <v>211.28333333333333</v>
      </c>
      <c r="AJ81" s="13">
        <f>AI81*VLOOKUP('Données projet'!$B$10,Paramètres!$A$1:$I$89,3,0)*VLOOKUP('Données projet'!$B$10,Paramètres!$A$1:$I$89,5,0)</f>
        <v>191.16916000000001</v>
      </c>
      <c r="AK81" s="13">
        <f t="shared" si="89"/>
        <v>47.798345166860187</v>
      </c>
      <c r="AL81" s="20">
        <f t="shared" si="58"/>
        <v>416.20173816561481</v>
      </c>
      <c r="AM81" s="59">
        <f t="shared" si="59"/>
        <v>709.53507149894813</v>
      </c>
      <c r="AN81" s="59">
        <f ca="1">AVERAGE(OFFSET($AM$3,0,0,'Données projet'!$E$10+1,1))-AVERAGE(OFFSET($H$3,0,0,'Données projet'!$E$10+1,1))</f>
        <v>321.13571401604742</v>
      </c>
      <c r="AO81" s="59">
        <f t="shared" si="90"/>
        <v>225.55225019382294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17.486119687266108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17.486119687266108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37.999000000000073</v>
      </c>
      <c r="D82" s="11">
        <f t="shared" si="86"/>
        <v>11.466707970654253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381.84055275592817</v>
      </c>
      <c r="H82" s="67">
        <f t="shared" si="56"/>
        <v>379.48610804888961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470.58485082099065</v>
      </c>
      <c r="T82" s="59">
        <f t="shared" si="88"/>
        <v>498.77167507743559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307.87560590422584</v>
      </c>
      <c r="AA82" s="21">
        <f>EXP(-LN(2)/25)*AA81+(1-EXP(-LN(2)/25))/(LN(2)/25)*Calculateur!V82*Calculateur!X82*VLOOKUP('Données projet'!$B$9,Paramètres!$A$1:$I$89,3,0)*0.475*44/12</f>
        <v>31.023360146125388</v>
      </c>
      <c r="AB82" s="21">
        <f>EXP(-LN(2)/2)*AB81+(1-EXP(-LN(2)/2))/(LN(2)/2)*V82*Y82*VLOOKUP('Données projet'!$B$9,Paramètres!$A$1:$I$89,3,0)*0.475*44/12</f>
        <v>0.89187092765794163</v>
      </c>
      <c r="AC82" s="22">
        <f t="shared" si="57"/>
        <v>339.79083697800917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7.0711111111111098</v>
      </c>
      <c r="AI82" s="13">
        <f>IF('Données projet'!$A$62&gt;35,AI81+AH82-AQ81,IF(A82&lt;'Données projet'!$A$62,$AF$205^A82,IF(A82='Données projet'!$A$62,'Données projet'!$B$62,AI81+AH82-AQ81)))</f>
        <v>218.35444444444445</v>
      </c>
      <c r="AJ82" s="13">
        <f>AI82*VLOOKUP('Données projet'!$B$10,Paramètres!$A$1:$I$89,3,0)*VLOOKUP('Données projet'!$B$10,Paramètres!$A$1:$I$89,5,0)</f>
        <v>197.56710133333334</v>
      </c>
      <c r="AK82" s="13">
        <f t="shared" si="89"/>
        <v>49.209109972785043</v>
      </c>
      <c r="AL82" s="20">
        <f t="shared" si="58"/>
        <v>429.80190135815616</v>
      </c>
      <c r="AM82" s="59">
        <f t="shared" si="59"/>
        <v>723.13523469148947</v>
      </c>
      <c r="AN82" s="59">
        <f ca="1">AVERAGE(OFFSET($AM$3,0,0,'Données projet'!$E$10+1,1))-AVERAGE(OFFSET($H$3,0,0,'Données projet'!$E$10+1,1))</f>
        <v>321.13571401604742</v>
      </c>
      <c r="AO82" s="59">
        <f t="shared" si="90"/>
        <v>225.55225019382294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17.143227545678698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17.143227545678698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38.480000000000075</v>
      </c>
      <c r="D83" s="11">
        <f t="shared" si="86"/>
        <v>11.594866879116264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386.5428320493192</v>
      </c>
      <c r="H83" s="67">
        <f t="shared" si="56"/>
        <v>380.54705981446097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470.58485082099065</v>
      </c>
      <c r="T83" s="59">
        <f t="shared" si="88"/>
        <v>498.77167507743559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301.83835305802126</v>
      </c>
      <c r="AA83" s="21">
        <f>EXP(-LN(2)/25)*AA82+(1-EXP(-LN(2)/25))/(LN(2)/25)*Calculateur!V83*Calculateur!X83*VLOOKUP('Données projet'!$B$9,Paramètres!$A$1:$I$89,3,0)*0.475*44/12</f>
        <v>30.175024731481983</v>
      </c>
      <c r="AB83" s="21">
        <f>EXP(-LN(2)/2)*AB82+(1-EXP(-LN(2)/2))/(LN(2)/2)*V83*Y83*VLOOKUP('Données projet'!$B$9,Paramètres!$A$1:$I$89,3,0)*0.475*44/12</f>
        <v>0.63064798089006735</v>
      </c>
      <c r="AC83" s="22">
        <f t="shared" si="57"/>
        <v>332.64402577039328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7.0711111111111098</v>
      </c>
      <c r="AI83" s="13">
        <f>IF('Données projet'!$A$62&gt;35,AI82+AH83-AQ82,IF(A83&lt;'Données projet'!$A$62,$AF$205^A83,IF(A83='Données projet'!$A$62,'Données projet'!$B$62,AI82+AH83-AQ82)))</f>
        <v>225.42555555555558</v>
      </c>
      <c r="AJ83" s="13">
        <f>AI83*VLOOKUP('Données projet'!$B$10,Paramètres!$A$1:$I$89,3,0)*VLOOKUP('Données projet'!$B$10,Paramètres!$A$1:$I$89,5,0)</f>
        <v>203.96504266666668</v>
      </c>
      <c r="AK83" s="13">
        <f t="shared" si="89"/>
        <v>50.614565993497123</v>
      </c>
      <c r="AL83" s="20">
        <f t="shared" si="58"/>
        <v>443.39281841645192</v>
      </c>
      <c r="AM83" s="59">
        <f t="shared" si="59"/>
        <v>736.72615174978523</v>
      </c>
      <c r="AN83" s="59">
        <f ca="1">AVERAGE(OFFSET($AM$3,0,0,'Données projet'!$E$10+1,1))-AVERAGE(OFFSET($H$3,0,0,'Données projet'!$E$10+1,1))</f>
        <v>321.13571401604742</v>
      </c>
      <c r="AO83" s="59">
        <f t="shared" si="90"/>
        <v>225.55225019382294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16.807059309844263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16.807059309844263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38.961000000000077</v>
      </c>
      <c r="D84" s="11">
        <f t="shared" si="86"/>
        <v>11.722839446826988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391.24367292287553</v>
      </c>
      <c r="H84" s="67">
        <f t="shared" si="56"/>
        <v>381.60768703655714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470.58485082099065</v>
      </c>
      <c r="T84" s="59">
        <f t="shared" si="88"/>
        <v>498.77167507743559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295.91948705777014</v>
      </c>
      <c r="AA84" s="21">
        <f>EXP(-LN(2)/25)*AA83+(1-EXP(-LN(2)/25))/(LN(2)/25)*Calculateur!V84*Calculateur!X84*VLOOKUP('Données projet'!$B$9,Paramètres!$A$1:$I$89,3,0)*0.475*44/12</f>
        <v>29.349887093364025</v>
      </c>
      <c r="AB84" s="21">
        <f>EXP(-LN(2)/2)*AB83+(1-EXP(-LN(2)/2))/(LN(2)/2)*V84*Y84*VLOOKUP('Données projet'!$B$9,Paramètres!$A$1:$I$89,3,0)*0.475*44/12</f>
        <v>0.44593546382897087</v>
      </c>
      <c r="AC84" s="22">
        <f t="shared" si="57"/>
        <v>325.71530961496313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7.0711111111111098</v>
      </c>
      <c r="AI84" s="13">
        <f>IF('Données projet'!$A$62&gt;35,AI83+AH84-AQ83,IF(A84&lt;'Données projet'!$A$62,$AF$205^A84,IF(A84='Données projet'!$A$62,'Données projet'!$B$62,AI83+AH84-AQ83)))</f>
        <v>232.4966666666667</v>
      </c>
      <c r="AJ84" s="13">
        <f>AI84*VLOOKUP('Données projet'!$B$10,Paramètres!$A$1:$I$89,3,0)*VLOOKUP('Données projet'!$B$10,Paramètres!$A$1:$I$89,5,0)</f>
        <v>210.36298400000004</v>
      </c>
      <c r="AK84" s="13">
        <f t="shared" si="89"/>
        <v>52.014898860392101</v>
      </c>
      <c r="AL84" s="20">
        <f t="shared" si="58"/>
        <v>456.97481264851632</v>
      </c>
      <c r="AM84" s="59">
        <f t="shared" si="59"/>
        <v>750.30814598184963</v>
      </c>
      <c r="AN84" s="59">
        <f ca="1">AVERAGE(OFFSET($AM$3,0,0,'Données projet'!$E$10+1,1))-AVERAGE(OFFSET($H$3,0,0,'Données projet'!$E$10+1,1))</f>
        <v>321.13571401604742</v>
      </c>
      <c r="AO84" s="59">
        <f t="shared" si="90"/>
        <v>225.55225019382294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16.477483128072166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16.477483128072166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39.442000000000078</v>
      </c>
      <c r="D85" s="11">
        <f t="shared" si="86"/>
        <v>11.850628240354748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395.94309518870392</v>
      </c>
      <c r="H85" s="67">
        <f t="shared" si="56"/>
        <v>382.66799418528461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470.58485082099065</v>
      </c>
      <c r="T85" s="59">
        <f t="shared" si="88"/>
        <v>498.77167507743559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290.11668640963217</v>
      </c>
      <c r="AA85" s="21">
        <f>EXP(-LN(2)/25)*AA84+(1-EXP(-LN(2)/25))/(LN(2)/25)*Calculateur!V85*Calculateur!X85*VLOOKUP('Données projet'!$B$9,Paramètres!$A$1:$I$89,3,0)*0.475*44/12</f>
        <v>28.547312887352504</v>
      </c>
      <c r="AB85" s="21">
        <f>EXP(-LN(2)/2)*AB84+(1-EXP(-LN(2)/2))/(LN(2)/2)*V85*Y85*VLOOKUP('Données projet'!$B$9,Paramètres!$A$1:$I$89,3,0)*0.475*44/12</f>
        <v>0.31532399044503373</v>
      </c>
      <c r="AC85" s="22">
        <f t="shared" si="57"/>
        <v>318.97932328742974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7.0711111111111098</v>
      </c>
      <c r="AI85" s="13">
        <f>IF('Données projet'!$A$62&gt;35,AI84+AH85-AQ84,IF(A85&lt;'Données projet'!$A$62,$AF$205^A85,IF(A85='Données projet'!$A$62,'Données projet'!$B$62,AI84+AH85-AQ84)))</f>
        <v>239.56777777777782</v>
      </c>
      <c r="AJ85" s="13">
        <f>AI85*VLOOKUP('Données projet'!$B$10,Paramètres!$A$1:$I$89,3,0)*VLOOKUP('Données projet'!$B$10,Paramètres!$A$1:$I$89,5,0)</f>
        <v>216.76092533333335</v>
      </c>
      <c r="AK85" s="13">
        <f t="shared" si="89"/>
        <v>53.410282271728782</v>
      </c>
      <c r="AL85" s="20">
        <f t="shared" si="58"/>
        <v>470.54818657881651</v>
      </c>
      <c r="AM85" s="59">
        <f t="shared" si="59"/>
        <v>763.88151991214977</v>
      </c>
      <c r="AN85" s="59">
        <f ca="1">AVERAGE(OFFSET($AM$3,0,0,'Données projet'!$E$10+1,1))-AVERAGE(OFFSET($H$3,0,0,'Données projet'!$E$10+1,1))</f>
        <v>321.13571401604742</v>
      </c>
      <c r="AO85" s="59">
        <f t="shared" si="90"/>
        <v>225.55225019382294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16.154369734202998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16.154369734202998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39.92300000000008</v>
      </c>
      <c r="D86" s="11">
        <f t="shared" si="86"/>
        <v>11.978235760067443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400.64111814788959</v>
      </c>
      <c r="H86" s="67">
        <f t="shared" si="56"/>
        <v>383.7279856154509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470.58485082099065</v>
      </c>
      <c r="T86" s="59">
        <f t="shared" si="88"/>
        <v>498.77167507743559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284.42767514284526</v>
      </c>
      <c r="AA86" s="21">
        <f>EXP(-LN(2)/25)*AA85+(1-EXP(-LN(2)/25))/(LN(2)/25)*Calculateur!V86*Calculateur!X86*VLOOKUP('Données projet'!$B$9,Paramètres!$A$1:$I$89,3,0)*0.475*44/12</f>
        <v>27.76668511520991</v>
      </c>
      <c r="AB86" s="21">
        <f>EXP(-LN(2)/2)*AB85+(1-EXP(-LN(2)/2))/(LN(2)/2)*V86*Y86*VLOOKUP('Données projet'!$B$9,Paramètres!$A$1:$I$89,3,0)*0.475*44/12</f>
        <v>0.22296773191448549</v>
      </c>
      <c r="AC86" s="22">
        <f t="shared" si="57"/>
        <v>312.41732798996964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7.0711111111111098</v>
      </c>
      <c r="AI86" s="13">
        <f>IF('Données projet'!$A$62&gt;35,AI85+AH86-AQ85,IF(A86&lt;'Données projet'!$A$62,$AF$205^A86,IF(A86='Données projet'!$A$62,'Données projet'!$B$62,AI85+AH86-AQ85)))</f>
        <v>246.63888888888894</v>
      </c>
      <c r="AJ86" s="13">
        <f>AI86*VLOOKUP('Données projet'!$B$10,Paramètres!$A$1:$I$89,3,0)*VLOOKUP('Données projet'!$B$10,Paramètres!$A$1:$I$89,5,0)</f>
        <v>223.15886666666671</v>
      </c>
      <c r="AK86" s="13">
        <f t="shared" si="89"/>
        <v>54.800879089050547</v>
      </c>
      <c r="AL86" s="20">
        <f t="shared" si="58"/>
        <v>484.11322385787417</v>
      </c>
      <c r="AM86" s="59">
        <f t="shared" si="59"/>
        <v>777.44655719120749</v>
      </c>
      <c r="AN86" s="59">
        <f ca="1">AVERAGE(OFFSET($AM$3,0,0,'Données projet'!$E$10+1,1))-AVERAGE(OFFSET($H$3,0,0,'Données projet'!$E$10+1,1))</f>
        <v>321.13571401604742</v>
      </c>
      <c r="AO86" s="59">
        <f t="shared" si="90"/>
        <v>225.55225019382294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15.837592396907892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15.837592396907892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40.404000000000082</v>
      </c>
      <c r="D87" s="11">
        <f t="shared" si="86"/>
        <v>12.105664442616733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405.33776060967369</v>
      </c>
      <c r="H87" s="67">
        <f t="shared" si="56"/>
        <v>384.78766557089091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470.58485082099065</v>
      </c>
      <c r="T87" s="59">
        <f t="shared" si="88"/>
        <v>498.77167507743559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278.85022191704581</v>
      </c>
      <c r="AA87" s="21">
        <f>EXP(-LN(2)/25)*AA86+(1-EXP(-LN(2)/25))/(LN(2)/25)*Calculateur!V87*Calculateur!X87*VLOOKUP('Données projet'!$B$9,Paramètres!$A$1:$I$89,3,0)*0.475*44/12</f>
        <v>27.007403650547985</v>
      </c>
      <c r="AB87" s="21">
        <f>EXP(-LN(2)/2)*AB86+(1-EXP(-LN(2)/2))/(LN(2)/2)*V87*Y87*VLOOKUP('Données projet'!$B$9,Paramètres!$A$1:$I$89,3,0)*0.475*44/12</f>
        <v>0.15766199522251689</v>
      </c>
      <c r="AC87" s="22">
        <f t="shared" si="57"/>
        <v>306.0152875628163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>
        <f>VLOOKUP(A87,'Données projet'!$A$61:$I$81,2,0)</f>
        <v>253.71</v>
      </c>
      <c r="AG87" s="12">
        <f>VLOOKUP(A87,'Données projet'!$A$61:$I$81,9,0)</f>
        <v>7.0711111111111098</v>
      </c>
      <c r="AH87" s="12">
        <f t="array" ref="AH87">INDEX(AG:AG,MIN(IF(ISNUMBER(AG87:AG283),ROW(AG87:AG283),"")))</f>
        <v>7.0711111111111098</v>
      </c>
      <c r="AI87" s="13">
        <f>IF('Données projet'!$A$62&gt;35,AI86+AH87-AQ86,IF(A87&lt;'Données projet'!$A$62,$AF$205^A87,IF(A87='Données projet'!$A$62,'Données projet'!$B$62,AI86+AH87-AQ86)))</f>
        <v>253.71000000000006</v>
      </c>
      <c r="AJ87" s="13">
        <f>AI87*VLOOKUP('Données projet'!$B$10,Paramètres!$A$1:$I$89,3,0)*VLOOKUP('Données projet'!$B$10,Paramètres!$A$1:$I$89,5,0)</f>
        <v>229.55680800000007</v>
      </c>
      <c r="AK87" s="13">
        <f t="shared" si="89"/>
        <v>56.186842304335308</v>
      </c>
      <c r="AL87" s="20">
        <f t="shared" si="58"/>
        <v>497.67019094671747</v>
      </c>
      <c r="AM87" s="59">
        <f t="shared" si="59"/>
        <v>791.00352428005078</v>
      </c>
      <c r="AN87" s="59">
        <f ca="1">AVERAGE(OFFSET($AM$3,0,0,'Données projet'!$E$10+1,1))-AVERAGE(OFFSET($H$3,0,0,'Données projet'!$E$10+1,1))</f>
        <v>321.13571401604742</v>
      </c>
      <c r="AO87" s="59">
        <f t="shared" si="90"/>
        <v>225.55225019382294</v>
      </c>
      <c r="AP87" s="15">
        <f>IF(ISNA(VLOOKUP(A87,'Données projet'!$A$61:$I$81,3,0)),0,VLOOKUP(A87,'Données projet'!$A$61:$I$81,3,0))</f>
        <v>6</v>
      </c>
      <c r="AQ87" s="15">
        <f>IF(ISNA(VLOOKUP(A87,'Données projet'!$A$61:$I$81,4,0)),0,VLOOKUP(A87,'Données projet'!$A$61:$I$81,4,0))</f>
        <v>44.89</v>
      </c>
      <c r="AR87" s="16">
        <f>IF(ISNA(VLOOKUP(A87,'Données projet'!$A$61:$I$81,5,0)),0%,VLOOKUP(A87,'Données projet'!$A$61:$I$81,5,0)*VLOOKUP('Données projet'!$B$10,Paramètres!$A$1:$I$89,7,0))</f>
        <v>0.17200000000000001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23.249879625328312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23.249879625328312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40.885000000000083</v>
      </c>
      <c r="D88" s="11">
        <f t="shared" si="86"/>
        <v>12.232916663300438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410.03304090968822</v>
      </c>
      <c r="H88" s="67">
        <f t="shared" si="56"/>
        <v>385.84703818858173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470.58485082099065</v>
      </c>
      <c r="T88" s="59">
        <f t="shared" si="88"/>
        <v>498.77167507743559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273.38213914709371</v>
      </c>
      <c r="AA88" s="21">
        <f>EXP(-LN(2)/25)*AA87+(1-EXP(-LN(2)/25))/(LN(2)/25)*Calculateur!V88*Calculateur!X88*VLOOKUP('Données projet'!$B$9,Paramètres!$A$1:$I$89,3,0)*0.475*44/12</f>
        <v>26.26888477746612</v>
      </c>
      <c r="AB88" s="21">
        <f>EXP(-LN(2)/2)*AB87+(1-EXP(-LN(2)/2))/(LN(2)/2)*V88*Y88*VLOOKUP('Données projet'!$B$9,Paramètres!$A$1:$I$89,3,0)*0.475*44/12</f>
        <v>0.11148386595724276</v>
      </c>
      <c r="AC88" s="22">
        <f t="shared" si="57"/>
        <v>299.76250779051708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6.7444444444444436</v>
      </c>
      <c r="AI88" s="13">
        <f>IF('Données projet'!$A$62&gt;35,AI87+AH88-AQ87,IF(A88&lt;'Données projet'!$A$62,$AF$205^A88,IF(A88='Données projet'!$A$62,'Données projet'!$B$62,AI87+AH88-AQ87)))</f>
        <v>215.56444444444452</v>
      </c>
      <c r="AJ88" s="13">
        <f>AI88*VLOOKUP('Données projet'!$B$10,Paramètres!$A$1:$I$89,3,0)*VLOOKUP('Données projet'!$B$10,Paramètres!$A$1:$I$89,5,0)</f>
        <v>195.04270933333339</v>
      </c>
      <c r="AK88" s="13">
        <f t="shared" si="89"/>
        <v>48.653118961962868</v>
      </c>
      <c r="AL88" s="20">
        <f t="shared" si="58"/>
        <v>424.43690094764094</v>
      </c>
      <c r="AM88" s="59">
        <f t="shared" si="59"/>
        <v>717.77023428097425</v>
      </c>
      <c r="AN88" s="59">
        <f ca="1">AVERAGE(OFFSET($AM$3,0,0,'Données projet'!$E$10+1,1))-AVERAGE(OFFSET($H$3,0,0,'Données projet'!$E$10+1,1))</f>
        <v>321.13571401604742</v>
      </c>
      <c r="AO88" s="59">
        <f t="shared" si="90"/>
        <v>225.55225019382294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22.793963666901934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22.793963666901934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41.366000000000085</v>
      </c>
      <c r="D89" s="11">
        <f t="shared" si="86"/>
        <v>12.359994738310691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414.72697692731134</v>
      </c>
      <c r="H89" s="67">
        <f t="shared" si="56"/>
        <v>386.90610750255792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470.58485082099065</v>
      </c>
      <c r="T89" s="59">
        <f t="shared" si="88"/>
        <v>498.77167507743559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268.02128214505922</v>
      </c>
      <c r="AA89" s="21">
        <f>EXP(-LN(2)/25)*AA88+(1-EXP(-LN(2)/25))/(LN(2)/25)*Calculateur!V89*Calculateur!X89*VLOOKUP('Données projet'!$B$9,Paramètres!$A$1:$I$89,3,0)*0.475*44/12</f>
        <v>25.550560741805697</v>
      </c>
      <c r="AB89" s="21">
        <f>EXP(-LN(2)/2)*AB88+(1-EXP(-LN(2)/2))/(LN(2)/2)*V89*Y89*VLOOKUP('Données projet'!$B$9,Paramètres!$A$1:$I$89,3,0)*0.475*44/12</f>
        <v>7.883099761125846E-2</v>
      </c>
      <c r="AC89" s="22">
        <f t="shared" si="57"/>
        <v>293.65067388447619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6.7444444444444436</v>
      </c>
      <c r="AI89" s="13">
        <f>IF('Données projet'!$A$62&gt;35,AI88+AH89-AQ88,IF(A89&lt;'Données projet'!$A$62,$AF$205^A89,IF(A89='Données projet'!$A$62,'Données projet'!$B$62,AI88+AH89-AQ88)))</f>
        <v>222.30888888888896</v>
      </c>
      <c r="AJ89" s="13">
        <f>AI89*VLOOKUP('Données projet'!$B$10,Paramètres!$A$1:$I$89,3,0)*VLOOKUP('Données projet'!$B$10,Paramètres!$A$1:$I$89,5,0)</f>
        <v>201.14508266666675</v>
      </c>
      <c r="AK89" s="13">
        <f t="shared" si="89"/>
        <v>49.99573855935872</v>
      </c>
      <c r="AL89" s="20">
        <f t="shared" si="58"/>
        <v>437.40359696866108</v>
      </c>
      <c r="AM89" s="59">
        <f t="shared" si="59"/>
        <v>730.73693030199433</v>
      </c>
      <c r="AN89" s="59">
        <f ca="1">AVERAGE(OFFSET($AM$3,0,0,'Données projet'!$E$10+1,1))-AVERAGE(OFFSET($H$3,0,0,'Données projet'!$E$10+1,1))</f>
        <v>321.13571401604742</v>
      </c>
      <c r="AO89" s="59">
        <f t="shared" si="90"/>
        <v>225.55225019382294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22.346987942339023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22.346987942339023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41.847000000000087</v>
      </c>
      <c r="D90" s="11">
        <f t="shared" si="86"/>
        <v>12.486900926874483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419.41958610218967</v>
      </c>
      <c r="H90" s="67">
        <f t="shared" si="56"/>
        <v>387.96487744763988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470.58485082099065</v>
      </c>
      <c r="T90" s="59">
        <f t="shared" si="88"/>
        <v>498.77167507743559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262.7655482790347</v>
      </c>
      <c r="AA90" s="21">
        <f>EXP(-LN(2)/25)*AA89+(1-EXP(-LN(2)/25))/(LN(2)/25)*Calculateur!V90*Calculateur!X90*VLOOKUP('Données projet'!$B$9,Paramètres!$A$1:$I$89,3,0)*0.475*44/12</f>
        <v>24.851879314675426</v>
      </c>
      <c r="AB90" s="21">
        <f>EXP(-LN(2)/2)*AB89+(1-EXP(-LN(2)/2))/(LN(2)/2)*V90*Y90*VLOOKUP('Données projet'!$B$9,Paramètres!$A$1:$I$89,3,0)*0.475*44/12</f>
        <v>5.5741932978621393E-2</v>
      </c>
      <c r="AC90" s="22">
        <f t="shared" si="57"/>
        <v>287.67316952668875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6.7444444444444436</v>
      </c>
      <c r="AI90" s="13">
        <f>IF('Données projet'!$A$62&gt;35,AI89+AH90-AQ89,IF(A90&lt;'Données projet'!$A$62,$AF$205^A90,IF(A90='Données projet'!$A$62,'Données projet'!$B$62,AI89+AH90-AQ89)))</f>
        <v>229.0533333333334</v>
      </c>
      <c r="AJ90" s="13">
        <f>AI90*VLOOKUP('Données projet'!$B$10,Paramètres!$A$1:$I$89,3,0)*VLOOKUP('Données projet'!$B$10,Paramètres!$A$1:$I$89,5,0)</f>
        <v>207.24745600000006</v>
      </c>
      <c r="AK90" s="13">
        <f t="shared" si="89"/>
        <v>51.33362447440711</v>
      </c>
      <c r="AL90" s="20">
        <f t="shared" si="58"/>
        <v>450.36204849292579</v>
      </c>
      <c r="AM90" s="59">
        <f t="shared" si="59"/>
        <v>743.69538182625911</v>
      </c>
      <c r="AN90" s="59">
        <f ca="1">AVERAGE(OFFSET($AM$3,0,0,'Données projet'!$E$10+1,1))-AVERAGE(OFFSET($H$3,0,0,'Données projet'!$E$10+1,1))</f>
        <v>321.13571401604742</v>
      </c>
      <c r="AO90" s="59">
        <f t="shared" si="90"/>
        <v>225.55225019382294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21.908777139106519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21.908777139106519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42.328000000000088</v>
      </c>
      <c r="D91" s="11">
        <f t="shared" si="86"/>
        <v>12.613637433293027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424.11088544998194</v>
      </c>
      <c r="H91" s="67">
        <f t="shared" si="56"/>
        <v>389.02335186298552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470.58485082099065</v>
      </c>
      <c r="T91" s="59">
        <f t="shared" si="88"/>
        <v>498.77167507743559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257.61287614844184</v>
      </c>
      <c r="AA91" s="21">
        <f>EXP(-LN(2)/25)*AA90+(1-EXP(-LN(2)/25))/(LN(2)/25)*Calculateur!V91*Calculateur!X91*VLOOKUP('Données projet'!$B$9,Paramètres!$A$1:$I$89,3,0)*0.475*44/12</f>
        <v>24.172303367912093</v>
      </c>
      <c r="AB91" s="21">
        <f>EXP(-LN(2)/2)*AB90+(1-EXP(-LN(2)/2))/(LN(2)/2)*V91*Y91*VLOOKUP('Données projet'!$B$9,Paramètres!$A$1:$I$89,3,0)*0.475*44/12</f>
        <v>3.9415498805629237E-2</v>
      </c>
      <c r="AC91" s="22">
        <f t="shared" si="57"/>
        <v>281.82459501515956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6.7444444444444436</v>
      </c>
      <c r="AI91" s="13">
        <f>IF('Données projet'!$A$62&gt;35,AI90+AH91-AQ90,IF(A91&lt;'Données projet'!$A$62,$AF$205^A91,IF(A91='Données projet'!$A$62,'Données projet'!$B$62,AI90+AH91-AQ90)))</f>
        <v>235.79777777777784</v>
      </c>
      <c r="AJ91" s="13">
        <f>AI91*VLOOKUP('Données projet'!$B$10,Paramètres!$A$1:$I$89,3,0)*VLOOKUP('Données projet'!$B$10,Paramètres!$A$1:$I$89,5,0)</f>
        <v>213.34982933333339</v>
      </c>
      <c r="AK91" s="13">
        <f t="shared" si="89"/>
        <v>52.666932093046611</v>
      </c>
      <c r="AL91" s="20">
        <f t="shared" si="58"/>
        <v>463.31252615094513</v>
      </c>
      <c r="AM91" s="59">
        <f t="shared" si="59"/>
        <v>756.64585948427839</v>
      </c>
      <c r="AN91" s="59">
        <f ca="1">AVERAGE(OFFSET($AM$3,0,0,'Données projet'!$E$10+1,1))-AVERAGE(OFFSET($H$3,0,0,'Données projet'!$E$10+1,1))</f>
        <v>321.13571401604742</v>
      </c>
      <c r="AO91" s="59">
        <f t="shared" si="90"/>
        <v>225.55225019382294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21.479159382443203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21.479159382443203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42.80900000000009</v>
      </c>
      <c r="D92" s="11">
        <f t="shared" si="86"/>
        <v>12.740206408885738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428.80089157736433</v>
      </c>
      <c r="H92" s="67">
        <f t="shared" si="56"/>
        <v>390.08153449547615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470.58485082099065</v>
      </c>
      <c r="T92" s="59">
        <f t="shared" si="88"/>
        <v>498.77167507743559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252.5612447755102</v>
      </c>
      <c r="AA92" s="21">
        <f>EXP(-LN(2)/25)*AA91+(1-EXP(-LN(2)/25))/(LN(2)/25)*Calculateur!V92*Calculateur!X92*VLOOKUP('Données projet'!$B$9,Paramètres!$A$1:$I$89,3,0)*0.475*44/12</f>
        <v>23.511310461150348</v>
      </c>
      <c r="AB92" s="21">
        <f>EXP(-LN(2)/2)*AB91+(1-EXP(-LN(2)/2))/(LN(2)/2)*V92*Y92*VLOOKUP('Données projet'!$B$9,Paramètres!$A$1:$I$89,3,0)*0.475*44/12</f>
        <v>2.78709664893107E-2</v>
      </c>
      <c r="AC92" s="22">
        <f t="shared" si="57"/>
        <v>276.10042620314988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6.7444444444444436</v>
      </c>
      <c r="AI92" s="13">
        <f>IF('Données projet'!$A$62&gt;35,AI91+AH92-AQ91,IF(A92&lt;'Données projet'!$A$62,$AF$205^A92,IF(A92='Données projet'!$A$62,'Données projet'!$B$62,AI91+AH92-AQ91)))</f>
        <v>242.54222222222228</v>
      </c>
      <c r="AJ92" s="13">
        <f>AI92*VLOOKUP('Données projet'!$B$10,Paramètres!$A$1:$I$89,3,0)*VLOOKUP('Données projet'!$B$10,Paramètres!$A$1:$I$89,5,0)</f>
        <v>219.45220266666669</v>
      </c>
      <c r="AK92" s="13">
        <f t="shared" si="89"/>
        <v>53.995807406743118</v>
      </c>
      <c r="AL92" s="20">
        <f t="shared" si="58"/>
        <v>476.25528421118867</v>
      </c>
      <c r="AM92" s="59">
        <f t="shared" si="59"/>
        <v>769.58861754452198</v>
      </c>
      <c r="AN92" s="59">
        <f ca="1">AVERAGE(OFFSET($AM$3,0,0,'Données projet'!$E$10+1,1))-AVERAGE(OFFSET($H$3,0,0,'Données projet'!$E$10+1,1))</f>
        <v>321.13571401604742</v>
      </c>
      <c r="AO92" s="59">
        <f t="shared" si="90"/>
        <v>225.55225019382294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21.0579661679471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21.0579661679471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43.290000000000092</v>
      </c>
      <c r="D93" s="11">
        <f t="shared" si="86"/>
        <v>12.866609953844367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433.48962069634325</v>
      </c>
      <c r="H93" s="67">
        <f t="shared" si="56"/>
        <v>391.13942900294575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470.58485082099065</v>
      </c>
      <c r="T93" s="59">
        <f t="shared" si="88"/>
        <v>498.77167507743559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247.60867281261088</v>
      </c>
      <c r="AA93" s="21">
        <f>EXP(-LN(2)/25)*AA92+(1-EXP(-LN(2)/25))/(LN(2)/25)*Calculateur!V93*Calculateur!X93*VLOOKUP('Données projet'!$B$9,Paramètres!$A$1:$I$89,3,0)*0.475*44/12</f>
        <v>22.86839244018411</v>
      </c>
      <c r="AB93" s="21">
        <f>EXP(-LN(2)/2)*AB92+(1-EXP(-LN(2)/2))/(LN(2)/2)*V93*Y93*VLOOKUP('Données projet'!$B$9,Paramètres!$A$1:$I$89,3,0)*0.475*44/12</f>
        <v>1.9707749402814622E-2</v>
      </c>
      <c r="AC93" s="22">
        <f t="shared" si="57"/>
        <v>270.49677300219781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6.7444444444444436</v>
      </c>
      <c r="AI93" s="13">
        <f>IF('Données projet'!$A$62&gt;35,AI92+AH93-AQ92,IF(A93&lt;'Données projet'!$A$62,$AF$205^A93,IF(A93='Données projet'!$A$62,'Données projet'!$B$62,AI92+AH93-AQ92)))</f>
        <v>249.28666666666672</v>
      </c>
      <c r="AJ93" s="13">
        <f>AI93*VLOOKUP('Données projet'!$B$10,Paramètres!$A$1:$I$89,3,0)*VLOOKUP('Données projet'!$B$10,Paramètres!$A$1:$I$89,5,0)</f>
        <v>225.55457600000005</v>
      </c>
      <c r="AK93" s="13">
        <f t="shared" si="89"/>
        <v>55.320387825711109</v>
      </c>
      <c r="AL93" s="20">
        <f t="shared" si="58"/>
        <v>489.190561996447</v>
      </c>
      <c r="AM93" s="59">
        <f t="shared" si="59"/>
        <v>782.52389532978032</v>
      </c>
      <c r="AN93" s="59">
        <f ca="1">AVERAGE(OFFSET($AM$3,0,0,'Données projet'!$E$10+1,1))-AVERAGE(OFFSET($H$3,0,0,'Données projet'!$E$10+1,1))</f>
        <v>321.13571401604742</v>
      </c>
      <c r="AO93" s="59">
        <f t="shared" si="90"/>
        <v>225.55225019382294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20.645032295484771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20.645032295484771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43.771000000000093</v>
      </c>
      <c r="D94" s="11">
        <f t="shared" si="86"/>
        <v>12.992850119002412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438.1770886379141</v>
      </c>
      <c r="H94" s="67">
        <f t="shared" si="56"/>
        <v>392.19703895726269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470.58485082099065</v>
      </c>
      <c r="T94" s="59">
        <f t="shared" si="88"/>
        <v>498.77167507743559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242.75321776513337</v>
      </c>
      <c r="AA94" s="21">
        <f>EXP(-LN(2)/25)*AA93+(1-EXP(-LN(2)/25))/(LN(2)/25)*Calculateur!V94*Calculateur!X94*VLOOKUP('Données projet'!$B$9,Paramètres!$A$1:$I$89,3,0)*0.475*44/12</f>
        <v>22.243055046310783</v>
      </c>
      <c r="AB94" s="21">
        <f>EXP(-LN(2)/2)*AB93+(1-EXP(-LN(2)/2))/(LN(2)/2)*V94*Y94*VLOOKUP('Données projet'!$B$9,Paramètres!$A$1:$I$89,3,0)*0.475*44/12</f>
        <v>1.3935483244655352E-2</v>
      </c>
      <c r="AC94" s="22">
        <f t="shared" si="57"/>
        <v>265.01020829468882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6.7444444444444436</v>
      </c>
      <c r="AI94" s="13">
        <f>IF('Données projet'!$A$62&gt;35,AI93+AH94-AQ93,IF(A94&lt;'Données projet'!$A$62,$AF$205^A94,IF(A94='Données projet'!$A$62,'Données projet'!$B$62,AI93+AH94-AQ93)))</f>
        <v>256.03111111111116</v>
      </c>
      <c r="AJ94" s="13">
        <f>AI94*VLOOKUP('Données projet'!$B$10,Paramètres!$A$1:$I$89,3,0)*VLOOKUP('Données projet'!$B$10,Paramètres!$A$1:$I$89,5,0)</f>
        <v>231.65694933333339</v>
      </c>
      <c r="AK94" s="13">
        <f t="shared" si="89"/>
        <v>56.640802901652734</v>
      </c>
      <c r="AL94" s="20">
        <f t="shared" si="58"/>
        <v>502.11858514260081</v>
      </c>
      <c r="AM94" s="59">
        <f t="shared" si="59"/>
        <v>795.45191847593412</v>
      </c>
      <c r="AN94" s="59">
        <f ca="1">AVERAGE(OFFSET($AM$3,0,0,'Données projet'!$E$10+1,1))-AVERAGE(OFFSET($H$3,0,0,'Données projet'!$E$10+1,1))</f>
        <v>321.13571401604742</v>
      </c>
      <c r="AO94" s="59">
        <f t="shared" si="90"/>
        <v>225.55225019382294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20.240195804396635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20.240195804396635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44.252000000000095</v>
      </c>
      <c r="D95" s="11">
        <f t="shared" si="86"/>
        <v>13.118928907524481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442.86331086510199</v>
      </c>
      <c r="H95" s="67">
        <f t="shared" si="56"/>
        <v>393.25436784727196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470.58485082099065</v>
      </c>
      <c r="T95" s="59">
        <f t="shared" si="88"/>
        <v>498.77167507743559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237.99297522960174</v>
      </c>
      <c r="AA95" s="21">
        <f>EXP(-LN(2)/25)*AA94+(1-EXP(-LN(2)/25))/(LN(2)/25)*Calculateur!V95*Calculateur!X95*VLOOKUP('Données projet'!$B$9,Paramètres!$A$1:$I$89,3,0)*0.475*44/12</f>
        <v>21.634817536357986</v>
      </c>
      <c r="AB95" s="21">
        <f>EXP(-LN(2)/2)*AB94+(1-EXP(-LN(2)/2))/(LN(2)/2)*V95*Y95*VLOOKUP('Données projet'!$B$9,Paramètres!$A$1:$I$89,3,0)*0.475*44/12</f>
        <v>9.853874701407311E-3</v>
      </c>
      <c r="AC95" s="22">
        <f t="shared" si="57"/>
        <v>259.63764664066116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6.7444444444444436</v>
      </c>
      <c r="AI95" s="13">
        <f>IF('Données projet'!$A$62&gt;35,AI94+AH95-AQ94,IF(A95&lt;'Données projet'!$A$62,$AF$205^A95,IF(A95='Données projet'!$A$62,'Données projet'!$B$62,AI94+AH95-AQ94)))</f>
        <v>262.77555555555563</v>
      </c>
      <c r="AJ95" s="13">
        <f>AI95*VLOOKUP('Données projet'!$B$10,Paramètres!$A$1:$I$89,3,0)*VLOOKUP('Données projet'!$B$10,Paramètres!$A$1:$I$89,5,0)</f>
        <v>237.75932266666675</v>
      </c>
      <c r="AK95" s="13">
        <f t="shared" si="89"/>
        <v>57.957174972200797</v>
      </c>
      <c r="AL95" s="20">
        <f t="shared" si="58"/>
        <v>515.03956672102765</v>
      </c>
      <c r="AM95" s="59">
        <f t="shared" si="59"/>
        <v>808.37290005436103</v>
      </c>
      <c r="AN95" s="59">
        <f ca="1">AVERAGE(OFFSET($AM$3,0,0,'Données projet'!$E$10+1,1))-AVERAGE(OFFSET($H$3,0,0,'Données projet'!$E$10+1,1))</f>
        <v>321.13571401604742</v>
      </c>
      <c r="AO95" s="59">
        <f t="shared" si="90"/>
        <v>225.55225019382294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19.843297909972861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19.843297909972861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44.733000000000096</v>
      </c>
      <c r="D96" s="11">
        <f t="shared" si="86"/>
        <v>13.244848276520115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447.54830248541924</v>
      </c>
      <c r="H96" s="67">
        <f t="shared" si="56"/>
        <v>394.311419081606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470.58485082099065</v>
      </c>
      <c r="T96" s="59">
        <f t="shared" si="88"/>
        <v>498.77167507743559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233.32607814673065</v>
      </c>
      <c r="AA96" s="21">
        <f>EXP(-LN(2)/25)*AA95+(1-EXP(-LN(2)/25))/(LN(2)/25)*Calculateur!V96*Calculateur!X96*VLOOKUP('Données projet'!$B$9,Paramètres!$A$1:$I$89,3,0)*0.475*44/12</f>
        <v>21.043212313100668</v>
      </c>
      <c r="AB96" s="21">
        <f>EXP(-LN(2)/2)*AB95+(1-EXP(-LN(2)/2))/(LN(2)/2)*V96*Y96*VLOOKUP('Données projet'!$B$9,Paramètres!$A$1:$I$89,3,0)*0.475*44/12</f>
        <v>6.9677416223276759E-3</v>
      </c>
      <c r="AC96" s="22">
        <f t="shared" si="57"/>
        <v>254.37625820145365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>
        <f>VLOOKUP(A96,'Données projet'!$A$61:$I$81,2,0)</f>
        <v>269.52</v>
      </c>
      <c r="AG96" s="12">
        <f>VLOOKUP(A96,'Données projet'!$A$61:$I$81,9,0)</f>
        <v>6.7444444444444436</v>
      </c>
      <c r="AH96" s="12">
        <f t="array" ref="AH96">INDEX(AG:AG,MIN(IF(ISNUMBER(AG96:AG292),ROW(AG96:AG292),"")))</f>
        <v>6.7444444444444436</v>
      </c>
      <c r="AI96" s="13">
        <f>IF('Données projet'!$A$62&gt;35,AI95+AH96-AQ95,IF(A96&lt;'Données projet'!$A$62,$AF$205^A96,IF(A96='Données projet'!$A$62,'Données projet'!$B$62,AI95+AH96-AQ95)))</f>
        <v>269.5200000000001</v>
      </c>
      <c r="AJ96" s="13">
        <f>AI96*VLOOKUP('Données projet'!$B$10,Paramètres!$A$1:$I$89,3,0)*VLOOKUP('Données projet'!$B$10,Paramètres!$A$1:$I$89,5,0)</f>
        <v>243.86169600000008</v>
      </c>
      <c r="AK96" s="13">
        <f t="shared" si="89"/>
        <v>59.269619737338338</v>
      </c>
      <c r="AL96" s="20">
        <f t="shared" si="58"/>
        <v>527.95370824253109</v>
      </c>
      <c r="AM96" s="59">
        <f t="shared" si="59"/>
        <v>821.28704157586435</v>
      </c>
      <c r="AN96" s="59">
        <f ca="1">AVERAGE(OFFSET($AM$3,0,0,'Données projet'!$E$10+1,1))-AVERAGE(OFFSET($H$3,0,0,'Données projet'!$E$10+1,1))</f>
        <v>321.13571401604742</v>
      </c>
      <c r="AO96" s="59">
        <f t="shared" si="90"/>
        <v>225.55225019382294</v>
      </c>
      <c r="AP96" s="15">
        <f>IF(ISNA(VLOOKUP(A96,'Données projet'!$A$61:$I$81,3,0)),0,VLOOKUP(A96,'Données projet'!$A$61:$I$81,3,0))</f>
        <v>7</v>
      </c>
      <c r="AQ96" s="15">
        <f>IF(ISNA(VLOOKUP(A96,'Données projet'!$A$61:$I$81,4,0)),0,VLOOKUP(A96,'Données projet'!$A$61:$I$81,4,0))</f>
        <v>38.57</v>
      </c>
      <c r="AR96" s="16">
        <f>IF(ISNA(VLOOKUP(A96,'Données projet'!$A$61:$I$81,5,0)),0%,VLOOKUP(A96,'Données projet'!$A$61:$I$81,5,0)*VLOOKUP('Données projet'!$B$10,Paramètres!$A$1:$I$89,7,0))</f>
        <v>0.17200000000000001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26.089746112787878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26.089746112787878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45.214000000000098</v>
      </c>
      <c r="D97" s="11">
        <f t="shared" si="86"/>
        <v>13.37061013858626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452.23207826277189</v>
      </c>
      <c r="H97" s="67">
        <f t="shared" si="56"/>
        <v>395.36819599137124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470.58485082099065</v>
      </c>
      <c r="T97" s="59">
        <f t="shared" si="88"/>
        <v>498.77167507743559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228.75069606912851</v>
      </c>
      <c r="AA97" s="21">
        <f>EXP(-LN(2)/25)*AA96+(1-EXP(-LN(2)/25))/(LN(2)/25)*Calculateur!V97*Calculateur!X97*VLOOKUP('Données projet'!$B$9,Paramètres!$A$1:$I$89,3,0)*0.475*44/12</f>
        <v>20.467784565784488</v>
      </c>
      <c r="AB97" s="21">
        <f>EXP(-LN(2)/2)*AB96+(1-EXP(-LN(2)/2))/(LN(2)/2)*V97*Y97*VLOOKUP('Données projet'!$B$9,Paramètres!$A$1:$I$89,3,0)*0.475*44/12</f>
        <v>4.9269373507036555E-3</v>
      </c>
      <c r="AC97" s="22">
        <f t="shared" si="57"/>
        <v>249.22340757226371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6.7350000000000021</v>
      </c>
      <c r="AI97" s="13">
        <f>IF('Données projet'!$A$62&gt;35,AI96+AH97-AQ96,IF(A97&lt;'Données projet'!$A$62,$AF$205^A97,IF(A97='Données projet'!$A$62,'Données projet'!$B$62,AI96+AH97-AQ96)))</f>
        <v>237.68500000000012</v>
      </c>
      <c r="AJ97" s="13">
        <f>AI97*VLOOKUP('Données projet'!$B$10,Paramètres!$A$1:$I$89,3,0)*VLOOKUP('Données projet'!$B$10,Paramètres!$A$1:$I$89,5,0)</f>
        <v>215.05738800000012</v>
      </c>
      <c r="AK97" s="13">
        <f t="shared" si="89"/>
        <v>53.039216904058748</v>
      </c>
      <c r="AL97" s="20">
        <f t="shared" si="58"/>
        <v>466.93492020790245</v>
      </c>
      <c r="AM97" s="59">
        <f t="shared" si="59"/>
        <v>760.26825354123571</v>
      </c>
      <c r="AN97" s="59">
        <f ca="1">AVERAGE(OFFSET($AM$3,0,0,'Données projet'!$E$10+1,1))-AVERAGE(OFFSET($H$3,0,0,'Données projet'!$E$10+1,1))</f>
        <v>321.13571401604742</v>
      </c>
      <c r="AO97" s="59">
        <f t="shared" si="90"/>
        <v>225.55225019382294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25.578142104689942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25.578142104689942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45.6950000000001</v>
      </c>
      <c r="D98" s="11">
        <f t="shared" si="86"/>
        <v>13.49621636328218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456.91465262884572</v>
      </c>
      <c r="H98" s="67">
        <f t="shared" si="56"/>
        <v>396.42470183271661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470.58485082099065</v>
      </c>
      <c r="T98" s="59">
        <f t="shared" si="88"/>
        <v>498.77167507743559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224.26503444336063</v>
      </c>
      <c r="AA98" s="21">
        <f>EXP(-LN(2)/25)*AA97+(1-EXP(-LN(2)/25))/(LN(2)/25)*Calculateur!V98*Calculateur!X98*VLOOKUP('Données projet'!$B$9,Paramètres!$A$1:$I$89,3,0)*0.475*44/12</f>
        <v>19.908091920479102</v>
      </c>
      <c r="AB98" s="21">
        <f>EXP(-LN(2)/2)*AB97+(1-EXP(-LN(2)/2))/(LN(2)/2)*V98*Y98*VLOOKUP('Données projet'!$B$9,Paramètres!$A$1:$I$89,3,0)*0.475*44/12</f>
        <v>3.4838708111638379E-3</v>
      </c>
      <c r="AC98" s="22">
        <f t="shared" si="57"/>
        <v>244.17661023465089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6.7350000000000021</v>
      </c>
      <c r="AI98" s="13">
        <f>IF('Données projet'!$A$62&gt;35,AI97+AH98-AQ97,IF(A98&lt;'Données projet'!$A$62,$AF$205^A98,IF(A98='Données projet'!$A$62,'Données projet'!$B$62,AI97+AH98-AQ97)))</f>
        <v>244.42000000000013</v>
      </c>
      <c r="AJ98" s="13">
        <f>AI98*VLOOKUP('Données projet'!$B$10,Paramètres!$A$1:$I$89,3,0)*VLOOKUP('Données projet'!$B$10,Paramètres!$A$1:$I$89,5,0)</f>
        <v>221.15121600000009</v>
      </c>
      <c r="AK98" s="13">
        <f t="shared" si="89"/>
        <v>54.365020776705762</v>
      </c>
      <c r="AL98" s="20">
        <f t="shared" si="58"/>
        <v>479.85744571942934</v>
      </c>
      <c r="AM98" s="59">
        <f t="shared" si="59"/>
        <v>773.19077905276265</v>
      </c>
      <c r="AN98" s="59">
        <f ca="1">AVERAGE(OFFSET($AM$3,0,0,'Données projet'!$E$10+1,1))-AVERAGE(OFFSET($H$3,0,0,'Données projet'!$E$10+1,1))</f>
        <v>321.13571401604742</v>
      </c>
      <c r="AO98" s="59">
        <f t="shared" si="90"/>
        <v>225.55225019382294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25.076570339143174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25.076570339143174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46.176000000000101</v>
      </c>
      <c r="D99" s="11">
        <f t="shared" si="86"/>
        <v>13.621668778540512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461.59603969399774</v>
      </c>
      <c r="H99" s="67">
        <f t="shared" si="56"/>
        <v>397.48093978929154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470.58485082099065</v>
      </c>
      <c r="T99" s="59">
        <f t="shared" si="88"/>
        <v>498.77167507743559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219.86733390609064</v>
      </c>
      <c r="AA99" s="21">
        <f>EXP(-LN(2)/25)*AA98+(1-EXP(-LN(2)/25))/(LN(2)/25)*Calculateur!V99*Calculateur!X99*VLOOKUP('Données projet'!$B$9,Paramètres!$A$1:$I$89,3,0)*0.475*44/12</f>
        <v>19.363704099992546</v>
      </c>
      <c r="AB99" s="21">
        <f>EXP(-LN(2)/2)*AB98+(1-EXP(-LN(2)/2))/(LN(2)/2)*V99*Y99*VLOOKUP('Données projet'!$B$9,Paramètres!$A$1:$I$89,3,0)*0.475*44/12</f>
        <v>2.4634686753518278E-3</v>
      </c>
      <c r="AC99" s="22">
        <f t="shared" si="57"/>
        <v>239.23350147475853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6.7350000000000021</v>
      </c>
      <c r="AI99" s="13">
        <f>IF('Données projet'!$A$62&gt;35,AI98+AH99-AQ98,IF(A99&lt;'Données projet'!$A$62,$AF$205^A99,IF(A99='Données projet'!$A$62,'Données projet'!$B$62,AI98+AH99-AQ98)))</f>
        <v>251.15500000000014</v>
      </c>
      <c r="AJ99" s="13">
        <f>AI99*VLOOKUP('Données projet'!$B$10,Paramètres!$A$1:$I$89,3,0)*VLOOKUP('Données projet'!$B$10,Paramètres!$A$1:$I$89,5,0)</f>
        <v>227.24504400000012</v>
      </c>
      <c r="AK99" s="13">
        <f t="shared" si="89"/>
        <v>55.686578503486572</v>
      </c>
      <c r="AL99" s="20">
        <f t="shared" si="58"/>
        <v>492.77257586023921</v>
      </c>
      <c r="AM99" s="59">
        <f t="shared" si="59"/>
        <v>786.10590919357253</v>
      </c>
      <c r="AN99" s="59">
        <f ca="1">AVERAGE(OFFSET($AM$3,0,0,'Données projet'!$E$10+1,1))-AVERAGE(OFFSET($H$3,0,0,'Données projet'!$E$10+1,1))</f>
        <v>321.13571401604742</v>
      </c>
      <c r="AO99" s="59">
        <f t="shared" si="90"/>
        <v>225.55225019382294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24.58483408999021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24.58483408999021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46.657000000000103</v>
      </c>
      <c r="D100" s="11">
        <f t="shared" si="86"/>
        <v>13.746969172017856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466.27625325768253</v>
      </c>
      <c r="H100" s="67">
        <f t="shared" si="56"/>
        <v>398.5369129745979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470.58485082099065</v>
      </c>
      <c r="T100" s="59">
        <f t="shared" si="88"/>
        <v>498.77167507743559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215.55586959402402</v>
      </c>
      <c r="AA100" s="21">
        <f>EXP(-LN(2)/25)*AA99+(1-EXP(-LN(2)/25))/(LN(2)/25)*Calculateur!V100*Calculateur!X100*VLOOKUP('Données projet'!$B$9,Paramètres!$A$1:$I$89,3,0)*0.475*44/12</f>
        <v>18.834202593085308</v>
      </c>
      <c r="AB100" s="21">
        <f>EXP(-LN(2)/2)*AB99+(1-EXP(-LN(2)/2))/(LN(2)/2)*V100*Y100*VLOOKUP('Données projet'!$B$9,Paramètres!$A$1:$I$89,3,0)*0.475*44/12</f>
        <v>1.741935405581919E-3</v>
      </c>
      <c r="AC100" s="22">
        <f t="shared" si="57"/>
        <v>234.39181412251492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6.7350000000000021</v>
      </c>
      <c r="AI100" s="13">
        <f>IF('Données projet'!$A$62&gt;35,AI99+AH100-AQ99,IF(A100&lt;'Données projet'!$A$62,$AF$205^A100,IF(A100='Données projet'!$A$62,'Données projet'!$B$62,AI99+AH100-AQ99)))</f>
        <v>257.89000000000016</v>
      </c>
      <c r="AJ100" s="13">
        <f>AI100*VLOOKUP('Données projet'!$B$10,Paramètres!$A$1:$I$89,3,0)*VLOOKUP('Données projet'!$B$10,Paramètres!$A$1:$I$89,5,0)</f>
        <v>233.33887200000015</v>
      </c>
      <c r="AK100" s="13">
        <f t="shared" si="89"/>
        <v>57.004017036032465</v>
      </c>
      <c r="AL100" s="20">
        <f t="shared" si="58"/>
        <v>505.68053173775678</v>
      </c>
      <c r="AM100" s="59">
        <f t="shared" si="59"/>
        <v>799.01386507109009</v>
      </c>
      <c r="AN100" s="59">
        <f ca="1">AVERAGE(OFFSET($AM$3,0,0,'Données projet'!$E$10+1,1))-AVERAGE(OFFSET($H$3,0,0,'Données projet'!$E$10+1,1))</f>
        <v>321.13571401604742</v>
      </c>
      <c r="AO100" s="59">
        <f t="shared" si="90"/>
        <v>225.55225019382294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24.102740488753636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24.102740488753636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47.138000000000105</v>
      </c>
      <c r="D101" s="11">
        <f t="shared" si="86"/>
        <v>13.87211929238806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470.95530681843502</v>
      </c>
      <c r="H101" s="67">
        <f t="shared" si="56"/>
        <v>399.59262443424268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470.58485082099065</v>
      </c>
      <c r="T101" s="59">
        <f t="shared" si="88"/>
        <v>498.77167507743559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211.32895046738346</v>
      </c>
      <c r="AA101" s="21">
        <f>EXP(-LN(2)/25)*AA100+(1-EXP(-LN(2)/25))/(LN(2)/25)*Calculateur!V101*Calculateur!X101*VLOOKUP('Données projet'!$B$9,Paramètres!$A$1:$I$89,3,0)*0.475*44/12</f>
        <v>18.319180332729722</v>
      </c>
      <c r="AB101" s="21">
        <f>EXP(-LN(2)/2)*AB100+(1-EXP(-LN(2)/2))/(LN(2)/2)*V101*Y101*VLOOKUP('Données projet'!$B$9,Paramètres!$A$1:$I$89,3,0)*0.475*44/12</f>
        <v>1.2317343376759139E-3</v>
      </c>
      <c r="AC101" s="22">
        <f t="shared" si="57"/>
        <v>229.64936253445086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6.7350000000000021</v>
      </c>
      <c r="AI101" s="13">
        <f>IF('Données projet'!$A$62&gt;35,AI100+AH101-AQ100,IF(A101&lt;'Données projet'!$A$62,$AF$205^A101,IF(A101='Données projet'!$A$62,'Données projet'!$B$62,AI100+AH101-AQ100)))</f>
        <v>264.62500000000017</v>
      </c>
      <c r="AJ101" s="13">
        <f>AI101*VLOOKUP('Données projet'!$B$10,Paramètres!$A$1:$I$89,3,0)*VLOOKUP('Données projet'!$B$10,Paramètres!$A$1:$I$89,5,0)</f>
        <v>239.43270000000015</v>
      </c>
      <c r="AK101" s="13">
        <f t="shared" si="89"/>
        <v>58.317456317423762</v>
      </c>
      <c r="AL101" s="20">
        <f t="shared" si="58"/>
        <v>518.58152225284664</v>
      </c>
      <c r="AM101" s="59">
        <f t="shared" si="59"/>
        <v>811.91485558618001</v>
      </c>
      <c r="AN101" s="59">
        <f ca="1">AVERAGE(OFFSET($AM$3,0,0,'Données projet'!$E$10+1,1))-AVERAGE(OFFSET($H$3,0,0,'Données projet'!$E$10+1,1))</f>
        <v>321.13571401604742</v>
      </c>
      <c r="AO101" s="59">
        <f t="shared" si="90"/>
        <v>225.55225019382294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23.63010044898925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23.63010044898925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47.619000000000106</v>
      </c>
      <c r="D102" s="11">
        <f t="shared" si="86"/>
        <v>13.997120850581238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475.63321358343501</v>
      </c>
      <c r="H102" s="67">
        <f t="shared" si="56"/>
        <v>400.64807714809581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470.58485082099065</v>
      </c>
      <c r="T102" s="59">
        <f t="shared" si="88"/>
        <v>498.77167507743559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207.18491864665026</v>
      </c>
      <c r="AA102" s="21">
        <f>EXP(-LN(2)/25)*AA101+(1-EXP(-LN(2)/25))/(LN(2)/25)*Calculateur!V102*Calculateur!X102*VLOOKUP('Données projet'!$B$9,Paramètres!$A$1:$I$89,3,0)*0.475*44/12</f>
        <v>17.818241383167404</v>
      </c>
      <c r="AB102" s="21">
        <f>EXP(-LN(2)/2)*AB101+(1-EXP(-LN(2)/2))/(LN(2)/2)*V102*Y102*VLOOKUP('Données projet'!$B$9,Paramètres!$A$1:$I$89,3,0)*0.475*44/12</f>
        <v>8.7096770279095949E-4</v>
      </c>
      <c r="AC102" s="22">
        <f t="shared" si="57"/>
        <v>225.00403099752043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6.7350000000000021</v>
      </c>
      <c r="AI102" s="13">
        <f>IF('Données projet'!$A$62&gt;35,AI101+AH102-AQ101,IF(A102&lt;'Données projet'!$A$62,$AF$205^A102,IF(A102='Données projet'!$A$62,'Données projet'!$B$62,AI101+AH102-AQ101)))</f>
        <v>271.36000000000018</v>
      </c>
      <c r="AJ102" s="13">
        <f>AI102*VLOOKUP('Données projet'!$B$10,Paramètres!$A$1:$I$89,3,0)*VLOOKUP('Données projet'!$B$10,Paramètres!$A$1:$I$89,5,0)</f>
        <v>245.52652800000016</v>
      </c>
      <c r="AK102" s="13">
        <f t="shared" si="89"/>
        <v>59.627009837498669</v>
      </c>
      <c r="AL102" s="20">
        <f t="shared" si="58"/>
        <v>531.47574506697708</v>
      </c>
      <c r="AM102" s="59">
        <f t="shared" si="59"/>
        <v>824.80907840031045</v>
      </c>
      <c r="AN102" s="59">
        <f ca="1">AVERAGE(OFFSET($AM$3,0,0,'Données projet'!$E$10+1,1))-AVERAGE(OFFSET($H$3,0,0,'Données projet'!$E$10+1,1))</f>
        <v>321.13571401604742</v>
      </c>
      <c r="AO102" s="59">
        <f t="shared" si="90"/>
        <v>225.55225019382294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23.166728592122684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23.166728592122684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48.100000000000108</v>
      </c>
      <c r="D103" s="11">
        <f t="shared" si="86"/>
        <v>14.121975520971258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480.3099864776737</v>
      </c>
      <c r="H103" s="67">
        <f t="shared" si="56"/>
        <v>401.70327403235842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470.58485082099065</v>
      </c>
      <c r="T103" s="59">
        <f t="shared" si="88"/>
        <v>498.77167507743559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203.12214876231178</v>
      </c>
      <c r="AA103" s="21">
        <f>EXP(-LN(2)/25)*AA102+(1-EXP(-LN(2)/25))/(LN(2)/25)*Calculateur!V103*Calculateur!X103*VLOOKUP('Données projet'!$B$9,Paramètres!$A$1:$I$89,3,0)*0.475*44/12</f>
        <v>17.331000635524102</v>
      </c>
      <c r="AB103" s="21">
        <f>EXP(-LN(2)/2)*AB102+(1-EXP(-LN(2)/2))/(LN(2)/2)*V103*Y103*VLOOKUP('Données projet'!$B$9,Paramètres!$A$1:$I$89,3,0)*0.475*44/12</f>
        <v>6.1586716883795694E-4</v>
      </c>
      <c r="AC103" s="22">
        <f t="shared" si="57"/>
        <v>220.45376526500473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6.7350000000000021</v>
      </c>
      <c r="AI103" s="13">
        <f>IF('Données projet'!$A$62&gt;35,AI102+AH103-AQ102,IF(A103&lt;'Données projet'!$A$62,$AF$205^A103,IF(A103='Données projet'!$A$62,'Données projet'!$B$62,AI102+AH103-AQ102)))</f>
        <v>278.0950000000002</v>
      </c>
      <c r="AJ103" s="13">
        <f>AI103*VLOOKUP('Données projet'!$B$10,Paramètres!$A$1:$I$89,3,0)*VLOOKUP('Données projet'!$B$10,Paramètres!$A$1:$I$89,5,0)</f>
        <v>251.62035600000019</v>
      </c>
      <c r="AK103" s="13">
        <f t="shared" si="89"/>
        <v>60.932785131479683</v>
      </c>
      <c r="AL103" s="20">
        <f t="shared" si="58"/>
        <v>544.36338747066077</v>
      </c>
      <c r="AM103" s="59">
        <f t="shared" si="59"/>
        <v>837.69672080399414</v>
      </c>
      <c r="AN103" s="59">
        <f ca="1">AVERAGE(OFFSET($AM$3,0,0,'Données projet'!$E$10+1,1))-AVERAGE(OFFSET($H$3,0,0,'Données projet'!$E$10+1,1))</f>
        <v>321.13571401604742</v>
      </c>
      <c r="AO103" s="59">
        <f t="shared" si="90"/>
        <v>225.55225019382294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22.712443174740347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22.712443174740347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48.58100000000011</v>
      </c>
      <c r="D104" s="11">
        <f t="shared" si="86"/>
        <v>14.246684942514399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484.98563815274366</v>
      </c>
      <c r="H104" s="67">
        <f t="shared" si="56"/>
        <v>402.75821794154609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470.58485082099065</v>
      </c>
      <c r="T104" s="59">
        <f t="shared" si="88"/>
        <v>498.77167507743559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199.13904731736025</v>
      </c>
      <c r="AA104" s="21">
        <f>EXP(-LN(2)/25)*AA103+(1-EXP(-LN(2)/25))/(LN(2)/25)*Calculateur!V104*Calculateur!X104*VLOOKUP('Données projet'!$B$9,Paramètres!$A$1:$I$89,3,0)*0.475*44/12</f>
        <v>16.857083511747984</v>
      </c>
      <c r="AB104" s="21">
        <f>EXP(-LN(2)/2)*AB103+(1-EXP(-LN(2)/2))/(LN(2)/2)*V104*Y104*VLOOKUP('Données projet'!$B$9,Paramètres!$A$1:$I$89,3,0)*0.475*44/12</f>
        <v>4.3548385139547974E-4</v>
      </c>
      <c r="AC104" s="22">
        <f t="shared" si="57"/>
        <v>215.99656631295963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6.7350000000000021</v>
      </c>
      <c r="AI104" s="13">
        <f>IF('Données projet'!$A$62&gt;35,AI103+AH104-AQ103,IF(A104&lt;'Données projet'!$A$62,$AF$205^A104,IF(A104='Données projet'!$A$62,'Données projet'!$B$62,AI103+AH104-AQ103)))</f>
        <v>284.83000000000021</v>
      </c>
      <c r="AJ104" s="13">
        <f>AI104*VLOOKUP('Données projet'!$B$10,Paramètres!$A$1:$I$89,3,0)*VLOOKUP('Données projet'!$B$10,Paramètres!$A$1:$I$89,5,0)</f>
        <v>257.71418400000022</v>
      </c>
      <c r="AK104" s="13">
        <f t="shared" si="89"/>
        <v>62.234884228936473</v>
      </c>
      <c r="AL104" s="20">
        <f t="shared" si="58"/>
        <v>557.24462716539813</v>
      </c>
      <c r="AM104" s="59">
        <f t="shared" si="59"/>
        <v>850.5779604987315</v>
      </c>
      <c r="AN104" s="59">
        <f ca="1">AVERAGE(OFFSET($AM$3,0,0,'Données projet'!$E$10+1,1))-AVERAGE(OFFSET($H$3,0,0,'Données projet'!$E$10+1,1))</f>
        <v>321.13571401604742</v>
      </c>
      <c r="AO104" s="59">
        <f t="shared" si="90"/>
        <v>225.55225019382294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22.267066017306135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22.267066017306135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49.062000000000111</v>
      </c>
      <c r="D105" s="11">
        <f t="shared" si="86"/>
        <v>14.371250719841637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489.66018099526968</v>
      </c>
      <c r="H105" s="67">
        <f t="shared" si="56"/>
        <v>403.81291167039103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470.58485082099065</v>
      </c>
      <c r="T105" s="59">
        <f t="shared" si="88"/>
        <v>498.77167507743559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195.23405206229222</v>
      </c>
      <c r="AA105" s="21">
        <f>EXP(-LN(2)/25)*AA104+(1-EXP(-LN(2)/25))/(LN(2)/25)*Calculateur!V105*Calculateur!X105*VLOOKUP('Données projet'!$B$9,Paramètres!$A$1:$I$89,3,0)*0.475*44/12</f>
        <v>16.396125676643742</v>
      </c>
      <c r="AB105" s="21">
        <f>EXP(-LN(2)/2)*AB104+(1-EXP(-LN(2)/2))/(LN(2)/2)*V105*Y105*VLOOKUP('Données projet'!$B$9,Paramètres!$A$1:$I$89,3,0)*0.475*44/12</f>
        <v>3.0793358441897847E-4</v>
      </c>
      <c r="AC105" s="22">
        <f t="shared" si="57"/>
        <v>211.63048567252039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6.7350000000000021</v>
      </c>
      <c r="AI105" s="13">
        <f>IF('Données projet'!$A$62&gt;35,AI104+AH105-AQ104,IF(A105&lt;'Données projet'!$A$62,$AF$205^A105,IF(A105='Données projet'!$A$62,'Données projet'!$B$62,AI104+AH105-AQ104)))</f>
        <v>291.56500000000023</v>
      </c>
      <c r="AJ105" s="13">
        <f>AI105*VLOOKUP('Données projet'!$B$10,Paramètres!$A$1:$I$89,3,0)*VLOOKUP('Données projet'!$B$10,Paramètres!$A$1:$I$89,5,0)</f>
        <v>263.80801200000019</v>
      </c>
      <c r="AK105" s="13">
        <f t="shared" si="89"/>
        <v>63.533404059088696</v>
      </c>
      <c r="AL105" s="20">
        <f t="shared" si="58"/>
        <v>570.11963296957981</v>
      </c>
      <c r="AM105" s="59">
        <f t="shared" si="59"/>
        <v>863.45296630291318</v>
      </c>
      <c r="AN105" s="59">
        <f ca="1">AVERAGE(OFFSET($AM$3,0,0,'Données projet'!$E$10+1,1))-AVERAGE(OFFSET($H$3,0,0,'Données projet'!$E$10+1,1))</f>
        <v>321.13571401604742</v>
      </c>
      <c r="AO105" s="59">
        <f t="shared" si="90"/>
        <v>225.55225019382294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21.830422434275963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21.830422434275963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49.543000000000113</v>
      </c>
      <c r="D106" s="11">
        <f t="shared" si="86"/>
        <v>14.495674424306822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494.33362713500088</v>
      </c>
      <c r="H106" s="67">
        <f t="shared" si="56"/>
        <v>404.8673579556679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470.58485082099065</v>
      </c>
      <c r="T106" s="59">
        <f t="shared" si="88"/>
        <v>498.77167507743559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191.40563138236416</v>
      </c>
      <c r="AA106" s="21">
        <f>EXP(-LN(2)/25)*AA105+(1-EXP(-LN(2)/25))/(LN(2)/25)*Calculateur!V106*Calculateur!X106*VLOOKUP('Données projet'!$B$9,Paramètres!$A$1:$I$89,3,0)*0.475*44/12</f>
        <v>15.947772757781143</v>
      </c>
      <c r="AB106" s="21">
        <f>EXP(-LN(2)/2)*AB105+(1-EXP(-LN(2)/2))/(LN(2)/2)*V106*Y106*VLOOKUP('Données projet'!$B$9,Paramètres!$A$1:$I$89,3,0)*0.475*44/12</f>
        <v>2.1774192569773987E-4</v>
      </c>
      <c r="AC106" s="22">
        <f t="shared" si="57"/>
        <v>207.353621882071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>
        <f>VLOOKUP(A106,'Données projet'!$A$61:$I$81,2,0)</f>
        <v>298.3</v>
      </c>
      <c r="AG106" s="12">
        <f>VLOOKUP(A106,'Données projet'!$A$61:$I$81,9,0)</f>
        <v>6.7350000000000021</v>
      </c>
      <c r="AH106" s="12">
        <f t="array" ref="AH106">INDEX(AG:AG,MIN(IF(ISNUMBER(AG106:AG302),ROW(AG106:AG302),"")))</f>
        <v>6.7350000000000021</v>
      </c>
      <c r="AI106" s="13">
        <f>IF('Données projet'!$A$62&gt;35,AI105+AH106-AQ105,IF(A106&lt;'Données projet'!$A$62,$AF$205^A106,IF(A106='Données projet'!$A$62,'Données projet'!$B$62,AI105+AH106-AQ105)))</f>
        <v>298.30000000000024</v>
      </c>
      <c r="AJ106" s="13">
        <f>AI106*VLOOKUP('Données projet'!$B$10,Paramètres!$A$1:$I$89,3,0)*VLOOKUP('Données projet'!$B$10,Paramètres!$A$1:$I$89,5,0)</f>
        <v>269.90184000000022</v>
      </c>
      <c r="AK106" s="13">
        <f t="shared" si="89"/>
        <v>64.82843681760346</v>
      </c>
      <c r="AL106" s="20">
        <f t="shared" si="58"/>
        <v>582.98856545732633</v>
      </c>
      <c r="AM106" s="59">
        <f t="shared" si="59"/>
        <v>876.32189879065959</v>
      </c>
      <c r="AN106" s="59">
        <f ca="1">AVERAGE(OFFSET($AM$3,0,0,'Données projet'!$E$10+1,1))-AVERAGE(OFFSET($H$3,0,0,'Données projet'!$E$10+1,1))</f>
        <v>321.13571401604742</v>
      </c>
      <c r="AO106" s="59">
        <f t="shared" si="90"/>
        <v>225.55225019382294</v>
      </c>
      <c r="AP106" s="15">
        <f>IF(ISNA(VLOOKUP(A106,'Données projet'!$A$61:$I$81,3,0)),0,VLOOKUP(A106,'Données projet'!$A$61:$I$81,3,0))</f>
        <v>8</v>
      </c>
      <c r="AQ106" s="15">
        <f>IF(ISNA(VLOOKUP(A106,'Données projet'!$A$61:$I$81,4,0)),0,VLOOKUP(A106,'Données projet'!$A$61:$I$81,4,0))</f>
        <v>50.51</v>
      </c>
      <c r="AR106" s="16">
        <f>IF(ISNA(VLOOKUP(A106,'Données projet'!$A$61:$I$81,5,0)),0%,VLOOKUP(A106,'Données projet'!$A$61:$I$81,5,0)*VLOOKUP('Données projet'!$B$10,Paramètres!$A$1:$I$89,7,0))</f>
        <v>0.215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32.264484534722278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32.264484534722278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50.024000000000115</v>
      </c>
      <c r="D107" s="11">
        <f t="shared" si="86"/>
        <v>14.619957594993028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499.00598845257861</v>
      </c>
      <c r="H107" s="67">
        <f t="shared" si="56"/>
        <v>405.92155947794635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470.58485082099065</v>
      </c>
      <c r="T107" s="59">
        <f t="shared" si="88"/>
        <v>498.77167507743559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187.65228369686344</v>
      </c>
      <c r="AA107" s="21">
        <f>EXP(-LN(2)/25)*AA106+(1-EXP(-LN(2)/25))/(LN(2)/25)*Calculateur!V107*Calculateur!X107*VLOOKUP('Données projet'!$B$9,Paramètres!$A$1:$I$89,3,0)*0.475*44/12</f>
        <v>15.511680073062697</v>
      </c>
      <c r="AB107" s="21">
        <f>EXP(-LN(2)/2)*AB106+(1-EXP(-LN(2)/2))/(LN(2)/2)*V107*Y107*VLOOKUP('Données projet'!$B$9,Paramètres!$A$1:$I$89,3,0)*0.475*44/12</f>
        <v>1.5396679220948923E-4</v>
      </c>
      <c r="AC107" s="22">
        <f t="shared" si="57"/>
        <v>203.16411773671834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6.5199999999999987</v>
      </c>
      <c r="AI107" s="13">
        <f>IF('Données projet'!$A$62&gt;35,AI106+AH107-AQ106,IF(A107&lt;'Données projet'!$A$62,$AF$205^A107,IF(A107='Données projet'!$A$62,'Données projet'!$B$62,AI106+AH107-AQ106)))</f>
        <v>254.31000000000023</v>
      </c>
      <c r="AJ107" s="13">
        <f>AI107*VLOOKUP('Données projet'!$B$10,Paramètres!$A$1:$I$89,3,0)*VLOOKUP('Données projet'!$B$10,Paramètres!$A$1:$I$89,5,0)</f>
        <v>230.09968800000021</v>
      </c>
      <c r="AK107" s="13">
        <f t="shared" si="89"/>
        <v>56.304235863804251</v>
      </c>
      <c r="AL107" s="20">
        <f t="shared" si="58"/>
        <v>498.82016739612618</v>
      </c>
      <c r="AM107" s="59">
        <f t="shared" si="59"/>
        <v>792.15350072945944</v>
      </c>
      <c r="AN107" s="59">
        <f ca="1">AVERAGE(OFFSET($AM$3,0,0,'Données projet'!$E$10+1,1))-AVERAGE(OFFSET($H$3,0,0,'Données projet'!$E$10+1,1))</f>
        <v>321.13571401604742</v>
      </c>
      <c r="AO107" s="59">
        <f t="shared" si="90"/>
        <v>225.55225019382294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31.63179767238876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31.63179767238876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50.505000000000116</v>
      </c>
      <c r="D108" s="11">
        <f t="shared" si="86"/>
        <v>14.744101739679099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503.67727658699749</v>
      </c>
      <c r="H108" s="67">
        <f t="shared" si="56"/>
        <v>406.9755188632746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470.58485082099065</v>
      </c>
      <c r="T108" s="59">
        <f t="shared" si="88"/>
        <v>498.77167507743559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183.97253687015936</v>
      </c>
      <c r="AA108" s="21">
        <f>EXP(-LN(2)/25)*AA107+(1-EXP(-LN(2)/25))/(LN(2)/25)*Calculateur!V108*Calculateur!X108*VLOOKUP('Données projet'!$B$9,Paramètres!$A$1:$I$89,3,0)*0.475*44/12</f>
        <v>15.087512365740995</v>
      </c>
      <c r="AB108" s="21">
        <f>EXP(-LN(2)/2)*AB107+(1-EXP(-LN(2)/2))/(LN(2)/2)*V108*Y108*VLOOKUP('Données projet'!$B$9,Paramètres!$A$1:$I$89,3,0)*0.475*44/12</f>
        <v>1.0887096284886994E-4</v>
      </c>
      <c r="AC108" s="22">
        <f t="shared" si="57"/>
        <v>199.06015810686321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6.5199999999999987</v>
      </c>
      <c r="AI108" s="13">
        <f>IF('Données projet'!$A$62&gt;35,AI107+AH108-AQ107,IF(A108&lt;'Données projet'!$A$62,$AF$205^A108,IF(A108='Données projet'!$A$62,'Données projet'!$B$62,AI107+AH108-AQ107)))</f>
        <v>260.83000000000021</v>
      </c>
      <c r="AJ108" s="13">
        <f>AI108*VLOOKUP('Données projet'!$B$10,Paramètres!$A$1:$I$89,3,0)*VLOOKUP('Données projet'!$B$10,Paramètres!$A$1:$I$89,5,0)</f>
        <v>235.99898400000018</v>
      </c>
      <c r="AK108" s="13">
        <f t="shared" si="89"/>
        <v>57.577851946511636</v>
      </c>
      <c r="AL108" s="20">
        <f t="shared" si="58"/>
        <v>511.31298927350804</v>
      </c>
      <c r="AM108" s="59">
        <f t="shared" si="59"/>
        <v>804.6463226068413</v>
      </c>
      <c r="AN108" s="59">
        <f ca="1">AVERAGE(OFFSET($AM$3,0,0,'Données projet'!$E$10+1,1))-AVERAGE(OFFSET($H$3,0,0,'Données projet'!$E$10+1,1))</f>
        <v>321.13571401604742</v>
      </c>
      <c r="AO108" s="59">
        <f t="shared" si="90"/>
        <v>225.55225019382294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31.011517413524722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31.011517413524722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50.986000000000118</v>
      </c>
      <c r="D109" s="11">
        <f t="shared" si="86"/>
        <v>14.868108335768225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508.34750294277325</v>
      </c>
      <c r="H109" s="67">
        <f t="shared" si="56"/>
        <v>408.0292386847965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470.58485082099065</v>
      </c>
      <c r="T109" s="59">
        <f t="shared" si="88"/>
        <v>498.77167507743559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180.36494763430301</v>
      </c>
      <c r="AA109" s="21">
        <f>EXP(-LN(2)/25)*AA108+(1-EXP(-LN(2)/25))/(LN(2)/25)*Calculateur!V109*Calculateur!X109*VLOOKUP('Données projet'!$B$9,Paramètres!$A$1:$I$89,3,0)*0.475*44/12</f>
        <v>14.674943546682016</v>
      </c>
      <c r="AB109" s="21">
        <f>EXP(-LN(2)/2)*AB108+(1-EXP(-LN(2)/2))/(LN(2)/2)*V109*Y109*VLOOKUP('Données projet'!$B$9,Paramètres!$A$1:$I$89,3,0)*0.475*44/12</f>
        <v>7.6983396104744617E-5</v>
      </c>
      <c r="AC109" s="22">
        <f t="shared" si="57"/>
        <v>195.03996816438112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6.5199999999999987</v>
      </c>
      <c r="AI109" s="13">
        <f>IF('Données projet'!$A$62&gt;35,AI108+AH109-AQ108,IF(A109&lt;'Données projet'!$A$62,$AF$205^A109,IF(A109='Données projet'!$A$62,'Données projet'!$B$62,AI108+AH109-AQ108)))</f>
        <v>267.35000000000019</v>
      </c>
      <c r="AJ109" s="13">
        <f>AI109*VLOOKUP('Données projet'!$B$10,Paramètres!$A$1:$I$89,3,0)*VLOOKUP('Données projet'!$B$10,Paramètres!$A$1:$I$89,5,0)</f>
        <v>241.89828000000017</v>
      </c>
      <c r="AK109" s="13">
        <f t="shared" si="89"/>
        <v>58.847767211474299</v>
      </c>
      <c r="AL109" s="20">
        <f t="shared" si="58"/>
        <v>523.79936555998472</v>
      </c>
      <c r="AM109" s="59">
        <f t="shared" si="59"/>
        <v>817.13269889331809</v>
      </c>
      <c r="AN109" s="59">
        <f ca="1">AVERAGE(OFFSET($AM$3,0,0,'Données projet'!$E$10+1,1))-AVERAGE(OFFSET($H$3,0,0,'Données projet'!$E$10+1,1))</f>
        <v>321.13571401604742</v>
      </c>
      <c r="AO109" s="59">
        <f t="shared" si="90"/>
        <v>225.55225019382294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30.403400472203408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30.403400472203408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51.46700000000012</v>
      </c>
      <c r="D110" s="11">
        <f t="shared" si="86"/>
        <v>14.991978831180672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513.01667869683422</v>
      </c>
      <c r="H110" s="67">
        <f t="shared" si="56"/>
        <v>409.08272146430653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470.58485082099065</v>
      </c>
      <c r="T110" s="59">
        <f t="shared" si="88"/>
        <v>498.77167507743559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176.82810102294962</v>
      </c>
      <c r="AA110" s="21">
        <f>EXP(-LN(2)/25)*AA109+(1-EXP(-LN(2)/25))/(LN(2)/25)*Calculateur!V110*Calculateur!X110*VLOOKUP('Données projet'!$B$9,Paramètres!$A$1:$I$89,3,0)*0.475*44/12</f>
        <v>14.273656443676256</v>
      </c>
      <c r="AB110" s="21">
        <f>EXP(-LN(2)/2)*AB109+(1-EXP(-LN(2)/2))/(LN(2)/2)*V110*Y110*VLOOKUP('Données projet'!$B$9,Paramètres!$A$1:$I$89,3,0)*0.475*44/12</f>
        <v>5.4435481424434968E-5</v>
      </c>
      <c r="AC110" s="22">
        <f t="shared" si="57"/>
        <v>191.1018119021073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6.5199999999999987</v>
      </c>
      <c r="AI110" s="13">
        <f>IF('Données projet'!$A$62&gt;35,AI109+AH110-AQ109,IF(A110&lt;'Données projet'!$A$62,$AF$205^A110,IF(A110='Données projet'!$A$62,'Données projet'!$B$62,AI109+AH110-AQ109)))</f>
        <v>273.87000000000018</v>
      </c>
      <c r="AJ110" s="13">
        <f>AI110*VLOOKUP('Données projet'!$B$10,Paramètres!$A$1:$I$89,3,0)*VLOOKUP('Données projet'!$B$10,Paramètres!$A$1:$I$89,5,0)</f>
        <v>247.79757600000016</v>
      </c>
      <c r="AK110" s="13">
        <f t="shared" si="89"/>
        <v>60.114082295241161</v>
      </c>
      <c r="AL110" s="20">
        <f t="shared" si="58"/>
        <v>536.2794715308786</v>
      </c>
      <c r="AM110" s="59">
        <f t="shared" si="59"/>
        <v>829.61280486421197</v>
      </c>
      <c r="AN110" s="59">
        <f ca="1">AVERAGE(OFFSET($AM$3,0,0,'Données projet'!$E$10+1,1))-AVERAGE(OFFSET($H$3,0,0,'Données projet'!$E$10+1,1))</f>
        <v>321.13571401604742</v>
      </c>
      <c r="AO110" s="59">
        <f t="shared" si="90"/>
        <v>225.55225019382294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29.807208333186697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29.807208333186697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51.948000000000121</v>
      </c>
      <c r="D111" s="11">
        <f t="shared" si="86"/>
        <v>15.115714645211925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517.68481480514572</v>
      </c>
      <c r="H111" s="67">
        <f t="shared" si="56"/>
        <v>410.13596967374428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470.58485082099065</v>
      </c>
      <c r="T111" s="59">
        <f t="shared" si="88"/>
        <v>498.77167507743559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173.36060981638147</v>
      </c>
      <c r="AA111" s="21">
        <f>EXP(-LN(2)/25)*AA110+(1-EXP(-LN(2)/25))/(LN(2)/25)*Calculateur!V111*Calculateur!X111*VLOOKUP('Données projet'!$B$9,Paramètres!$A$1:$I$89,3,0)*0.475*44/12</f>
        <v>13.883342557604959</v>
      </c>
      <c r="AB111" s="21">
        <f>EXP(-LN(2)/2)*AB110+(1-EXP(-LN(2)/2))/(LN(2)/2)*V111*Y111*VLOOKUP('Données projet'!$B$9,Paramètres!$A$1:$I$89,3,0)*0.475*44/12</f>
        <v>3.8491698052372309E-5</v>
      </c>
      <c r="AC111" s="22">
        <f t="shared" si="57"/>
        <v>187.24399086568448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6.5199999999999987</v>
      </c>
      <c r="AI111" s="13">
        <f>IF('Données projet'!$A$62&gt;35,AI110+AH111-AQ110,IF(A111&lt;'Données projet'!$A$62,$AF$205^A111,IF(A111='Données projet'!$A$62,'Données projet'!$B$62,AI110+AH111-AQ110)))</f>
        <v>280.39000000000016</v>
      </c>
      <c r="AJ111" s="13">
        <f>AI111*VLOOKUP('Données projet'!$B$10,Paramètres!$A$1:$I$89,3,0)*VLOOKUP('Données projet'!$B$10,Paramètres!$A$1:$I$89,5,0)</f>
        <v>253.69687200000013</v>
      </c>
      <c r="AK111" s="13">
        <f t="shared" si="89"/>
        <v>61.376892769371267</v>
      </c>
      <c r="AL111" s="20">
        <f t="shared" si="58"/>
        <v>548.75347363998856</v>
      </c>
      <c r="AM111" s="59">
        <f t="shared" si="59"/>
        <v>842.08680697332193</v>
      </c>
      <c r="AN111" s="59">
        <f ca="1">AVERAGE(OFFSET($AM$3,0,0,'Données projet'!$E$10+1,1))-AVERAGE(OFFSET($H$3,0,0,'Données projet'!$E$10+1,1))</f>
        <v>321.13571401604742</v>
      </c>
      <c r="AO111" s="59">
        <f t="shared" si="90"/>
        <v>225.55225019382294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29.222707158374803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29.222707158374803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52.429000000000123</v>
      </c>
      <c r="D112" s="11">
        <f t="shared" si="86"/>
        <v>15.239317169358381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522.3519220090833</v>
      </c>
      <c r="H112" s="67">
        <f t="shared" si="56"/>
        <v>411.18898573663273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470.58485082099065</v>
      </c>
      <c r="T112" s="59">
        <f t="shared" si="88"/>
        <v>498.77167507743559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169.96111399741329</v>
      </c>
      <c r="AA112" s="21">
        <f>EXP(-LN(2)/25)*AA111+(1-EXP(-LN(2)/25))/(LN(2)/25)*Calculateur!V112*Calculateur!X112*VLOOKUP('Données projet'!$B$9,Paramètres!$A$1:$I$89,3,0)*0.475*44/12</f>
        <v>13.503701825273996</v>
      </c>
      <c r="AB112" s="21">
        <f>EXP(-LN(2)/2)*AB111+(1-EXP(-LN(2)/2))/(LN(2)/2)*V112*Y112*VLOOKUP('Données projet'!$B$9,Paramètres!$A$1:$I$89,3,0)*0.475*44/12</f>
        <v>2.7217740712217484E-5</v>
      </c>
      <c r="AC112" s="22">
        <f t="shared" si="57"/>
        <v>183.46484304042801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6.5199999999999987</v>
      </c>
      <c r="AI112" s="13">
        <f>IF('Données projet'!$A$62&gt;35,AI111+AH112-AQ111,IF(A112&lt;'Données projet'!$A$62,$AF$205^A112,IF(A112='Données projet'!$A$62,'Données projet'!$B$62,AI111+AH112-AQ111)))</f>
        <v>286.91000000000014</v>
      </c>
      <c r="AJ112" s="13">
        <f>AI112*VLOOKUP('Données projet'!$B$10,Paramètres!$A$1:$I$89,3,0)*VLOOKUP('Données projet'!$B$10,Paramètres!$A$1:$I$89,5,0)</f>
        <v>259.59616800000009</v>
      </c>
      <c r="AK112" s="13">
        <f t="shared" si="89"/>
        <v>62.636289507113787</v>
      </c>
      <c r="AL112" s="20">
        <f t="shared" si="58"/>
        <v>561.22153015822335</v>
      </c>
      <c r="AM112" s="59">
        <f t="shared" si="59"/>
        <v>854.55486349155672</v>
      </c>
      <c r="AN112" s="59">
        <f ca="1">AVERAGE(OFFSET($AM$3,0,0,'Données projet'!$E$10+1,1))-AVERAGE(OFFSET($H$3,0,0,'Données projet'!$E$10+1,1))</f>
        <v>321.13571401604742</v>
      </c>
      <c r="AO112" s="59">
        <f t="shared" si="90"/>
        <v>225.55225019382294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28.649667695090457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28.649667695090457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52.910000000000124</v>
      </c>
      <c r="D113" s="11">
        <f t="shared" si="86"/>
        <v>15.362787768111703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527.018010841565</v>
      </c>
      <c r="H113" s="67">
        <f t="shared" si="56"/>
        <v>412.2417720294614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470.58485082099065</v>
      </c>
      <c r="T113" s="59">
        <f t="shared" si="88"/>
        <v>498.77167507743559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166.62828021796739</v>
      </c>
      <c r="AA113" s="21">
        <f>EXP(-LN(2)/25)*AA112+(1-EXP(-LN(2)/25))/(LN(2)/25)*Calculateur!V113*Calculateur!X113*VLOOKUP('Données projet'!$B$9,Paramètres!$A$1:$I$89,3,0)*0.475*44/12</f>
        <v>13.134442388733063</v>
      </c>
      <c r="AB113" s="21">
        <f>EXP(-LN(2)/2)*AB112+(1-EXP(-LN(2)/2))/(LN(2)/2)*V113*Y113*VLOOKUP('Données projet'!$B$9,Paramètres!$A$1:$I$89,3,0)*0.475*44/12</f>
        <v>1.9245849026186154E-5</v>
      </c>
      <c r="AC113" s="22">
        <f t="shared" si="57"/>
        <v>179.76274185254945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6.5199999999999987</v>
      </c>
      <c r="AI113" s="13">
        <f>IF('Données projet'!$A$62&gt;35,AI112+AH113-AQ112,IF(A113&lt;'Données projet'!$A$62,$AF$205^A113,IF(A113='Données projet'!$A$62,'Données projet'!$B$62,AI112+AH113-AQ112)))</f>
        <v>293.43000000000012</v>
      </c>
      <c r="AJ113" s="13">
        <f>AI113*VLOOKUP('Données projet'!$B$10,Paramètres!$A$1:$I$89,3,0)*VLOOKUP('Données projet'!$B$10,Paramètres!$A$1:$I$89,5,0)</f>
        <v>265.49546400000008</v>
      </c>
      <c r="AK113" s="13">
        <f t="shared" si="89"/>
        <v>63.892359015816595</v>
      </c>
      <c r="AL113" s="20">
        <f t="shared" si="58"/>
        <v>573.68379175254745</v>
      </c>
      <c r="AM113" s="59">
        <f t="shared" si="59"/>
        <v>867.01712508588071</v>
      </c>
      <c r="AN113" s="59">
        <f ca="1">AVERAGE(OFFSET($AM$3,0,0,'Données projet'!$E$10+1,1))-AVERAGE(OFFSET($H$3,0,0,'Données projet'!$E$10+1,1))</f>
        <v>321.13571401604742</v>
      </c>
      <c r="AO113" s="59">
        <f t="shared" si="90"/>
        <v>225.55225019382294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28.087865186161558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28.087865186161558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53.391000000000126</v>
      </c>
      <c r="D114" s="11">
        <f t="shared" si="86"/>
        <v>15.486127779723555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531.68309163295476</v>
      </c>
      <c r="H114" s="67">
        <f t="shared" si="56"/>
        <v>413.29433088301869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470.58485082099065</v>
      </c>
      <c r="T114" s="59">
        <f t="shared" si="88"/>
        <v>498.77167507743559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163.36080127610853</v>
      </c>
      <c r="AA114" s="21">
        <f>EXP(-LN(2)/25)*AA113+(1-EXP(-LN(2)/25))/(LN(2)/25)*Calculateur!V114*Calculateur!X114*VLOOKUP('Données projet'!$B$9,Paramètres!$A$1:$I$89,3,0)*0.475*44/12</f>
        <v>12.775280370902852</v>
      </c>
      <c r="AB114" s="21">
        <f>EXP(-LN(2)/2)*AB113+(1-EXP(-LN(2)/2))/(LN(2)/2)*V114*Y114*VLOOKUP('Données projet'!$B$9,Paramètres!$A$1:$I$89,3,0)*0.475*44/12</f>
        <v>1.3608870356108742E-5</v>
      </c>
      <c r="AC114" s="22">
        <f t="shared" si="57"/>
        <v>176.13609525588174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6.5199999999999987</v>
      </c>
      <c r="AI114" s="13">
        <f>IF('Données projet'!$A$62&gt;35,AI113+AH114-AQ113,IF(A114&lt;'Données projet'!$A$62,$AF$205^A114,IF(A114='Données projet'!$A$62,'Données projet'!$B$62,AI113+AH114-AQ113)))</f>
        <v>299.9500000000001</v>
      </c>
      <c r="AJ114" s="13">
        <f>AI114*VLOOKUP('Données projet'!$B$10,Paramètres!$A$1:$I$89,3,0)*VLOOKUP('Données projet'!$B$10,Paramètres!$A$1:$I$89,5,0)</f>
        <v>271.39476000000008</v>
      </c>
      <c r="AK114" s="13">
        <f t="shared" si="89"/>
        <v>65.145183738957968</v>
      </c>
      <c r="AL114" s="20">
        <f t="shared" si="58"/>
        <v>586.14040201201863</v>
      </c>
      <c r="AM114" s="59">
        <f t="shared" si="59"/>
        <v>879.473735345352</v>
      </c>
      <c r="AN114" s="59">
        <f ca="1">AVERAGE(OFFSET($AM$3,0,0,'Données projet'!$E$10+1,1))-AVERAGE(OFFSET($H$3,0,0,'Données projet'!$E$10+1,1))</f>
        <v>321.13571401604742</v>
      </c>
      <c r="AO114" s="59">
        <f t="shared" si="90"/>
        <v>225.55225019382294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27.53707928176706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27.53707928176706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53.872000000000128</v>
      </c>
      <c r="D115" s="11">
        <f t="shared" si="86"/>
        <v>15.609338516941946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536.34717451674589</v>
      </c>
      <c r="H115" s="67">
        <f t="shared" si="56"/>
        <v>414.34666458367406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470.58485082099065</v>
      </c>
      <c r="T115" s="59">
        <f t="shared" si="88"/>
        <v>498.77167507743559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160.15739560333415</v>
      </c>
      <c r="AA115" s="21">
        <f>EXP(-LN(2)/25)*AA114+(1-EXP(-LN(2)/25))/(LN(2)/25)*Calculateur!V115*Calculateur!X115*VLOOKUP('Données projet'!$B$9,Paramètres!$A$1:$I$89,3,0)*0.475*44/12</f>
        <v>12.425939657337716</v>
      </c>
      <c r="AB115" s="21">
        <f>EXP(-LN(2)/2)*AB114+(1-EXP(-LN(2)/2))/(LN(2)/2)*V115*Y115*VLOOKUP('Données projet'!$B$9,Paramètres!$A$1:$I$89,3,0)*0.475*44/12</f>
        <v>9.6229245130930772E-6</v>
      </c>
      <c r="AC115" s="22">
        <f t="shared" si="57"/>
        <v>172.5833448835964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6.5199999999999987</v>
      </c>
      <c r="AI115" s="13">
        <f>IF('Données projet'!$A$62&gt;35,AI114+AH115-AQ114,IF(A115&lt;'Données projet'!$A$62,$AF$205^A115,IF(A115='Données projet'!$A$62,'Données projet'!$B$62,AI114+AH115-AQ114)))</f>
        <v>306.47000000000008</v>
      </c>
      <c r="AJ115" s="13">
        <f>AI115*VLOOKUP('Données projet'!$B$10,Paramètres!$A$1:$I$89,3,0)*VLOOKUP('Données projet'!$B$10,Paramètres!$A$1:$I$89,5,0)</f>
        <v>277.29405600000007</v>
      </c>
      <c r="AK115" s="13">
        <f t="shared" si="89"/>
        <v>66.394842331176392</v>
      </c>
      <c r="AL115" s="20">
        <f t="shared" si="58"/>
        <v>598.59149792679898</v>
      </c>
      <c r="AM115" s="59">
        <f t="shared" si="59"/>
        <v>891.92483126013235</v>
      </c>
      <c r="AN115" s="59">
        <f ca="1">AVERAGE(OFFSET($AM$3,0,0,'Données projet'!$E$10+1,1))-AVERAGE(OFFSET($H$3,0,0,'Données projet'!$E$10+1,1))</f>
        <v>321.13571401604742</v>
      </c>
      <c r="AO115" s="59">
        <f t="shared" si="90"/>
        <v>225.55225019382294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26.997093953011507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26.997093953011507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54.353000000000129</v>
      </c>
      <c r="D116" s="11">
        <f t="shared" si="86"/>
        <v>15.732421267720559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541.010269435037</v>
      </c>
      <c r="H116" s="67">
        <f t="shared" si="56"/>
        <v>415.39877537461348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470.58485082099065</v>
      </c>
      <c r="T116" s="59">
        <f t="shared" si="88"/>
        <v>498.77167507743559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157.01680676191836</v>
      </c>
      <c r="AA116" s="21">
        <f>EXP(-LN(2)/25)*AA115+(1-EXP(-LN(2)/25))/(LN(2)/25)*Calculateur!V116*Calculateur!X116*VLOOKUP('Données projet'!$B$9,Paramètres!$A$1:$I$89,3,0)*0.475*44/12</f>
        <v>12.08615168395605</v>
      </c>
      <c r="AB116" s="21">
        <f>EXP(-LN(2)/2)*AB115+(1-EXP(-LN(2)/2))/(LN(2)/2)*V116*Y116*VLOOKUP('Données projet'!$B$9,Paramètres!$A$1:$I$89,3,0)*0.475*44/12</f>
        <v>6.804435178054371E-6</v>
      </c>
      <c r="AC116" s="22">
        <f t="shared" si="57"/>
        <v>169.10296525030958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>
        <f>VLOOKUP(A116,'Données projet'!$A$61:$I$81,2,0)</f>
        <v>312.99</v>
      </c>
      <c r="AG116" s="12">
        <f>VLOOKUP(A116,'Données projet'!$A$61:$I$81,9,0)</f>
        <v>6.5199999999999987</v>
      </c>
      <c r="AH116" s="12">
        <f t="array" ref="AH116">INDEX(AG:AG,MIN(IF(ISNUMBER(AG116:AG312),ROW(AG116:AG312),"")))</f>
        <v>6.5199999999999987</v>
      </c>
      <c r="AI116" s="13">
        <f>IF('Données projet'!$A$62&gt;35,AI115+AH116-AQ115,IF(A116&lt;'Données projet'!$A$62,$AF$205^A116,IF(A116='Données projet'!$A$62,'Données projet'!$B$62,AI115+AH116-AQ115)))</f>
        <v>312.99000000000007</v>
      </c>
      <c r="AJ116" s="13">
        <f>AI116*VLOOKUP('Données projet'!$B$10,Paramètres!$A$1:$I$89,3,0)*VLOOKUP('Données projet'!$B$10,Paramètres!$A$1:$I$89,5,0)</f>
        <v>283.19335200000006</v>
      </c>
      <c r="AK116" s="13">
        <f t="shared" si="89"/>
        <v>67.641409909234866</v>
      </c>
      <c r="AL116" s="20">
        <f t="shared" si="58"/>
        <v>611.03721032525084</v>
      </c>
      <c r="AM116" s="59">
        <f t="shared" si="59"/>
        <v>904.37054365858421</v>
      </c>
      <c r="AN116" s="59">
        <f ca="1">AVERAGE(OFFSET($AM$3,0,0,'Données projet'!$E$10+1,1))-AVERAGE(OFFSET($H$3,0,0,'Données projet'!$E$10+1,1))</f>
        <v>321.13571401604742</v>
      </c>
      <c r="AO116" s="59">
        <f t="shared" si="90"/>
        <v>225.55225019382294</v>
      </c>
      <c r="AP116" s="15">
        <f>IF(ISNA(VLOOKUP(A116,'Données projet'!$A$61:$I$81,3,0)),0,VLOOKUP(A116,'Données projet'!$A$61:$I$81,3,0))</f>
        <v>9</v>
      </c>
      <c r="AQ116" s="15">
        <f>IF(ISNA(VLOOKUP(A116,'Données projet'!$A$61:$I$81,4,0)),0,VLOOKUP(A116,'Données projet'!$A$61:$I$81,4,0))</f>
        <v>40.479999999999997</v>
      </c>
      <c r="AR116" s="16">
        <f>IF(ISNA(VLOOKUP(A116,'Données projet'!$A$61:$I$81,5,0)),0%,VLOOKUP(A116,'Données projet'!$A$61:$I$81,5,0)*VLOOKUP('Données projet'!$B$10,Paramètres!$A$1:$I$89,7,0))</f>
        <v>0.215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35.172895656704704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35.172895656704704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54.834000000000131</v>
      </c>
      <c r="D117" s="11">
        <f t="shared" si="86"/>
        <v>15.855377295902201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545.67238614380744</v>
      </c>
      <c r="H117" s="67">
        <f t="shared" si="56"/>
        <v>416.45066545702986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470.58485082099065</v>
      </c>
      <c r="T117" s="59">
        <f t="shared" si="88"/>
        <v>498.77167507743559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153.93780295211269</v>
      </c>
      <c r="AA117" s="21">
        <f>EXP(-LN(2)/25)*AA116+(1-EXP(-LN(2)/25))/(LN(2)/25)*Calculateur!V117*Calculateur!X117*VLOOKUP('Données projet'!$B$9,Paramètres!$A$1:$I$89,3,0)*0.475*44/12</f>
        <v>11.755655230575178</v>
      </c>
      <c r="AB117" s="21">
        <f>EXP(-LN(2)/2)*AB116+(1-EXP(-LN(2)/2))/(LN(2)/2)*V117*Y117*VLOOKUP('Données projet'!$B$9,Paramètres!$A$1:$I$89,3,0)*0.475*44/12</f>
        <v>4.8114622565465386E-6</v>
      </c>
      <c r="AC117" s="22">
        <f t="shared" si="57"/>
        <v>165.69346299415011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6.7941666666666691</v>
      </c>
      <c r="AI117" s="13">
        <f>IF('Données projet'!$A$62&gt;35,AI116+AH117-AQ116,IF(A117&lt;'Données projet'!$A$62,$AF$205^A117,IF(A117='Données projet'!$A$62,'Données projet'!$B$62,AI116+AH117-AQ116)))</f>
        <v>279.30416666666673</v>
      </c>
      <c r="AJ117" s="13">
        <f>AI117*VLOOKUP('Données projet'!$B$10,Paramètres!$A$1:$I$89,3,0)*VLOOKUP('Données projet'!$B$10,Paramètres!$A$1:$I$89,5,0)</f>
        <v>252.71441000000007</v>
      </c>
      <c r="AK117" s="13">
        <f t="shared" si="89"/>
        <v>61.166825075391685</v>
      </c>
      <c r="AL117" s="20">
        <f t="shared" si="58"/>
        <v>546.676484422974</v>
      </c>
      <c r="AM117" s="59">
        <f t="shared" si="59"/>
        <v>840.00981775630726</v>
      </c>
      <c r="AN117" s="59">
        <f ca="1">AVERAGE(OFFSET($AM$3,0,0,'Données projet'!$E$10+1,1))-AVERAGE(OFFSET($H$3,0,0,'Données projet'!$E$10+1,1))</f>
        <v>321.13571401604742</v>
      </c>
      <c r="AO117" s="59">
        <f t="shared" si="90"/>
        <v>225.55225019382294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34.483176626224733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34.483176626224733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55.315000000000133</v>
      </c>
      <c r="D118" s="11">
        <f t="shared" si="86"/>
        <v>15.978207841877643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550.33353421800382</v>
      </c>
      <c r="H118" s="67">
        <f t="shared" si="56"/>
        <v>417.5023369912704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470.58485082099065</v>
      </c>
      <c r="T118" s="59">
        <f t="shared" si="88"/>
        <v>498.77167507743559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150.91917652901043</v>
      </c>
      <c r="AA118" s="21">
        <f>EXP(-LN(2)/25)*AA117+(1-EXP(-LN(2)/25))/(LN(2)/25)*Calculateur!V118*Calculateur!X118*VLOOKUP('Données projet'!$B$9,Paramètres!$A$1:$I$89,3,0)*0.475*44/12</f>
        <v>11.434196220092058</v>
      </c>
      <c r="AB118" s="21">
        <f>EXP(-LN(2)/2)*AB117+(1-EXP(-LN(2)/2))/(LN(2)/2)*V118*Y118*VLOOKUP('Données projet'!$B$9,Paramètres!$A$1:$I$89,3,0)*0.475*44/12</f>
        <v>3.4022175890271855E-6</v>
      </c>
      <c r="AC118" s="22">
        <f t="shared" si="57"/>
        <v>162.35337615132008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6.7941666666666691</v>
      </c>
      <c r="AI118" s="13">
        <f>IF('Données projet'!$A$62&gt;35,AI117+AH118-AQ117,IF(A118&lt;'Données projet'!$A$62,$AF$205^A118,IF(A118='Données projet'!$A$62,'Données projet'!$B$62,AI117+AH118-AQ117)))</f>
        <v>286.09833333333341</v>
      </c>
      <c r="AJ118" s="13">
        <f>AI118*VLOOKUP('Données projet'!$B$10,Paramètres!$A$1:$I$89,3,0)*VLOOKUP('Données projet'!$B$10,Paramètres!$A$1:$I$89,5,0)</f>
        <v>258.86177200000009</v>
      </c>
      <c r="AK118" s="13">
        <f t="shared" si="89"/>
        <v>62.479691824726856</v>
      </c>
      <c r="AL118" s="20">
        <f t="shared" si="58"/>
        <v>559.66971616139938</v>
      </c>
      <c r="AM118" s="59">
        <f t="shared" si="59"/>
        <v>853.00304949473275</v>
      </c>
      <c r="AN118" s="59">
        <f ca="1">AVERAGE(OFFSET($AM$3,0,0,'Données projet'!$E$10+1,1))-AVERAGE(OFFSET($H$3,0,0,'Données projet'!$E$10+1,1))</f>
        <v>321.13571401604742</v>
      </c>
      <c r="AO118" s="59">
        <f t="shared" si="90"/>
        <v>225.55225019382294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33.806982565245406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33.806982565245406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55.796000000000134</v>
      </c>
      <c r="D119" s="11">
        <f t="shared" si="86"/>
        <v>16.100914123220836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554.9937230564426</v>
      </c>
      <c r="H119" s="67">
        <f t="shared" si="56"/>
        <v>418.55379209794313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470.58485082099065</v>
      </c>
      <c r="T119" s="59">
        <f t="shared" si="88"/>
        <v>498.77167507743559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147.95974352888487</v>
      </c>
      <c r="AA119" s="21">
        <f>EXP(-LN(2)/25)*AA118+(1-EXP(-LN(2)/25))/(LN(2)/25)*Calculateur!V119*Calculateur!X119*VLOOKUP('Données projet'!$B$9,Paramètres!$A$1:$I$89,3,0)*0.475*44/12</f>
        <v>11.121527523155395</v>
      </c>
      <c r="AB119" s="21">
        <f>EXP(-LN(2)/2)*AB118+(1-EXP(-LN(2)/2))/(LN(2)/2)*V119*Y119*VLOOKUP('Données projet'!$B$9,Paramètres!$A$1:$I$89,3,0)*0.475*44/12</f>
        <v>2.4057311282732693E-6</v>
      </c>
      <c r="AC119" s="22">
        <f t="shared" si="57"/>
        <v>159.0812734577714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6.7941666666666691</v>
      </c>
      <c r="AI119" s="13">
        <f>IF('Données projet'!$A$62&gt;35,AI118+AH119-AQ118,IF(A119&lt;'Données projet'!$A$62,$AF$205^A119,IF(A119='Données projet'!$A$62,'Données projet'!$B$62,AI118+AH119-AQ118)))</f>
        <v>292.8925000000001</v>
      </c>
      <c r="AJ119" s="13">
        <f>AI119*VLOOKUP('Données projet'!$B$10,Paramètres!$A$1:$I$89,3,0)*VLOOKUP('Données projet'!$B$10,Paramètres!$A$1:$I$89,5,0)</f>
        <v>265.00913400000007</v>
      </c>
      <c r="AK119" s="13">
        <f t="shared" si="89"/>
        <v>63.788934162259032</v>
      </c>
      <c r="AL119" s="20">
        <f t="shared" si="58"/>
        <v>572.65663538260117</v>
      </c>
      <c r="AM119" s="59">
        <f t="shared" si="59"/>
        <v>865.98996871593454</v>
      </c>
      <c r="AN119" s="59">
        <f ca="1">AVERAGE(OFFSET($AM$3,0,0,'Données projet'!$E$10+1,1))-AVERAGE(OFFSET($H$3,0,0,'Données projet'!$E$10+1,1))</f>
        <v>321.13571401604742</v>
      </c>
      <c r="AO119" s="59">
        <f t="shared" si="90"/>
        <v>225.55225019382294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33.144048257364233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33.144048257364233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56.277000000000136</v>
      </c>
      <c r="D120" s="11">
        <f t="shared" si="86"/>
        <v>16.22349733530163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559.65296188653986</v>
      </c>
      <c r="H120" s="67">
        <f t="shared" si="56"/>
        <v>419.60503285898386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470.58485082099065</v>
      </c>
      <c r="T120" s="59">
        <f t="shared" si="88"/>
        <v>498.77167507743559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145.05834320481588</v>
      </c>
      <c r="AA120" s="21">
        <f>EXP(-LN(2)/25)*AA119+(1-EXP(-LN(2)/25))/(LN(2)/25)*Calculateur!V120*Calculateur!X120*VLOOKUP('Données projet'!$B$9,Paramètres!$A$1:$I$89,3,0)*0.475*44/12</f>
        <v>10.817408768178996</v>
      </c>
      <c r="AB120" s="21">
        <f>EXP(-LN(2)/2)*AB119+(1-EXP(-LN(2)/2))/(LN(2)/2)*V120*Y120*VLOOKUP('Données projet'!$B$9,Paramètres!$A$1:$I$89,3,0)*0.475*44/12</f>
        <v>1.7011087945135927E-6</v>
      </c>
      <c r="AC120" s="22">
        <f t="shared" si="57"/>
        <v>155.87575367410369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6.7941666666666691</v>
      </c>
      <c r="AI120" s="13">
        <f>IF('Données projet'!$A$62&gt;35,AI119+AH120-AQ119,IF(A120&lt;'Données projet'!$A$62,$AF$205^A120,IF(A120='Données projet'!$A$62,'Données projet'!$B$62,AI119+AH120-AQ119)))</f>
        <v>299.68666666666678</v>
      </c>
      <c r="AJ120" s="13">
        <f>AI120*VLOOKUP('Données projet'!$B$10,Paramètres!$A$1:$I$89,3,0)*VLOOKUP('Données projet'!$B$10,Paramètres!$A$1:$I$89,5,0)</f>
        <v>271.15649600000006</v>
      </c>
      <c r="AK120" s="13">
        <f t="shared" si="89"/>
        <v>65.094645839407946</v>
      </c>
      <c r="AL120" s="20">
        <f t="shared" si="58"/>
        <v>585.63740537030219</v>
      </c>
      <c r="AM120" s="59">
        <f t="shared" si="59"/>
        <v>878.97073870363556</v>
      </c>
      <c r="AN120" s="59">
        <f ca="1">AVERAGE(OFFSET($AM$3,0,0,'Données projet'!$E$10+1,1))-AVERAGE(OFFSET($H$3,0,0,'Données projet'!$E$10+1,1))</f>
        <v>321.13571401604742</v>
      </c>
      <c r="AO120" s="59">
        <f t="shared" si="90"/>
        <v>225.55225019382294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32.494113686910609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32.494113686910609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56.758000000000138</v>
      </c>
      <c r="D121" s="11">
        <f t="shared" si="86"/>
        <v>16.345958651876956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564.31125976887586</v>
      </c>
      <c r="H121" s="67">
        <f t="shared" si="56"/>
        <v>420.65606131868589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470.58485082099065</v>
      </c>
      <c r="T121" s="59">
        <f t="shared" si="88"/>
        <v>498.77167507743559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142.21383757142243</v>
      </c>
      <c r="AA121" s="21">
        <f>EXP(-LN(2)/25)*AA120+(1-EXP(-LN(2)/25))/(LN(2)/25)*Calculateur!V121*Calculateur!X121*VLOOKUP('Données projet'!$B$9,Paramètres!$A$1:$I$89,3,0)*0.475*44/12</f>
        <v>10.521606156550337</v>
      </c>
      <c r="AB121" s="21">
        <f>EXP(-LN(2)/2)*AB120+(1-EXP(-LN(2)/2))/(LN(2)/2)*V121*Y121*VLOOKUP('Données projet'!$B$9,Paramètres!$A$1:$I$89,3,0)*0.475*44/12</f>
        <v>1.2028655641366346E-6</v>
      </c>
      <c r="AC121" s="22">
        <f t="shared" si="57"/>
        <v>152.73544493083836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6.7941666666666691</v>
      </c>
      <c r="AI121" s="13">
        <f>IF('Données projet'!$A$62&gt;35,AI120+AH121-AQ120,IF(A121&lt;'Données projet'!$A$62,$AF$205^A121,IF(A121='Données projet'!$A$62,'Données projet'!$B$62,AI120+AH121-AQ120)))</f>
        <v>306.48083333333346</v>
      </c>
      <c r="AJ121" s="13">
        <f>AI121*VLOOKUP('Données projet'!$B$10,Paramètres!$A$1:$I$89,3,0)*VLOOKUP('Données projet'!$B$10,Paramètres!$A$1:$I$89,5,0)</f>
        <v>277.3038580000001</v>
      </c>
      <c r="AK121" s="13">
        <f t="shared" si="89"/>
        <v>66.396916114107512</v>
      </c>
      <c r="AL121" s="20">
        <f t="shared" si="58"/>
        <v>598.61218158207078</v>
      </c>
      <c r="AM121" s="59">
        <f t="shared" si="59"/>
        <v>891.94551491540415</v>
      </c>
      <c r="AN121" s="59">
        <f ca="1">AVERAGE(OFFSET($AM$3,0,0,'Données projet'!$E$10+1,1))-AVERAGE(OFFSET($H$3,0,0,'Données projet'!$E$10+1,1))</f>
        <v>321.13571401604742</v>
      </c>
      <c r="AO121" s="59">
        <f t="shared" si="90"/>
        <v>225.55225019382294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31.856923936962634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31.856923936962634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57.239000000000139</v>
      </c>
      <c r="D122" s="11">
        <f t="shared" si="86"/>
        <v>16.468299225661315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568.9686256015973</v>
      </c>
      <c r="H122" s="67">
        <f t="shared" si="56"/>
        <v>421.70687948469367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470.58485082099065</v>
      </c>
      <c r="T122" s="59">
        <f t="shared" si="88"/>
        <v>498.77167507743559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139.42511095852271</v>
      </c>
      <c r="AA122" s="21">
        <f>EXP(-LN(2)/25)*AA121+(1-EXP(-LN(2)/25))/(LN(2)/25)*Calculateur!V122*Calculateur!X122*VLOOKUP('Données projet'!$B$9,Paramètres!$A$1:$I$89,3,0)*0.475*44/12</f>
        <v>10.233892282892247</v>
      </c>
      <c r="AB122" s="21">
        <f>EXP(-LN(2)/2)*AB121+(1-EXP(-LN(2)/2))/(LN(2)/2)*V122*Y122*VLOOKUP('Données projet'!$B$9,Paramètres!$A$1:$I$89,3,0)*0.475*44/12</f>
        <v>8.5055439725679637E-7</v>
      </c>
      <c r="AC122" s="22">
        <f t="shared" si="57"/>
        <v>149.65900409196934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6.7941666666666691</v>
      </c>
      <c r="AI122" s="13">
        <f>IF('Données projet'!$A$62&gt;35,AI121+AH122-AQ121,IF(A122&lt;'Données projet'!$A$62,$AF$205^A122,IF(A122='Données projet'!$A$62,'Données projet'!$B$62,AI121+AH122-AQ121)))</f>
        <v>313.27500000000015</v>
      </c>
      <c r="AJ122" s="13">
        <f>AI122*VLOOKUP('Données projet'!$B$10,Paramètres!$A$1:$I$89,3,0)*VLOOKUP('Données projet'!$B$10,Paramètres!$A$1:$I$89,5,0)</f>
        <v>283.45122000000015</v>
      </c>
      <c r="AK122" s="13">
        <f t="shared" si="89"/>
        <v>67.695830060941603</v>
      </c>
      <c r="AL122" s="20">
        <f t="shared" si="58"/>
        <v>611.58111218947352</v>
      </c>
      <c r="AM122" s="59">
        <f t="shared" si="59"/>
        <v>904.91444552280677</v>
      </c>
      <c r="AN122" s="59">
        <f ca="1">AVERAGE(OFFSET($AM$3,0,0,'Données projet'!$E$10+1,1))-AVERAGE(OFFSET($H$3,0,0,'Données projet'!$E$10+1,1))</f>
        <v>321.13571401604742</v>
      </c>
      <c r="AO122" s="59">
        <f t="shared" si="90"/>
        <v>225.55225019382294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31.232229089363766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31.232229089363766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57.720000000000141</v>
      </c>
      <c r="D123" s="11">
        <f t="shared" si="86"/>
        <v>16.590520188877683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573.62506812467097</v>
      </c>
      <c r="H123" s="67">
        <f t="shared" si="56"/>
        <v>422.75748932896221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470.58485082099065</v>
      </c>
      <c r="T123" s="59">
        <f t="shared" si="88"/>
        <v>498.77167507743559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136.69106957354666</v>
      </c>
      <c r="AA123" s="21">
        <f>EXP(-LN(2)/25)*AA122+(1-EXP(-LN(2)/25))/(LN(2)/25)*Calculateur!V123*Calculateur!X123*VLOOKUP('Données projet'!$B$9,Paramètres!$A$1:$I$89,3,0)*0.475*44/12</f>
        <v>9.9540459602395543</v>
      </c>
      <c r="AB123" s="21">
        <f>EXP(-LN(2)/2)*AB122+(1-EXP(-LN(2)/2))/(LN(2)/2)*V123*Y123*VLOOKUP('Données projet'!$B$9,Paramètres!$A$1:$I$89,3,0)*0.475*44/12</f>
        <v>6.0143278206831732E-7</v>
      </c>
      <c r="AC123" s="22">
        <f t="shared" si="57"/>
        <v>146.64511613521901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6.7941666666666691</v>
      </c>
      <c r="AI123" s="13">
        <f>IF('Données projet'!$A$62&gt;35,AI122+AH123-AQ122,IF(A123&lt;'Données projet'!$A$62,$AF$205^A123,IF(A123='Données projet'!$A$62,'Données projet'!$B$62,AI122+AH123-AQ122)))</f>
        <v>320.06916666666683</v>
      </c>
      <c r="AJ123" s="13">
        <f>AI123*VLOOKUP('Données projet'!$B$10,Paramètres!$A$1:$I$89,3,0)*VLOOKUP('Données projet'!$B$10,Paramètres!$A$1:$I$89,5,0)</f>
        <v>289.59858200000014</v>
      </c>
      <c r="AK123" s="13">
        <f t="shared" si="89"/>
        <v>68.991468853616794</v>
      </c>
      <c r="AL123" s="20">
        <f t="shared" si="58"/>
        <v>624.54433857004949</v>
      </c>
      <c r="AM123" s="59">
        <f t="shared" si="59"/>
        <v>917.87767190338286</v>
      </c>
      <c r="AN123" s="59">
        <f ca="1">AVERAGE(OFFSET($AM$3,0,0,'Données projet'!$E$10+1,1))-AVERAGE(OFFSET($H$3,0,0,'Données projet'!$E$10+1,1))</f>
        <v>321.13571401604742</v>
      </c>
      <c r="AO123" s="59">
        <f t="shared" si="90"/>
        <v>225.55225019382294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30.619784126700079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30.619784126700079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58.201000000000143</v>
      </c>
      <c r="D124" s="11">
        <f t="shared" si="86"/>
        <v>16.712622653789325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578.28059592398893</v>
      </c>
      <c r="H124" s="67">
        <f t="shared" si="56"/>
        <v>423.80789278868326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470.58485082099065</v>
      </c>
      <c r="T124" s="59">
        <f t="shared" si="88"/>
        <v>498.77167507743559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134.01064107252941</v>
      </c>
      <c r="AA124" s="21">
        <f>EXP(-LN(2)/25)*AA123+(1-EXP(-LN(2)/25))/(LN(2)/25)*Calculateur!V124*Calculateur!X124*VLOOKUP('Données projet'!$B$9,Paramètres!$A$1:$I$89,3,0)*0.475*44/12</f>
        <v>9.6818520499962766</v>
      </c>
      <c r="AB124" s="21">
        <f>EXP(-LN(2)/2)*AB123+(1-EXP(-LN(2)/2))/(LN(2)/2)*V124*Y124*VLOOKUP('Données projet'!$B$9,Paramètres!$A$1:$I$89,3,0)*0.475*44/12</f>
        <v>4.2527719862839819E-7</v>
      </c>
      <c r="AC124" s="22">
        <f t="shared" si="57"/>
        <v>143.69249354780288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6.7941666666666691</v>
      </c>
      <c r="AI124" s="13">
        <f>IF('Données projet'!$A$62&gt;35,AI123+AH124-AQ123,IF(A124&lt;'Données projet'!$A$62,$AF$205^A124,IF(A124='Données projet'!$A$62,'Données projet'!$B$62,AI123+AH124-AQ123)))</f>
        <v>326.86333333333351</v>
      </c>
      <c r="AJ124" s="13">
        <f>AI124*VLOOKUP('Données projet'!$B$10,Paramètres!$A$1:$I$89,3,0)*VLOOKUP('Données projet'!$B$10,Paramètres!$A$1:$I$89,5,0)</f>
        <v>295.74594400000018</v>
      </c>
      <c r="AK124" s="13">
        <f t="shared" si="89"/>
        <v>70.283910022773895</v>
      </c>
      <c r="AL124" s="20">
        <f t="shared" si="58"/>
        <v>637.50199575633144</v>
      </c>
      <c r="AM124" s="59">
        <f t="shared" si="59"/>
        <v>930.83532908966481</v>
      </c>
      <c r="AN124" s="59">
        <f ca="1">AVERAGE(OFFSET($AM$3,0,0,'Données projet'!$E$10+1,1))-AVERAGE(OFFSET($H$3,0,0,'Données projet'!$E$10+1,1))</f>
        <v>321.13571401604742</v>
      </c>
      <c r="AO124" s="59">
        <f t="shared" si="90"/>
        <v>225.55225019382294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30.019348836199683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30.019348836199683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58.682000000000144</v>
      </c>
      <c r="D125" s="11">
        <f t="shared" si="86"/>
        <v>16.834607713213771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582.93521743533552</v>
      </c>
      <c r="H125" s="67">
        <f t="shared" si="56"/>
        <v>424.85809176718089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470.58485082099065</v>
      </c>
      <c r="T125" s="59">
        <f t="shared" si="88"/>
        <v>498.77167507743559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131.38277413951715</v>
      </c>
      <c r="AA125" s="21">
        <f>EXP(-LN(2)/25)*AA124+(1-EXP(-LN(2)/25))/(LN(2)/25)*Calculateur!V125*Calculateur!X125*VLOOKUP('Données projet'!$B$9,Paramètres!$A$1:$I$89,3,0)*0.475*44/12</f>
        <v>9.4171012965426577</v>
      </c>
      <c r="AB125" s="21">
        <f>EXP(-LN(2)/2)*AB124+(1-EXP(-LN(2)/2))/(LN(2)/2)*V125*Y125*VLOOKUP('Données projet'!$B$9,Paramètres!$A$1:$I$89,3,0)*0.475*44/12</f>
        <v>3.0071639103415866E-7</v>
      </c>
      <c r="AC125" s="22">
        <f t="shared" si="57"/>
        <v>140.79987573677619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6.7941666666666691</v>
      </c>
      <c r="AI125" s="13">
        <f>IF('Données projet'!$A$62&gt;35,AI124+AH125-AQ124,IF(A125&lt;'Données projet'!$A$62,$AF$205^A125,IF(A125='Données projet'!$A$62,'Données projet'!$B$62,AI124+AH125-AQ124)))</f>
        <v>333.6575000000002</v>
      </c>
      <c r="AJ125" s="13">
        <f>AI125*VLOOKUP('Données projet'!$B$10,Paramètres!$A$1:$I$89,3,0)*VLOOKUP('Données projet'!$B$10,Paramètres!$A$1:$I$89,5,0)</f>
        <v>301.89330600000017</v>
      </c>
      <c r="AK125" s="13">
        <f t="shared" si="89"/>
        <v>71.573227691758774</v>
      </c>
      <c r="AL125" s="20">
        <f t="shared" si="58"/>
        <v>650.45421284648023</v>
      </c>
      <c r="AM125" s="59">
        <f t="shared" si="59"/>
        <v>943.78754617981349</v>
      </c>
      <c r="AN125" s="59">
        <f ca="1">AVERAGE(OFFSET($AM$3,0,0,'Données projet'!$E$10+1,1))-AVERAGE(OFFSET($H$3,0,0,'Données projet'!$E$10+1,1))</f>
        <v>321.13571401604742</v>
      </c>
      <c r="AO125" s="59">
        <f t="shared" si="90"/>
        <v>225.55225019382294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29.430687715516637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29.430687715516637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59.163000000000146</v>
      </c>
      <c r="D126" s="11">
        <f t="shared" si="86"/>
        <v>16.956476441019255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587.58894094821994</v>
      </c>
      <c r="H126" s="67">
        <f t="shared" si="56"/>
        <v>425.90808813477543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470.58485082099065</v>
      </c>
      <c r="T126" s="59">
        <f t="shared" si="88"/>
        <v>498.77167507743559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128.80643807422072</v>
      </c>
      <c r="AA126" s="21">
        <f>EXP(-LN(2)/25)*AA125+(1-EXP(-LN(2)/25))/(LN(2)/25)*Calculateur!V126*Calculateur!X126*VLOOKUP('Données projet'!$B$9,Paramètres!$A$1:$I$89,3,0)*0.475*44/12</f>
        <v>9.1595901663648647</v>
      </c>
      <c r="AB126" s="21">
        <f>EXP(-LN(2)/2)*AB125+(1-EXP(-LN(2)/2))/(LN(2)/2)*V126*Y126*VLOOKUP('Données projet'!$B$9,Paramètres!$A$1:$I$89,3,0)*0.475*44/12</f>
        <v>2.1263859931419909E-7</v>
      </c>
      <c r="AC126" s="22">
        <f t="shared" si="57"/>
        <v>137.9660284532242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6.7941666666666691</v>
      </c>
      <c r="AI126" s="13">
        <f>IF('Données projet'!$A$62&gt;35,AI125+AH126-AQ125,IF(A126&lt;'Données projet'!$A$62,$AF$205^A126,IF(A126='Données projet'!$A$62,'Données projet'!$B$62,AI125+AH126-AQ125)))</f>
        <v>340.45166666666688</v>
      </c>
      <c r="AJ126" s="13">
        <f>AI126*VLOOKUP('Données projet'!$B$10,Paramètres!$A$1:$I$89,3,0)*VLOOKUP('Données projet'!$B$10,Paramètres!$A$1:$I$89,5,0)</f>
        <v>308.04066800000015</v>
      </c>
      <c r="AK126" s="13">
        <f t="shared" si="89"/>
        <v>72.859492792647174</v>
      </c>
      <c r="AL126" s="20">
        <f t="shared" si="58"/>
        <v>663.40111338052748</v>
      </c>
      <c r="AM126" s="59">
        <f t="shared" si="59"/>
        <v>956.73444671386073</v>
      </c>
      <c r="AN126" s="59">
        <f ca="1">AVERAGE(OFFSET($AM$3,0,0,'Données projet'!$E$10+1,1))-AVERAGE(OFFSET($H$3,0,0,'Données projet'!$E$10+1,1))</f>
        <v>321.13571401604742</v>
      </c>
      <c r="AO126" s="59">
        <f t="shared" si="90"/>
        <v>225.55225019382294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28.853569880362354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28.853569880362354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59.644000000000148</v>
      </c>
      <c r="D127" s="11">
        <f t="shared" si="86"/>
        <v>17.07822989260459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592.24177460958037</v>
      </c>
      <c r="H127" s="67">
        <f t="shared" si="56"/>
        <v>426.95788372961988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470.58485082099065</v>
      </c>
      <c r="T127" s="59">
        <f t="shared" si="88"/>
        <v>498.77167507743559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126.28062238775492</v>
      </c>
      <c r="AA127" s="21">
        <f>EXP(-LN(2)/25)*AA126+(1-EXP(-LN(2)/25))/(LN(2)/25)*Calculateur!V127*Calculateur!X127*VLOOKUP('Données projet'!$B$9,Paramètres!$A$1:$I$89,3,0)*0.475*44/12</f>
        <v>8.9091206915837056</v>
      </c>
      <c r="AB127" s="21">
        <f>EXP(-LN(2)/2)*AB126+(1-EXP(-LN(2)/2))/(LN(2)/2)*V127*Y127*VLOOKUP('Données projet'!$B$9,Paramètres!$A$1:$I$89,3,0)*0.475*44/12</f>
        <v>1.5035819551707933E-7</v>
      </c>
      <c r="AC127" s="22">
        <f t="shared" si="57"/>
        <v>135.18974322969683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6.7941666666666691</v>
      </c>
      <c r="AI127" s="13">
        <f>IF('Données projet'!$A$62&gt;35,AI126+AH127-AQ126,IF(A127&lt;'Données projet'!$A$62,$AF$205^A127,IF(A127='Données projet'!$A$62,'Données projet'!$B$62,AI126+AH127-AQ126)))</f>
        <v>347.24583333333356</v>
      </c>
      <c r="AJ127" s="13">
        <f>AI127*VLOOKUP('Données projet'!$B$10,Paramètres!$A$1:$I$89,3,0)*VLOOKUP('Données projet'!$B$10,Paramètres!$A$1:$I$89,5,0)</f>
        <v>314.1880300000002</v>
      </c>
      <c r="AK127" s="13">
        <f t="shared" si="89"/>
        <v>74.142773264538604</v>
      </c>
      <c r="AL127" s="20">
        <f t="shared" si="58"/>
        <v>676.3428156857384</v>
      </c>
      <c r="AM127" s="59">
        <f t="shared" si="59"/>
        <v>969.67614901907177</v>
      </c>
      <c r="AN127" s="59">
        <f ca="1">AVERAGE(OFFSET($AM$3,0,0,'Données projet'!$E$10+1,1))-AVERAGE(OFFSET($H$3,0,0,'Données projet'!$E$10+1,1))</f>
        <v>321.13571401604742</v>
      </c>
      <c r="AO127" s="59">
        <f t="shared" si="90"/>
        <v>225.55225019382294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28.287768973948324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28.287768973948324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60.125000000000149</v>
      </c>
      <c r="D128" s="11">
        <f t="shared" si="86"/>
        <v>17.199869105363234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596.89372642736646</v>
      </c>
      <c r="H128" s="67">
        <f t="shared" si="56"/>
        <v>428.00748035850785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470.58485082099065</v>
      </c>
      <c r="T128" s="59">
        <f t="shared" si="88"/>
        <v>498.77167507743559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123.80433640630525</v>
      </c>
      <c r="AA128" s="21">
        <f>EXP(-LN(2)/25)*AA127+(1-EXP(-LN(2)/25))/(LN(2)/25)*Calculateur!V128*Calculateur!X128*VLOOKUP('Données projet'!$B$9,Paramètres!$A$1:$I$89,3,0)*0.475*44/12</f>
        <v>8.6655003177620546</v>
      </c>
      <c r="AB128" s="21">
        <f>EXP(-LN(2)/2)*AB127+(1-EXP(-LN(2)/2))/(LN(2)/2)*V128*Y128*VLOOKUP('Données projet'!$B$9,Paramètres!$A$1:$I$89,3,0)*0.475*44/12</f>
        <v>1.0631929965709955E-7</v>
      </c>
      <c r="AC128" s="22">
        <f t="shared" si="57"/>
        <v>132.46983683038661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>
        <f>VLOOKUP(A128,'Données projet'!$A$61:$I$81,2,0)</f>
        <v>354.04</v>
      </c>
      <c r="AG128" s="12">
        <f>VLOOKUP(A128,'Données projet'!$A$61:$I$81,9,0)</f>
        <v>6.7941666666666691</v>
      </c>
      <c r="AH128" s="12">
        <f t="array" ref="AH128">INDEX(AG:AG,MIN(IF(ISNUMBER(AG128:AG324),ROW(AG128:AG324),"")))</f>
        <v>6.7941666666666691</v>
      </c>
      <c r="AI128" s="13">
        <f>IF('Données projet'!$A$62&gt;35,AI127+AH128-AQ127,IF(A128&lt;'Données projet'!$A$62,$AF$205^A128,IF(A128='Données projet'!$A$62,'Données projet'!$B$62,AI127+AH128-AQ127)))</f>
        <v>354.04000000000025</v>
      </c>
      <c r="AJ128" s="13">
        <f>AI128*VLOOKUP('Données projet'!$B$10,Paramètres!$A$1:$I$89,3,0)*VLOOKUP('Données projet'!$B$10,Paramètres!$A$1:$I$89,5,0)</f>
        <v>320.33539200000024</v>
      </c>
      <c r="AK128" s="13">
        <f t="shared" si="89"/>
        <v>75.423134235891538</v>
      </c>
      <c r="AL128" s="20">
        <f t="shared" si="58"/>
        <v>689.27943319417818</v>
      </c>
      <c r="AM128" s="59">
        <f t="shared" si="59"/>
        <v>982.61276652751144</v>
      </c>
      <c r="AN128" s="59">
        <f ca="1">AVERAGE(OFFSET($AM$3,0,0,'Données projet'!$E$10+1,1))-AVERAGE(OFFSET($H$3,0,0,'Données projet'!$E$10+1,1))</f>
        <v>321.13571401604742</v>
      </c>
      <c r="AO128" s="59">
        <f t="shared" si="90"/>
        <v>225.55225019382294</v>
      </c>
      <c r="AP128" s="15">
        <f>IF(ISNA(VLOOKUP(A128,'Données projet'!$A$61:$I$81,3,0)),0,VLOOKUP(A128,'Données projet'!$A$61:$I$81,3,0))</f>
        <v>10</v>
      </c>
      <c r="AQ128" s="15">
        <f>IF(ISNA(VLOOKUP(A128,'Données projet'!$A$61:$I$81,4,0)),0,VLOOKUP(A128,'Données projet'!$A$61:$I$81,4,0))</f>
        <v>61.5</v>
      </c>
      <c r="AR128" s="16">
        <f>IF(ISNA(VLOOKUP(A128,'Données projet'!$A$61:$I$81,5,0)),0%,VLOOKUP(A128,'Données projet'!$A$61:$I$81,5,0)*VLOOKUP('Données projet'!$B$10,Paramètres!$A$1:$I$89,7,0))</f>
        <v>0.25800000000000001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43.603706131906826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43.603706131906826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60.606000000000151</v>
      </c>
      <c r="D129" s="11">
        <f t="shared" si="86"/>
        <v>17.321395099131934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601.5448042740021</v>
      </c>
      <c r="H129" s="67">
        <f t="shared" si="56"/>
        <v>429.05687979765503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470.58485082099065</v>
      </c>
      <c r="T129" s="59">
        <f t="shared" si="88"/>
        <v>498.77167507743559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121.3766088825665</v>
      </c>
      <c r="AA129" s="21">
        <f>EXP(-LN(2)/25)*AA128+(1-EXP(-LN(2)/25))/(LN(2)/25)*Calculateur!V129*Calculateur!X129*VLOOKUP('Données projet'!$B$9,Paramètres!$A$1:$I$89,3,0)*0.475*44/12</f>
        <v>8.4285417558739955</v>
      </c>
      <c r="AB129" s="21">
        <f>EXP(-LN(2)/2)*AB128+(1-EXP(-LN(2)/2))/(LN(2)/2)*V129*Y129*VLOOKUP('Données projet'!$B$9,Paramètres!$A$1:$I$89,3,0)*0.475*44/12</f>
        <v>7.5179097758539665E-8</v>
      </c>
      <c r="AC129" s="22">
        <f t="shared" si="57"/>
        <v>129.80515071361958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6.7133333333333338</v>
      </c>
      <c r="AI129" s="13">
        <f>IF('Données projet'!$A$62&gt;35,AI128+AH129-AQ128,IF(A129&lt;'Données projet'!$A$62,$AF$205^A129,IF(A129='Données projet'!$A$62,'Données projet'!$B$62,AI128+AH129-AQ128)))</f>
        <v>299.25333333333356</v>
      </c>
      <c r="AJ129" s="13">
        <f>AI129*VLOOKUP('Données projet'!$B$10,Paramètres!$A$1:$I$89,3,0)*VLOOKUP('Données projet'!$B$10,Paramètres!$A$1:$I$89,5,0)</f>
        <v>270.76441600000021</v>
      </c>
      <c r="AK129" s="13">
        <f t="shared" si="89"/>
        <v>65.011470952689166</v>
      </c>
      <c r="AL129" s="20">
        <f t="shared" si="58"/>
        <v>584.80966977593391</v>
      </c>
      <c r="AM129" s="59">
        <f t="shared" si="59"/>
        <v>878.14300310926728</v>
      </c>
      <c r="AN129" s="59">
        <f ca="1">AVERAGE(OFFSET($AM$3,0,0,'Données projet'!$E$10+1,1))-AVERAGE(OFFSET($H$3,0,0,'Données projet'!$E$10+1,1))</f>
        <v>321.13571401604742</v>
      </c>
      <c r="AO129" s="59">
        <f t="shared" si="90"/>
        <v>225.55225019382294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42.748664050294771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42.748664050294771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61.087000000000153</v>
      </c>
      <c r="D130" s="11">
        <f t="shared" si="86"/>
        <v>17.442808876624763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606.19501588973617</v>
      </c>
      <c r="H130" s="67">
        <f t="shared" si="56"/>
        <v>430.10608379345501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470.58485082099065</v>
      </c>
      <c r="T130" s="59">
        <f t="shared" si="88"/>
        <v>498.77167507743559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118.9964876148007</v>
      </c>
      <c r="AA130" s="21">
        <f>EXP(-LN(2)/25)*AA129+(1-EXP(-LN(2)/25))/(LN(2)/25)*Calculateur!V130*Calculateur!X130*VLOOKUP('Données projet'!$B$9,Paramètres!$A$1:$I$89,3,0)*0.475*44/12</f>
        <v>8.1980628383218743</v>
      </c>
      <c r="AB130" s="21">
        <f>EXP(-LN(2)/2)*AB129+(1-EXP(-LN(2)/2))/(LN(2)/2)*V130*Y130*VLOOKUP('Données projet'!$B$9,Paramètres!$A$1:$I$89,3,0)*0.475*44/12</f>
        <v>5.3159649828549773E-8</v>
      </c>
      <c r="AC130" s="22">
        <f t="shared" si="57"/>
        <v>127.19455050628223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6.7133333333333338</v>
      </c>
      <c r="AI130" s="13">
        <f>IF('Données projet'!$A$62&gt;35,AI129+AH130-AQ129,IF(A130&lt;'Données projet'!$A$62,$AF$205^A130,IF(A130='Données projet'!$A$62,'Données projet'!$B$62,AI129+AH130-AQ129)))</f>
        <v>305.96666666666687</v>
      </c>
      <c r="AJ130" s="13">
        <f>AI130*VLOOKUP('Données projet'!$B$10,Paramètres!$A$1:$I$89,3,0)*VLOOKUP('Données projet'!$B$10,Paramètres!$A$1:$I$89,5,0)</f>
        <v>276.83864000000017</v>
      </c>
      <c r="AK130" s="13">
        <f t="shared" si="89"/>
        <v>66.298481772142878</v>
      </c>
      <c r="AL130" s="20">
        <f t="shared" si="58"/>
        <v>597.63048708648239</v>
      </c>
      <c r="AM130" s="59">
        <f t="shared" si="59"/>
        <v>890.96382041981565</v>
      </c>
      <c r="AN130" s="59">
        <f ca="1">AVERAGE(OFFSET($AM$3,0,0,'Données projet'!$E$10+1,1))-AVERAGE(OFFSET($H$3,0,0,'Données projet'!$E$10+1,1))</f>
        <v>321.13571401604742</v>
      </c>
      <c r="AO130" s="59">
        <f t="shared" si="90"/>
        <v>225.55225019382294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41.910388822378955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41.910388822378955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61.568000000000154</v>
      </c>
      <c r="D131" s="11">
        <f t="shared" si="86"/>
        <v>17.564111423853195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610.8443688858855</v>
      </c>
      <c r="H131" s="67">
        <f t="shared" si="56"/>
        <v>431.15509406321121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470.58485082099065</v>
      </c>
      <c r="T131" s="59">
        <f t="shared" si="88"/>
        <v>498.77167507743559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116.66303907336516</v>
      </c>
      <c r="AA131" s="21">
        <f>EXP(-LN(2)/25)*AA130+(1-EXP(-LN(2)/25))/(LN(2)/25)*Calculateur!V131*Calculateur!X131*VLOOKUP('Données projet'!$B$9,Paramètres!$A$1:$I$89,3,0)*0.475*44/12</f>
        <v>7.9738863788905752</v>
      </c>
      <c r="AB131" s="21">
        <f>EXP(-LN(2)/2)*AB130+(1-EXP(-LN(2)/2))/(LN(2)/2)*V131*Y131*VLOOKUP('Données projet'!$B$9,Paramètres!$A$1:$I$89,3,0)*0.475*44/12</f>
        <v>3.7589548879269833E-8</v>
      </c>
      <c r="AC131" s="22">
        <f t="shared" si="57"/>
        <v>124.63692548984527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6.7133333333333338</v>
      </c>
      <c r="AI131" s="13">
        <f>IF('Données projet'!$A$62&gt;35,AI130+AH131-AQ130,IF(A131&lt;'Données projet'!$A$62,$AF$205^A131,IF(A131='Données projet'!$A$62,'Données projet'!$B$62,AI130+AH131-AQ130)))</f>
        <v>312.68000000000018</v>
      </c>
      <c r="AJ131" s="13">
        <f>AI131*VLOOKUP('Données projet'!$B$10,Paramètres!$A$1:$I$89,3,0)*VLOOKUP('Données projet'!$B$10,Paramètres!$A$1:$I$89,5,0)</f>
        <v>282.91286400000013</v>
      </c>
      <c r="AK131" s="13">
        <f t="shared" si="89"/>
        <v>67.582209510300217</v>
      </c>
      <c r="AL131" s="20">
        <f t="shared" si="58"/>
        <v>610.44558636377303</v>
      </c>
      <c r="AM131" s="59">
        <f t="shared" si="59"/>
        <v>903.7789196971064</v>
      </c>
      <c r="AN131" s="59">
        <f ca="1">AVERAGE(OFFSET($AM$3,0,0,'Données projet'!$E$10+1,1))-AVERAGE(OFFSET($H$3,0,0,'Données projet'!$E$10+1,1))</f>
        <v>321.13571401604742</v>
      </c>
      <c r="AO131" s="59">
        <f t="shared" si="90"/>
        <v>225.55225019382294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41.088551660385164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41.088551660385164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62.049000000000156</v>
      </c>
      <c r="D132" s="11">
        <f t="shared" si="86"/>
        <v>17.685303710532512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615.49287074797155</v>
      </c>
      <c r="H132" s="67">
        <f t="shared" ref="H132:H195" si="110">(B132+E132+F132)*44/12+(C132+D132)*0.475*44/12</f>
        <v>432.20391229584436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470.58485082099065</v>
      </c>
      <c r="T132" s="59">
        <f t="shared" si="88"/>
        <v>498.77167507743559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114.37534803456408</v>
      </c>
      <c r="AA132" s="21">
        <f>EXP(-LN(2)/25)*AA131+(1-EXP(-LN(2)/25))/(LN(2)/25)*Calculateur!V132*Calculateur!X132*VLOOKUP('Données projet'!$B$9,Paramètres!$A$1:$I$89,3,0)*0.475*44/12</f>
        <v>7.7558400365313522</v>
      </c>
      <c r="AB132" s="21">
        <f>EXP(-LN(2)/2)*AB131+(1-EXP(-LN(2)/2))/(LN(2)/2)*V132*Y132*VLOOKUP('Données projet'!$B$9,Paramètres!$A$1:$I$89,3,0)*0.475*44/12</f>
        <v>2.6579824914274887E-8</v>
      </c>
      <c r="AC132" s="22">
        <f t="shared" ref="AC132:AC153" si="111">SUM(Z132:AB132)</f>
        <v>122.13118809767526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6.7133333333333338</v>
      </c>
      <c r="AI132" s="13">
        <f>IF('Données projet'!$A$62&gt;35,AI131+AH132-AQ131,IF(A132&lt;'Données projet'!$A$62,$AF$205^A132,IF(A132='Données projet'!$A$62,'Données projet'!$B$62,AI131+AH132-AQ131)))</f>
        <v>319.39333333333349</v>
      </c>
      <c r="AJ132" s="13">
        <f>AI132*VLOOKUP('Données projet'!$B$10,Paramètres!$A$1:$I$89,3,0)*VLOOKUP('Données projet'!$B$10,Paramètres!$A$1:$I$89,5,0)</f>
        <v>288.98708800000014</v>
      </c>
      <c r="AK132" s="13">
        <f t="shared" si="89"/>
        <v>68.862732774736074</v>
      </c>
      <c r="AL132" s="20">
        <f t="shared" ref="AL132:AL153" si="112">(AJ132+AK132)*0.475*44/12</f>
        <v>623.25510451599882</v>
      </c>
      <c r="AM132" s="59">
        <f t="shared" ref="AM132:AM195" si="113">AL132+(AD132+AE132)*44/12</f>
        <v>916.58843784933219</v>
      </c>
      <c r="AN132" s="59">
        <f ca="1">AVERAGE(OFFSET($AM$3,0,0,'Données projet'!$E$10+1,1))-AVERAGE(OFFSET($H$3,0,0,'Données projet'!$E$10+1,1))</f>
        <v>321.13571401604742</v>
      </c>
      <c r="AO132" s="59">
        <f t="shared" si="90"/>
        <v>225.55225019382294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40.282830223866902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40.282830223866902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62.530000000000157</v>
      </c>
      <c r="D133" s="11">
        <f t="shared" ref="D133:D196" si="140">IFERROR(EXP(-1.0587+0.8836*LN(C133)+0.284),0)</f>
        <v>17.806386690475353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620.14052883875831</v>
      </c>
      <c r="H133" s="67">
        <f t="shared" si="110"/>
        <v>433.25254015257815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470.58485082099065</v>
      </c>
      <c r="T133" s="59">
        <f t="shared" ref="T133:T196" si="142">$T$3</f>
        <v>498.77167507743559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112.13251722168015</v>
      </c>
      <c r="AA133" s="21">
        <f>EXP(-LN(2)/25)*AA132+(1-EXP(-LN(2)/25))/(LN(2)/25)*Calculateur!V133*Calculateur!X133*VLOOKUP('Données projet'!$B$9,Paramètres!$A$1:$I$89,3,0)*0.475*44/12</f>
        <v>7.5437561828705011</v>
      </c>
      <c r="AB133" s="21">
        <f>EXP(-LN(2)/2)*AB132+(1-EXP(-LN(2)/2))/(LN(2)/2)*V133*Y133*VLOOKUP('Données projet'!$B$9,Paramètres!$A$1:$I$89,3,0)*0.475*44/12</f>
        <v>1.8794774439634916E-8</v>
      </c>
      <c r="AC133" s="22">
        <f t="shared" si="111"/>
        <v>119.67627342334542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6.7133333333333338</v>
      </c>
      <c r="AI133" s="13">
        <f>IF('Données projet'!$A$62&gt;35,AI132+AH133-AQ132,IF(A133&lt;'Données projet'!$A$62,$AF$205^A133,IF(A133='Données projet'!$A$62,'Données projet'!$B$62,AI132+AH133-AQ132)))</f>
        <v>326.1066666666668</v>
      </c>
      <c r="AJ133" s="13">
        <f>AI133*VLOOKUP('Données projet'!$B$10,Paramètres!$A$1:$I$89,3,0)*VLOOKUP('Données projet'!$B$10,Paramètres!$A$1:$I$89,5,0)</f>
        <v>295.06131200000016</v>
      </c>
      <c r="AK133" s="13">
        <f t="shared" ref="AK133:AK153" si="143">EXP(-1.0587+0.8836*LN(AJ133)+0.284)</f>
        <v>70.140126679697076</v>
      </c>
      <c r="AL133" s="20">
        <f t="shared" si="112"/>
        <v>636.05917236713924</v>
      </c>
      <c r="AM133" s="59">
        <f t="shared" si="113"/>
        <v>929.39250570047261</v>
      </c>
      <c r="AN133" s="59">
        <f ca="1">AVERAGE(OFFSET($AM$3,0,0,'Données projet'!$E$10+1,1))-AVERAGE(OFFSET($H$3,0,0,'Données projet'!$E$10+1,1))</f>
        <v>321.13571401604742</v>
      </c>
      <c r="AO133" s="59">
        <f t="shared" ref="AO133:AO196" si="144">$AO$3</f>
        <v>225.55225019382294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39.492908493277213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39.492908493277213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63.011000000000159</v>
      </c>
      <c r="D134" s="11">
        <f t="shared" si="140"/>
        <v>17.927361301972791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624.78735040119477</v>
      </c>
      <c r="H134" s="67">
        <f t="shared" si="110"/>
        <v>434.30097926760288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470.58485082099065</v>
      </c>
      <c r="T134" s="59">
        <f t="shared" si="142"/>
        <v>498.77167507743559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109.93366695304515</v>
      </c>
      <c r="AA134" s="21">
        <f>EXP(-LN(2)/25)*AA133+(1-EXP(-LN(2)/25))/(LN(2)/25)*Calculateur!V134*Calculateur!X134*VLOOKUP('Données projet'!$B$9,Paramètres!$A$1:$I$89,3,0)*0.475*44/12</f>
        <v>7.3374717733410106</v>
      </c>
      <c r="AB134" s="21">
        <f>EXP(-LN(2)/2)*AB133+(1-EXP(-LN(2)/2))/(LN(2)/2)*V134*Y134*VLOOKUP('Données projet'!$B$9,Paramètres!$A$1:$I$89,3,0)*0.475*44/12</f>
        <v>1.3289912457137443E-8</v>
      </c>
      <c r="AC134" s="22">
        <f t="shared" si="111"/>
        <v>117.27113873967606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6.7133333333333338</v>
      </c>
      <c r="AI134" s="13">
        <f>IF('Données projet'!$A$62&gt;35,AI133+AH134-AQ133,IF(A134&lt;'Données projet'!$A$62,$AF$205^A134,IF(A134='Données projet'!$A$62,'Données projet'!$B$62,AI133+AH134-AQ133)))</f>
        <v>332.82000000000011</v>
      </c>
      <c r="AJ134" s="13">
        <f>AI134*VLOOKUP('Données projet'!$B$10,Paramètres!$A$1:$I$89,3,0)*VLOOKUP('Données projet'!$B$10,Paramètres!$A$1:$I$89,5,0)</f>
        <v>301.13553600000006</v>
      </c>
      <c r="AK134" s="13">
        <f t="shared" si="143"/>
        <v>71.414463070011863</v>
      </c>
      <c r="AL134" s="20">
        <f t="shared" si="112"/>
        <v>648.85791504693748</v>
      </c>
      <c r="AM134" s="59">
        <f t="shared" si="113"/>
        <v>942.19124838027074</v>
      </c>
      <c r="AN134" s="59">
        <f ca="1">AVERAGE(OFFSET($AM$3,0,0,'Données projet'!$E$10+1,1))-AVERAGE(OFFSET($H$3,0,0,'Données projet'!$E$10+1,1))</f>
        <v>321.13571401604742</v>
      </c>
      <c r="AO134" s="59">
        <f t="shared" si="144"/>
        <v>225.55225019382294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38.718476646019703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38.718476646019703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63.492000000000161</v>
      </c>
      <c r="D135" s="11">
        <f t="shared" si="140"/>
        <v>18.048228468163416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629.43334256126263</v>
      </c>
      <c r="H135" s="67">
        <f t="shared" si="110"/>
        <v>435.34923124871818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470.58485082099065</v>
      </c>
      <c r="T135" s="59">
        <f t="shared" si="142"/>
        <v>498.77167507743559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107.77793479701185</v>
      </c>
      <c r="AA135" s="21">
        <f>EXP(-LN(2)/25)*AA134+(1-EXP(-LN(2)/25))/(LN(2)/25)*Calculateur!V135*Calculateur!X135*VLOOKUP('Données projet'!$B$9,Paramètres!$A$1:$I$89,3,0)*0.475*44/12</f>
        <v>7.1368282218381305</v>
      </c>
      <c r="AB135" s="21">
        <f>EXP(-LN(2)/2)*AB134+(1-EXP(-LN(2)/2))/(LN(2)/2)*V135*Y135*VLOOKUP('Données projet'!$B$9,Paramètres!$A$1:$I$89,3,0)*0.475*44/12</f>
        <v>9.3973872198174582E-9</v>
      </c>
      <c r="AC135" s="22">
        <f t="shared" si="111"/>
        <v>114.91476302824736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6.7133333333333338</v>
      </c>
      <c r="AI135" s="13">
        <f>IF('Données projet'!$A$62&gt;35,AI134+AH135-AQ134,IF(A135&lt;'Données projet'!$A$62,$AF$205^A135,IF(A135='Données projet'!$A$62,'Données projet'!$B$62,AI134+AH135-AQ134)))</f>
        <v>339.53333333333342</v>
      </c>
      <c r="AJ135" s="13">
        <f>AI135*VLOOKUP('Données projet'!$B$10,Paramètres!$A$1:$I$89,3,0)*VLOOKUP('Données projet'!$B$10,Paramètres!$A$1:$I$89,5,0)</f>
        <v>307.20976000000007</v>
      </c>
      <c r="AK135" s="13">
        <f t="shared" si="143"/>
        <v>72.685810726425274</v>
      </c>
      <c r="AL135" s="20">
        <f t="shared" si="112"/>
        <v>661.65145234852423</v>
      </c>
      <c r="AM135" s="59">
        <f t="shared" si="113"/>
        <v>954.9847856818576</v>
      </c>
      <c r="AN135" s="59">
        <f ca="1">AVERAGE(OFFSET($AM$3,0,0,'Données projet'!$E$10+1,1))-AVERAGE(OFFSET($H$3,0,0,'Données projet'!$E$10+1,1))</f>
        <v>321.13571401604742</v>
      </c>
      <c r="AO135" s="59">
        <f t="shared" si="144"/>
        <v>225.55225019382294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37.959230934930133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37.959230934930133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63.973000000000162</v>
      </c>
      <c r="D136" s="11">
        <f t="shared" si="140"/>
        <v>18.168989097390945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634.07851233073836</v>
      </c>
      <c r="H136" s="67">
        <f t="shared" si="110"/>
        <v>436.39729767795615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470.58485082099065</v>
      </c>
      <c r="T136" s="59">
        <f t="shared" si="142"/>
        <v>498.77167507743559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105.66447523369158</v>
      </c>
      <c r="AA136" s="21">
        <f>EXP(-LN(2)/25)*AA135+(1-EXP(-LN(2)/25))/(LN(2)/25)*Calculateur!V136*Calculateur!X136*VLOOKUP('Données projet'!$B$9,Paramètres!$A$1:$I$89,3,0)*0.475*44/12</f>
        <v>6.9416712788024819</v>
      </c>
      <c r="AB136" s="21">
        <f>EXP(-LN(2)/2)*AB135+(1-EXP(-LN(2)/2))/(LN(2)/2)*V136*Y136*VLOOKUP('Données projet'!$B$9,Paramètres!$A$1:$I$89,3,0)*0.475*44/12</f>
        <v>6.6449562285687217E-9</v>
      </c>
      <c r="AC136" s="22">
        <f t="shared" si="111"/>
        <v>112.60614651913902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6.7133333333333338</v>
      </c>
      <c r="AI136" s="13">
        <f>IF('Données projet'!$A$62&gt;35,AI135+AH136-AQ135,IF(A136&lt;'Données projet'!$A$62,$AF$205^A136,IF(A136='Données projet'!$A$62,'Données projet'!$B$62,AI135+AH136-AQ135)))</f>
        <v>346.24666666666673</v>
      </c>
      <c r="AJ136" s="13">
        <f>AI136*VLOOKUP('Données projet'!$B$10,Paramètres!$A$1:$I$89,3,0)*VLOOKUP('Données projet'!$B$10,Paramètres!$A$1:$I$89,5,0)</f>
        <v>313.28398400000003</v>
      </c>
      <c r="AK136" s="13">
        <f t="shared" si="143"/>
        <v>73.954235554233009</v>
      </c>
      <c r="AL136" s="20">
        <f t="shared" si="112"/>
        <v>674.43989905695594</v>
      </c>
      <c r="AM136" s="59">
        <f t="shared" si="113"/>
        <v>967.77323239028919</v>
      </c>
      <c r="AN136" s="59">
        <f ca="1">AVERAGE(OFFSET($AM$3,0,0,'Données projet'!$E$10+1,1))-AVERAGE(OFFSET($H$3,0,0,'Données projet'!$E$10+1,1))</f>
        <v>321.13571401604742</v>
      </c>
      <c r="AO136" s="59">
        <f t="shared" si="144"/>
        <v>225.55225019382294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37.21487356914087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37.21487356914087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64.454000000000164</v>
      </c>
      <c r="D137" s="11">
        <f t="shared" si="140"/>
        <v>18.289644083550719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638.72286660986651</v>
      </c>
      <c r="H137" s="67">
        <f t="shared" si="110"/>
        <v>437.4451801121844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470.58485082099065</v>
      </c>
      <c r="T137" s="59">
        <f t="shared" si="142"/>
        <v>498.77167507743559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103.59245932332497</v>
      </c>
      <c r="AA137" s="21">
        <f>EXP(-LN(2)/25)*AA136+(1-EXP(-LN(2)/25))/(LN(2)/25)*Calculateur!V137*Calculateur!X137*VLOOKUP('Données projet'!$B$9,Paramètres!$A$1:$I$89,3,0)*0.475*44/12</f>
        <v>6.7518509126370008</v>
      </c>
      <c r="AB137" s="21">
        <f>EXP(-LN(2)/2)*AB136+(1-EXP(-LN(2)/2))/(LN(2)/2)*V137*Y137*VLOOKUP('Données projet'!$B$9,Paramètres!$A$1:$I$89,3,0)*0.475*44/12</f>
        <v>4.6986936099087291E-9</v>
      </c>
      <c r="AC137" s="22">
        <f t="shared" si="111"/>
        <v>110.34431024066066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6.7133333333333338</v>
      </c>
      <c r="AI137" s="13">
        <f>IF('Données projet'!$A$62&gt;35,AI136+AH137-AQ136,IF(A137&lt;'Données projet'!$A$62,$AF$205^A137,IF(A137='Données projet'!$A$62,'Données projet'!$B$62,AI136+AH137-AQ136)))</f>
        <v>352.96000000000004</v>
      </c>
      <c r="AJ137" s="13">
        <f>AI137*VLOOKUP('Données projet'!$B$10,Paramètres!$A$1:$I$89,3,0)*VLOOKUP('Données projet'!$B$10,Paramètres!$A$1:$I$89,5,0)</f>
        <v>319.35820800000005</v>
      </c>
      <c r="AK137" s="13">
        <f t="shared" si="143"/>
        <v>75.219800756874776</v>
      </c>
      <c r="AL137" s="20">
        <f t="shared" si="112"/>
        <v>687.22336525155697</v>
      </c>
      <c r="AM137" s="59">
        <f t="shared" si="113"/>
        <v>980.55669858489023</v>
      </c>
      <c r="AN137" s="59">
        <f ca="1">AVERAGE(OFFSET($AM$3,0,0,'Données projet'!$E$10+1,1))-AVERAGE(OFFSET($H$3,0,0,'Données projet'!$E$10+1,1))</f>
        <v>321.13571401604742</v>
      </c>
      <c r="AO137" s="59">
        <f t="shared" si="144"/>
        <v>225.55225019382294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36.485112597281571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36.485112597281571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64.935000000000159</v>
      </c>
      <c r="D138" s="11">
        <f t="shared" si="140"/>
        <v>18.41019430642563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643.36641218995339</v>
      </c>
      <c r="H138" s="67">
        <f t="shared" si="110"/>
        <v>438.49288008369155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470.58485082099065</v>
      </c>
      <c r="T138" s="59">
        <f t="shared" si="142"/>
        <v>498.77167507743559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101.56107438115575</v>
      </c>
      <c r="AA138" s="21">
        <f>EXP(-LN(2)/25)*AA137+(1-EXP(-LN(2)/25))/(LN(2)/25)*Calculateur!V138*Calculateur!X138*VLOOKUP('Données projet'!$B$9,Paramètres!$A$1:$I$89,3,0)*0.475*44/12</f>
        <v>6.5672211943665344</v>
      </c>
      <c r="AB138" s="21">
        <f>EXP(-LN(2)/2)*AB137+(1-EXP(-LN(2)/2))/(LN(2)/2)*V138*Y138*VLOOKUP('Données projet'!$B$9,Paramètres!$A$1:$I$89,3,0)*0.475*44/12</f>
        <v>3.3224781142843608E-9</v>
      </c>
      <c r="AC138" s="22">
        <f t="shared" si="111"/>
        <v>108.12829557884477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6.7133333333333338</v>
      </c>
      <c r="AI138" s="13">
        <f>IF('Données projet'!$A$62&gt;35,AI137+AH138-AQ137,IF(A138&lt;'Données projet'!$A$62,$AF$205^A138,IF(A138='Données projet'!$A$62,'Données projet'!$B$62,AI137+AH138-AQ137)))</f>
        <v>359.67333333333335</v>
      </c>
      <c r="AJ138" s="13">
        <f>AI138*VLOOKUP('Données projet'!$B$10,Paramètres!$A$1:$I$89,3,0)*VLOOKUP('Données projet'!$B$10,Paramètres!$A$1:$I$89,5,0)</f>
        <v>325.43243200000001</v>
      </c>
      <c r="AK138" s="13">
        <f t="shared" si="143"/>
        <v>76.482566995945305</v>
      </c>
      <c r="AL138" s="20">
        <f t="shared" si="112"/>
        <v>700.00195658460473</v>
      </c>
      <c r="AM138" s="59">
        <f t="shared" si="113"/>
        <v>993.3352899179381</v>
      </c>
      <c r="AN138" s="59">
        <f ca="1">AVERAGE(OFFSET($AM$3,0,0,'Données projet'!$E$10+1,1))-AVERAGE(OFFSET($H$3,0,0,'Données projet'!$E$10+1,1))</f>
        <v>321.13571401604742</v>
      </c>
      <c r="AO138" s="59">
        <f t="shared" si="144"/>
        <v>225.55225019382294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35.76966179297019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35.76966179297019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65.416000000000153</v>
      </c>
      <c r="D139" s="11">
        <f t="shared" si="140"/>
        <v>18.530640632011767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648.00915575588147</v>
      </c>
      <c r="H139" s="67">
        <f t="shared" si="110"/>
        <v>439.54039910075409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470.58485082099065</v>
      </c>
      <c r="T139" s="59">
        <f t="shared" si="142"/>
        <v>498.77167507743559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99.569523658679984</v>
      </c>
      <c r="AA139" s="21">
        <f>EXP(-LN(2)/25)*AA138+(1-EXP(-LN(2)/25))/(LN(2)/25)*Calculateur!V139*Calculateur!X139*VLOOKUP('Données projet'!$B$9,Paramètres!$A$1:$I$89,3,0)*0.475*44/12</f>
        <v>6.3876401854514286</v>
      </c>
      <c r="AB139" s="21">
        <f>EXP(-LN(2)/2)*AB138+(1-EXP(-LN(2)/2))/(LN(2)/2)*V139*Y139*VLOOKUP('Données projet'!$B$9,Paramètres!$A$1:$I$89,3,0)*0.475*44/12</f>
        <v>2.3493468049543645E-9</v>
      </c>
      <c r="AC139" s="22">
        <f t="shared" si="111"/>
        <v>105.95716384648077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6.7133333333333338</v>
      </c>
      <c r="AI139" s="13">
        <f>IF('Données projet'!$A$62&gt;35,AI138+AH139-AQ138,IF(A139&lt;'Données projet'!$A$62,$AF$205^A139,IF(A139='Données projet'!$A$62,'Données projet'!$B$62,AI138+AH139-AQ138)))</f>
        <v>366.38666666666666</v>
      </c>
      <c r="AJ139" s="13">
        <f>AI139*VLOOKUP('Données projet'!$B$10,Paramètres!$A$1:$I$89,3,0)*VLOOKUP('Données projet'!$B$10,Paramètres!$A$1:$I$89,5,0)</f>
        <v>331.50665599999996</v>
      </c>
      <c r="AK139" s="13">
        <f t="shared" si="143"/>
        <v>77.742592538922509</v>
      </c>
      <c r="AL139" s="20">
        <f t="shared" si="112"/>
        <v>712.7757745386233</v>
      </c>
      <c r="AM139" s="59">
        <f t="shared" si="113"/>
        <v>1006.1091078719567</v>
      </c>
      <c r="AN139" s="59">
        <f ca="1">AVERAGE(OFFSET($AM$3,0,0,'Données projet'!$E$10+1,1))-AVERAGE(OFFSET($H$3,0,0,'Données projet'!$E$10+1,1))</f>
        <v>321.13571401604742</v>
      </c>
      <c r="AO139" s="59">
        <f t="shared" si="144"/>
        <v>225.55225019382294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35.068240542549454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35.068240542549454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65.897000000000148</v>
      </c>
      <c r="D140" s="11">
        <f t="shared" si="140"/>
        <v>18.65098391283415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652.65110388854555</v>
      </c>
      <c r="H140" s="67">
        <f t="shared" si="110"/>
        <v>440.58773864818636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470.58485082099065</v>
      </c>
      <c r="T140" s="59">
        <f t="shared" si="142"/>
        <v>498.77167507743559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97.617026031145969</v>
      </c>
      <c r="AA140" s="21">
        <f>EXP(-LN(2)/25)*AA139+(1-EXP(-LN(2)/25))/(LN(2)/25)*Calculateur!V140*Calculateur!X140*VLOOKUP('Données projet'!$B$9,Paramètres!$A$1:$I$89,3,0)*0.475*44/12</f>
        <v>6.2129698286688608</v>
      </c>
      <c r="AB140" s="21">
        <f>EXP(-LN(2)/2)*AB139+(1-EXP(-LN(2)/2))/(LN(2)/2)*V140*Y140*VLOOKUP('Données projet'!$B$9,Paramètres!$A$1:$I$89,3,0)*0.475*44/12</f>
        <v>1.6612390571421804E-9</v>
      </c>
      <c r="AC140" s="22">
        <f t="shared" si="111"/>
        <v>103.82999586147606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>
        <f>VLOOKUP(A140,'Données projet'!$A$61:$I$81,2,0)</f>
        <v>373.1</v>
      </c>
      <c r="AG140" s="12">
        <f>VLOOKUP(A140,'Données projet'!$A$61:$I$81,9,0)</f>
        <v>6.7133333333333338</v>
      </c>
      <c r="AH140" s="12">
        <f t="array" ref="AH140">INDEX(AG:AG,MIN(IF(ISNUMBER(AG140:AG336),ROW(AG140:AG336),"")))</f>
        <v>6.7133333333333338</v>
      </c>
      <c r="AI140" s="13">
        <f>IF('Données projet'!$A$62&gt;35,AI139+AH140-AQ139,IF(A140&lt;'Données projet'!$A$62,$AF$205^A140,IF(A140='Données projet'!$A$62,'Données projet'!$B$62,AI139+AH140-AQ139)))</f>
        <v>373.09999999999997</v>
      </c>
      <c r="AJ140" s="13">
        <f>AI140*VLOOKUP('Données projet'!$B$10,Paramètres!$A$1:$I$89,3,0)*VLOOKUP('Données projet'!$B$10,Paramètres!$A$1:$I$89,5,0)</f>
        <v>337.58087999999998</v>
      </c>
      <c r="AK140" s="13">
        <f t="shared" si="143"/>
        <v>78.99993339576065</v>
      </c>
      <c r="AL140" s="20">
        <f t="shared" si="112"/>
        <v>725.54491666428305</v>
      </c>
      <c r="AM140" s="59">
        <f t="shared" si="113"/>
        <v>1018.8782499976164</v>
      </c>
      <c r="AN140" s="59">
        <f ca="1">AVERAGE(OFFSET($AM$3,0,0,'Données projet'!$E$10+1,1))-AVERAGE(OFFSET($H$3,0,0,'Données projet'!$E$10+1,1))</f>
        <v>321.13571401604742</v>
      </c>
      <c r="AO140" s="59">
        <f t="shared" si="144"/>
        <v>225.55225019382294</v>
      </c>
      <c r="AP140" s="15">
        <f>IF(ISNA(VLOOKUP(A140,'Données projet'!$A$61:$I$81,3,0)),0,VLOOKUP(A140,'Données projet'!$A$61:$I$81,3,0))</f>
        <v>11</v>
      </c>
      <c r="AQ140" s="15">
        <f>IF(ISNA(VLOOKUP(A140,'Données projet'!$A$61:$I$81,4,0)),0,VLOOKUP(A140,'Données projet'!$A$61:$I$81,4,0))</f>
        <v>65.53</v>
      </c>
      <c r="AR140" s="16">
        <f>IF(ISNA(VLOOKUP(A140,'Données projet'!$A$61:$I$81,5,0)),0%,VLOOKUP(A140,'Données projet'!$A$61:$I$81,5,0)*VLOOKUP('Données projet'!$B$10,Paramètres!$A$1:$I$89,7,0))</f>
        <v>0.30099999999999999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54.109632475305915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54.109632475305915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66.378000000000142</v>
      </c>
      <c r="D141" s="11">
        <f t="shared" si="140"/>
        <v>18.771224988253135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657.2922630672183</v>
      </c>
      <c r="H141" s="67">
        <f t="shared" si="110"/>
        <v>441.63490018787445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470.58485082099065</v>
      </c>
      <c r="T141" s="59">
        <f t="shared" si="142"/>
        <v>498.77167507743559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95.702815691181939</v>
      </c>
      <c r="AA141" s="21">
        <f>EXP(-LN(2)/25)*AA140+(1-EXP(-LN(2)/25))/(LN(2)/25)*Calculateur!V141*Calculateur!X141*VLOOKUP('Données projet'!$B$9,Paramètres!$A$1:$I$89,3,0)*0.475*44/12</f>
        <v>6.0430758419780277</v>
      </c>
      <c r="AB141" s="21">
        <f>EXP(-LN(2)/2)*AB140+(1-EXP(-LN(2)/2))/(LN(2)/2)*V141*Y141*VLOOKUP('Données projet'!$B$9,Paramètres!$A$1:$I$89,3,0)*0.475*44/12</f>
        <v>1.1746734024771823E-9</v>
      </c>
      <c r="AC141" s="22">
        <f t="shared" si="111"/>
        <v>101.74589153433463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6.5224999999999937</v>
      </c>
      <c r="AI141" s="13">
        <f>IF('Données projet'!$A$62&gt;35,AI140+AH141-AQ140,IF(A141&lt;'Données projet'!$A$62,$AF$205^A141,IF(A141='Données projet'!$A$62,'Données projet'!$B$62,AI140+AH141-AQ140)))</f>
        <v>314.09249999999997</v>
      </c>
      <c r="AJ141" s="13">
        <f>AI141*VLOOKUP('Données projet'!$B$10,Paramètres!$A$1:$I$89,3,0)*VLOOKUP('Données projet'!$B$10,Paramètres!$A$1:$I$89,5,0)</f>
        <v>284.19089399999996</v>
      </c>
      <c r="AK141" s="13">
        <f t="shared" si="143"/>
        <v>67.851898019027914</v>
      </c>
      <c r="AL141" s="20">
        <f t="shared" si="112"/>
        <v>613.14119609980673</v>
      </c>
      <c r="AM141" s="59">
        <f t="shared" si="113"/>
        <v>906.47452943314011</v>
      </c>
      <c r="AN141" s="59">
        <f ca="1">AVERAGE(OFFSET($AM$3,0,0,'Données projet'!$E$10+1,1))-AVERAGE(OFFSET($H$3,0,0,'Données projet'!$E$10+1,1))</f>
        <v>321.13571401604742</v>
      </c>
      <c r="AO141" s="59">
        <f t="shared" si="144"/>
        <v>225.55225019382294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53.048575586082137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53.048575586082137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66.859000000000137</v>
      </c>
      <c r="D142" s="11">
        <f t="shared" si="140"/>
        <v>18.891364684761506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661.9326396718443</v>
      </c>
      <c r="H142" s="67">
        <f t="shared" si="110"/>
        <v>442.68188515929319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470.58485082099065</v>
      </c>
      <c r="T142" s="59">
        <f t="shared" si="142"/>
        <v>498.77167507743559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93.82614184843159</v>
      </c>
      <c r="AA142" s="21">
        <f>EXP(-LN(2)/25)*AA141+(1-EXP(-LN(2)/25))/(LN(2)/25)*Calculateur!V142*Calculateur!X142*VLOOKUP('Données projet'!$B$9,Paramètres!$A$1:$I$89,3,0)*0.475*44/12</f>
        <v>5.8778276152875915</v>
      </c>
      <c r="AB142" s="21">
        <f>EXP(-LN(2)/2)*AB141+(1-EXP(-LN(2)/2))/(LN(2)/2)*V142*Y142*VLOOKUP('Données projet'!$B$9,Paramètres!$A$1:$I$89,3,0)*0.475*44/12</f>
        <v>8.3061952857109021E-10</v>
      </c>
      <c r="AC142" s="22">
        <f t="shared" si="111"/>
        <v>99.7039694645498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6.5224999999999937</v>
      </c>
      <c r="AI142" s="13">
        <f>IF('Données projet'!$A$62&gt;35,AI141+AH142-AQ141,IF(A142&lt;'Données projet'!$A$62,$AF$205^A142,IF(A142='Données projet'!$A$62,'Données projet'!$B$62,AI141+AH142-AQ141)))</f>
        <v>320.61499999999995</v>
      </c>
      <c r="AJ142" s="13">
        <f>AI142*VLOOKUP('Données projet'!$B$10,Paramètres!$A$1:$I$89,3,0)*VLOOKUP('Données projet'!$B$10,Paramètres!$A$1:$I$89,5,0)</f>
        <v>290.09245199999992</v>
      </c>
      <c r="AK142" s="13">
        <f t="shared" si="143"/>
        <v>69.095418791455359</v>
      </c>
      <c r="AL142" s="20">
        <f t="shared" si="112"/>
        <v>625.58554162845132</v>
      </c>
      <c r="AM142" s="59">
        <f t="shared" si="113"/>
        <v>918.9188749617847</v>
      </c>
      <c r="AN142" s="59">
        <f ca="1">AVERAGE(OFFSET($AM$3,0,0,'Données projet'!$E$10+1,1))-AVERAGE(OFFSET($H$3,0,0,'Données projet'!$E$10+1,1))</f>
        <v>321.13571401604742</v>
      </c>
      <c r="AO142" s="59">
        <f t="shared" si="144"/>
        <v>225.55225019382294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52.008325375275241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52.008325375275241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67.340000000000131</v>
      </c>
      <c r="D143" s="11">
        <f t="shared" si="140"/>
        <v>19.011403816272956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666.57223998526604</v>
      </c>
      <c r="H143" s="67">
        <f t="shared" si="110"/>
        <v>443.72869498000898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470.58485082099065</v>
      </c>
      <c r="T143" s="59">
        <f t="shared" si="142"/>
        <v>498.77167507743559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91.986268435079552</v>
      </c>
      <c r="AA143" s="21">
        <f>EXP(-LN(2)/25)*AA142+(1-EXP(-LN(2)/25))/(LN(2)/25)*Calculateur!V143*Calculateur!X143*VLOOKUP('Données projet'!$B$9,Paramètres!$A$1:$I$89,3,0)*0.475*44/12</f>
        <v>5.7170981100460319</v>
      </c>
      <c r="AB143" s="21">
        <f>EXP(-LN(2)/2)*AB142+(1-EXP(-LN(2)/2))/(LN(2)/2)*V143*Y143*VLOOKUP('Données projet'!$B$9,Paramètres!$A$1:$I$89,3,0)*0.475*44/12</f>
        <v>5.8733670123859114E-10</v>
      </c>
      <c r="AC143" s="22">
        <f t="shared" si="111"/>
        <v>97.703366545712925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6.5224999999999937</v>
      </c>
      <c r="AI143" s="13">
        <f>IF('Données projet'!$A$62&gt;35,AI142+AH143-AQ142,IF(A143&lt;'Données projet'!$A$62,$AF$205^A143,IF(A143='Données projet'!$A$62,'Données projet'!$B$62,AI142+AH143-AQ142)))</f>
        <v>327.13749999999993</v>
      </c>
      <c r="AJ143" s="13">
        <f>AI143*VLOOKUP('Données projet'!$B$10,Paramètres!$A$1:$I$89,3,0)*VLOOKUP('Données projet'!$B$10,Paramètres!$A$1:$I$89,5,0)</f>
        <v>295.99400999999995</v>
      </c>
      <c r="AK143" s="13">
        <f t="shared" si="143"/>
        <v>70.335998165580676</v>
      </c>
      <c r="AL143" s="20">
        <f t="shared" si="112"/>
        <v>638.02476422171958</v>
      </c>
      <c r="AM143" s="59">
        <f t="shared" si="113"/>
        <v>931.35809755505284</v>
      </c>
      <c r="AN143" s="59">
        <f ca="1">AVERAGE(OFFSET($AM$3,0,0,'Données projet'!$E$10+1,1))-AVERAGE(OFFSET($H$3,0,0,'Données projet'!$E$10+1,1))</f>
        <v>321.13571401604742</v>
      </c>
      <c r="AO143" s="59">
        <f t="shared" si="144"/>
        <v>225.55225019382294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50.988473836612293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50.988473836612293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67.821000000000126</v>
      </c>
      <c r="D144" s="11">
        <f t="shared" si="140"/>
        <v>19.13134318440186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671.21107019538374</v>
      </c>
      <c r="H144" s="67">
        <f t="shared" si="110"/>
        <v>444.7753310461668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470.58485082099065</v>
      </c>
      <c r="T144" s="59">
        <f t="shared" si="142"/>
        <v>498.77167507743559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90.182473817151376</v>
      </c>
      <c r="AA144" s="21">
        <f>EXP(-LN(2)/25)*AA143+(1-EXP(-LN(2)/25))/(LN(2)/25)*Calculateur!V144*Calculateur!X144*VLOOKUP('Données projet'!$B$9,Paramètres!$A$1:$I$89,3,0)*0.475*44/12</f>
        <v>5.5607637615777001</v>
      </c>
      <c r="AB144" s="21">
        <f>EXP(-LN(2)/2)*AB143+(1-EXP(-LN(2)/2))/(LN(2)/2)*V144*Y144*VLOOKUP('Données projet'!$B$9,Paramètres!$A$1:$I$89,3,0)*0.475*44/12</f>
        <v>4.153097642855451E-10</v>
      </c>
      <c r="AC144" s="22">
        <f t="shared" si="111"/>
        <v>95.743237579144392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6.5224999999999937</v>
      </c>
      <c r="AI144" s="13">
        <f>IF('Données projet'!$A$62&gt;35,AI143+AH144-AQ143,IF(A144&lt;'Données projet'!$A$62,$AF$205^A144,IF(A144='Données projet'!$A$62,'Données projet'!$B$62,AI143+AH144-AQ143)))</f>
        <v>333.65999999999991</v>
      </c>
      <c r="AJ144" s="13">
        <f>AI144*VLOOKUP('Données projet'!$B$10,Paramètres!$A$1:$I$89,3,0)*VLOOKUP('Données projet'!$B$10,Paramètres!$A$1:$I$89,5,0)</f>
        <v>301.89556799999991</v>
      </c>
      <c r="AK144" s="13">
        <f t="shared" si="143"/>
        <v>71.573701546508047</v>
      </c>
      <c r="AL144" s="20">
        <f t="shared" si="112"/>
        <v>650.45897779350139</v>
      </c>
      <c r="AM144" s="59">
        <f t="shared" si="113"/>
        <v>943.79231112683465</v>
      </c>
      <c r="AN144" s="59">
        <f ca="1">AVERAGE(OFFSET($AM$3,0,0,'Données projet'!$E$10+1,1))-AVERAGE(OFFSET($H$3,0,0,'Données projet'!$E$10+1,1))</f>
        <v>321.13571401604742</v>
      </c>
      <c r="AO144" s="59">
        <f t="shared" si="144"/>
        <v>225.55225019382294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49.988620964574508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49.988620964574508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68.30200000000012</v>
      </c>
      <c r="D145" s="11">
        <f t="shared" si="140"/>
        <v>19.251183578735148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675.84913639725471</v>
      </c>
      <c r="H145" s="67">
        <f t="shared" si="110"/>
        <v>445.82179473296389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470.58485082099065</v>
      </c>
      <c r="T145" s="59">
        <f t="shared" si="142"/>
        <v>498.77167507743559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88.414050511474684</v>
      </c>
      <c r="AA145" s="21">
        <f>EXP(-LN(2)/25)*AA144+(1-EXP(-LN(2)/25))/(LN(2)/25)*Calculateur!V145*Calculateur!X145*VLOOKUP('Données projet'!$B$9,Paramètres!$A$1:$I$89,3,0)*0.475*44/12</f>
        <v>5.4087043840895008</v>
      </c>
      <c r="AB145" s="21">
        <f>EXP(-LN(2)/2)*AB144+(1-EXP(-LN(2)/2))/(LN(2)/2)*V145*Y145*VLOOKUP('Données projet'!$B$9,Paramètres!$A$1:$I$89,3,0)*0.475*44/12</f>
        <v>2.9366835061929557E-10</v>
      </c>
      <c r="AC145" s="22">
        <f t="shared" si="111"/>
        <v>93.822754895857855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6.5224999999999937</v>
      </c>
      <c r="AI145" s="13">
        <f>IF('Données projet'!$A$62&gt;35,AI144+AH145-AQ144,IF(A145&lt;'Données projet'!$A$62,$AF$205^A145,IF(A145='Données projet'!$A$62,'Données projet'!$B$62,AI144+AH145-AQ144)))</f>
        <v>340.18249999999989</v>
      </c>
      <c r="AJ145" s="13">
        <f>AI145*VLOOKUP('Données projet'!$B$10,Paramètres!$A$1:$I$89,3,0)*VLOOKUP('Données projet'!$B$10,Paramètres!$A$1:$I$89,5,0)</f>
        <v>307.79712599999993</v>
      </c>
      <c r="AK145" s="13">
        <f t="shared" si="143"/>
        <v>72.808591635954159</v>
      </c>
      <c r="AL145" s="20">
        <f t="shared" si="112"/>
        <v>662.88829154928669</v>
      </c>
      <c r="AM145" s="59">
        <f t="shared" si="113"/>
        <v>956.22162488262006</v>
      </c>
      <c r="AN145" s="59">
        <f ca="1">AVERAGE(OFFSET($AM$3,0,0,'Données projet'!$E$10+1,1))-AVERAGE(OFFSET($H$3,0,0,'Données projet'!$E$10+1,1))</f>
        <v>321.13571401604742</v>
      </c>
      <c r="AO145" s="59">
        <f t="shared" si="144"/>
        <v>225.55225019382294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49.008374597507348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49.008374597507348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68.783000000000115</v>
      </c>
      <c r="D146" s="11">
        <f t="shared" si="140"/>
        <v>19.370925777096051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680.48644459512832</v>
      </c>
      <c r="H146" s="67">
        <f t="shared" si="110"/>
        <v>446.86808739510911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470.58485082099065</v>
      </c>
      <c r="T146" s="59">
        <f t="shared" si="142"/>
        <v>498.77167507743559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86.680304908190607</v>
      </c>
      <c r="AA146" s="21">
        <f>EXP(-LN(2)/25)*AA145+(1-EXP(-LN(2)/25))/(LN(2)/25)*Calculateur!V146*Calculateur!X146*VLOOKUP('Données projet'!$B$9,Paramètres!$A$1:$I$89,3,0)*0.475*44/12</f>
        <v>5.2608030782751714</v>
      </c>
      <c r="AB146" s="21">
        <f>EXP(-LN(2)/2)*AB145+(1-EXP(-LN(2)/2))/(LN(2)/2)*V146*Y146*VLOOKUP('Données projet'!$B$9,Paramètres!$A$1:$I$89,3,0)*0.475*44/12</f>
        <v>2.0765488214277255E-10</v>
      </c>
      <c r="AC146" s="22">
        <f t="shared" si="111"/>
        <v>91.94110798667343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6.5224999999999937</v>
      </c>
      <c r="AI146" s="13">
        <f>IF('Données projet'!$A$62&gt;35,AI145+AH146-AQ145,IF(A146&lt;'Données projet'!$A$62,$AF$205^A146,IF(A146='Données projet'!$A$62,'Données projet'!$B$62,AI145+AH146-AQ145)))</f>
        <v>346.70499999999987</v>
      </c>
      <c r="AJ146" s="13">
        <f>AI146*VLOOKUP('Données projet'!$B$10,Paramètres!$A$1:$I$89,3,0)*VLOOKUP('Données projet'!$B$10,Paramètres!$A$1:$I$89,5,0)</f>
        <v>313.69868399999984</v>
      </c>
      <c r="AK146" s="13">
        <f t="shared" si="143"/>
        <v>74.040728593641816</v>
      </c>
      <c r="AL146" s="20">
        <f t="shared" si="112"/>
        <v>675.31281026725912</v>
      </c>
      <c r="AM146" s="59">
        <f t="shared" si="113"/>
        <v>968.6461436005925</v>
      </c>
      <c r="AN146" s="59">
        <f ca="1">AVERAGE(OFFSET($AM$3,0,0,'Données projet'!$E$10+1,1))-AVERAGE(OFFSET($H$3,0,0,'Données projet'!$E$10+1,1))</f>
        <v>321.13571401604742</v>
      </c>
      <c r="AO146" s="59">
        <f t="shared" si="144"/>
        <v>225.55225019382294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48.047350263807125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48.047350263807125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69.264000000000109</v>
      </c>
      <c r="D147" s="11">
        <f t="shared" si="140"/>
        <v>19.49057054580048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685.12300070442564</v>
      </c>
      <c r="H147" s="67">
        <f t="shared" si="110"/>
        <v>447.91421036726933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470.58485082099065</v>
      </c>
      <c r="T147" s="59">
        <f t="shared" si="142"/>
        <v>498.77167507743559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84.980556998706533</v>
      </c>
      <c r="AA147" s="21">
        <f>EXP(-LN(2)/25)*AA146+(1-EXP(-LN(2)/25))/(LN(2)/25)*Calculateur!V147*Calculateur!X147*VLOOKUP('Données projet'!$B$9,Paramètres!$A$1:$I$89,3,0)*0.475*44/12</f>
        <v>5.1169461414461264</v>
      </c>
      <c r="AB147" s="21">
        <f>EXP(-LN(2)/2)*AB146+(1-EXP(-LN(2)/2))/(LN(2)/2)*V147*Y147*VLOOKUP('Données projet'!$B$9,Paramètres!$A$1:$I$89,3,0)*0.475*44/12</f>
        <v>1.4683417530964778E-10</v>
      </c>
      <c r="AC147" s="22">
        <f t="shared" si="111"/>
        <v>90.097503140299494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6.5224999999999937</v>
      </c>
      <c r="AI147" s="13">
        <f>IF('Données projet'!$A$62&gt;35,AI146+AH147-AQ146,IF(A147&lt;'Données projet'!$A$62,$AF$205^A147,IF(A147='Données projet'!$A$62,'Données projet'!$B$62,AI146+AH147-AQ146)))</f>
        <v>353.22749999999985</v>
      </c>
      <c r="AJ147" s="13">
        <f>AI147*VLOOKUP('Données projet'!$B$10,Paramètres!$A$1:$I$89,3,0)*VLOOKUP('Données projet'!$B$10,Paramètres!$A$1:$I$89,5,0)</f>
        <v>319.60024199999987</v>
      </c>
      <c r="AK147" s="13">
        <f t="shared" si="143"/>
        <v>75.270170186204851</v>
      </c>
      <c r="AL147" s="20">
        <f t="shared" si="112"/>
        <v>687.73263455763981</v>
      </c>
      <c r="AM147" s="59">
        <f t="shared" si="113"/>
        <v>981.06596789097307</v>
      </c>
      <c r="AN147" s="59">
        <f ca="1">AVERAGE(OFFSET($AM$3,0,0,'Données projet'!$E$10+1,1))-AVERAGE(OFFSET($H$3,0,0,'Données projet'!$E$10+1,1))</f>
        <v>321.13571401604742</v>
      </c>
      <c r="AO147" s="59">
        <f t="shared" si="144"/>
        <v>225.55225019382294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47.105171031123803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47.105171031123803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69.745000000000104</v>
      </c>
      <c r="D148" s="11">
        <f t="shared" si="140"/>
        <v>19.610118639905842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689.75881055366006</v>
      </c>
      <c r="H148" s="67">
        <f t="shared" si="110"/>
        <v>448.96016496450284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470.58485082099065</v>
      </c>
      <c r="T148" s="59">
        <f t="shared" si="142"/>
        <v>498.77167507743559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83.31414010898358</v>
      </c>
      <c r="AA148" s="21">
        <f>EXP(-LN(2)/25)*AA147+(1-EXP(-LN(2)/25))/(LN(2)/25)*Calculateur!V148*Calculateur!X148*VLOOKUP('Données projet'!$B$9,Paramètres!$A$1:$I$89,3,0)*0.475*44/12</f>
        <v>4.9770229801197798</v>
      </c>
      <c r="AB148" s="21">
        <f>EXP(-LN(2)/2)*AB147+(1-EXP(-LN(2)/2))/(LN(2)/2)*V148*Y148*VLOOKUP('Données projet'!$B$9,Paramètres!$A$1:$I$89,3,0)*0.475*44/12</f>
        <v>1.0382744107138628E-10</v>
      </c>
      <c r="AC148" s="22">
        <f t="shared" si="111"/>
        <v>88.291163089207188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6.5224999999999937</v>
      </c>
      <c r="AI148" s="13">
        <f>IF('Données projet'!$A$62&gt;35,AI147+AH148-AQ147,IF(A148&lt;'Données projet'!$A$62,$AF$205^A148,IF(A148='Données projet'!$A$62,'Données projet'!$B$62,AI147+AH148-AQ147)))</f>
        <v>359.74999999999983</v>
      </c>
      <c r="AJ148" s="13">
        <f>AI148*VLOOKUP('Données projet'!$B$10,Paramètres!$A$1:$I$89,3,0)*VLOOKUP('Données projet'!$B$10,Paramètres!$A$1:$I$89,5,0)</f>
        <v>325.50179999999983</v>
      </c>
      <c r="AK148" s="13">
        <f t="shared" si="143"/>
        <v>76.496971924782571</v>
      </c>
      <c r="AL148" s="20">
        <f t="shared" si="112"/>
        <v>700.14786110232933</v>
      </c>
      <c r="AM148" s="59">
        <f t="shared" si="113"/>
        <v>993.4811944356627</v>
      </c>
      <c r="AN148" s="59">
        <f ca="1">AVERAGE(OFFSET($AM$3,0,0,'Données projet'!$E$10+1,1))-AVERAGE(OFFSET($H$3,0,0,'Données projet'!$E$10+1,1))</f>
        <v>321.13571401604742</v>
      </c>
      <c r="AO148" s="59">
        <f t="shared" si="144"/>
        <v>225.55225019382294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46.181467358520813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46.181467358520813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70.226000000000099</v>
      </c>
      <c r="D149" s="11">
        <f t="shared" si="140"/>
        <v>19.729570803453061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694.39387988630506</v>
      </c>
      <c r="H149" s="67">
        <f t="shared" si="110"/>
        <v>450.00595248268087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470.58485082099065</v>
      </c>
      <c r="T149" s="59">
        <f t="shared" si="142"/>
        <v>498.77167507743559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81.680400638054152</v>
      </c>
      <c r="AA149" s="21">
        <f>EXP(-LN(2)/25)*AA148+(1-EXP(-LN(2)/25))/(LN(2)/25)*Calculateur!V149*Calculateur!X149*VLOOKUP('Données projet'!$B$9,Paramètres!$A$1:$I$89,3,0)*0.475*44/12</f>
        <v>4.840926024998141</v>
      </c>
      <c r="AB149" s="21">
        <f>EXP(-LN(2)/2)*AB148+(1-EXP(-LN(2)/2))/(LN(2)/2)*V149*Y149*VLOOKUP('Données projet'!$B$9,Paramètres!$A$1:$I$89,3,0)*0.475*44/12</f>
        <v>7.3417087654823892E-11</v>
      </c>
      <c r="AC149" s="22">
        <f t="shared" si="111"/>
        <v>86.521326663125706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6.5224999999999937</v>
      </c>
      <c r="AI149" s="13">
        <f>IF('Données projet'!$A$62&gt;35,AI148+AH149-AQ148,IF(A149&lt;'Données projet'!$A$62,$AF$205^A149,IF(A149='Données projet'!$A$62,'Données projet'!$B$62,AI148+AH149-AQ148)))</f>
        <v>366.27249999999981</v>
      </c>
      <c r="AJ149" s="13">
        <f>AI149*VLOOKUP('Données projet'!$B$10,Paramètres!$A$1:$I$89,3,0)*VLOOKUP('Données projet'!$B$10,Paramètres!$A$1:$I$89,5,0)</f>
        <v>331.4033579999998</v>
      </c>
      <c r="AK149" s="13">
        <f t="shared" si="143"/>
        <v>77.721187192355004</v>
      </c>
      <c r="AL149" s="20">
        <f t="shared" si="112"/>
        <v>712.55858287668445</v>
      </c>
      <c r="AM149" s="59">
        <f t="shared" si="113"/>
        <v>1005.8919162100178</v>
      </c>
      <c r="AN149" s="59">
        <f ca="1">AVERAGE(OFFSET($AM$3,0,0,'Données projet'!$E$10+1,1))-AVERAGE(OFFSET($H$3,0,0,'Données projet'!$E$10+1,1))</f>
        <v>321.13571401604742</v>
      </c>
      <c r="AO149" s="59">
        <f t="shared" si="144"/>
        <v>225.55225019382294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45.275876951533959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45.275876951533959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70.707000000000093</v>
      </c>
      <c r="D150" s="11">
        <f t="shared" si="140"/>
        <v>19.848927769701536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699.02821436260911</v>
      </c>
      <c r="H150" s="67">
        <f t="shared" si="110"/>
        <v>451.05157419889701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470.58485082099065</v>
      </c>
      <c r="T150" s="59">
        <f t="shared" si="142"/>
        <v>498.77167507743559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80.078697801666976</v>
      </c>
      <c r="AA150" s="21">
        <f>EXP(-LN(2)/25)*AA149+(1-EXP(-LN(2)/25))/(LN(2)/25)*Calculateur!V150*Calculateur!X150*VLOOKUP('Données projet'!$B$9,Paramètres!$A$1:$I$89,3,0)*0.475*44/12</f>
        <v>4.7085506482713315</v>
      </c>
      <c r="AB150" s="21">
        <f>EXP(-LN(2)/2)*AB149+(1-EXP(-LN(2)/2))/(LN(2)/2)*V150*Y150*VLOOKUP('Données projet'!$B$9,Paramètres!$A$1:$I$89,3,0)*0.475*44/12</f>
        <v>5.1913720535693138E-11</v>
      </c>
      <c r="AC150" s="22">
        <f t="shared" si="111"/>
        <v>84.787248449990216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6.5224999999999937</v>
      </c>
      <c r="AI150" s="13">
        <f>IF('Données projet'!$A$62&gt;35,AI149+AH150-AQ149,IF(A150&lt;'Données projet'!$A$62,$AF$205^A150,IF(A150='Données projet'!$A$62,'Données projet'!$B$62,AI149+AH150-AQ149)))</f>
        <v>372.79499999999979</v>
      </c>
      <c r="AJ150" s="13">
        <f>AI150*VLOOKUP('Données projet'!$B$10,Paramètres!$A$1:$I$89,3,0)*VLOOKUP('Données projet'!$B$10,Paramètres!$A$1:$I$89,5,0)</f>
        <v>337.30491599999982</v>
      </c>
      <c r="AK150" s="13">
        <f t="shared" si="143"/>
        <v>78.942867361749492</v>
      </c>
      <c r="AL150" s="20">
        <f t="shared" si="112"/>
        <v>724.96488935504669</v>
      </c>
      <c r="AM150" s="59">
        <f t="shared" si="113"/>
        <v>1018.2982226883801</v>
      </c>
      <c r="AN150" s="59">
        <f ca="1">AVERAGE(OFFSET($AM$3,0,0,'Données projet'!$E$10+1,1))-AVERAGE(OFFSET($H$3,0,0,'Données projet'!$E$10+1,1))</f>
        <v>321.13571401604742</v>
      </c>
      <c r="AO150" s="59">
        <f t="shared" si="144"/>
        <v>225.55225019382294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44.388044620072506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44.388044620072506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71.188000000000088</v>
      </c>
      <c r="D151" s="11">
        <f t="shared" si="140"/>
        <v>19.968190261357677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703.66181956135824</v>
      </c>
      <c r="H151" s="67">
        <f t="shared" si="110"/>
        <v>452.09703137186477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470.58485082099065</v>
      </c>
      <c r="T151" s="59">
        <f t="shared" si="142"/>
        <v>498.77167507743559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78.508403380959081</v>
      </c>
      <c r="AA151" s="21">
        <f>EXP(-LN(2)/25)*AA150+(1-EXP(-LN(2)/25))/(LN(2)/25)*Calculateur!V151*Calculateur!X151*VLOOKUP('Données projet'!$B$9,Paramètres!$A$1:$I$89,3,0)*0.475*44/12</f>
        <v>4.579795083182435</v>
      </c>
      <c r="AB151" s="21">
        <f>EXP(-LN(2)/2)*AB150+(1-EXP(-LN(2)/2))/(LN(2)/2)*V151*Y151*VLOOKUP('Données projet'!$B$9,Paramètres!$A$1:$I$89,3,0)*0.475*44/12</f>
        <v>3.6708543827411946E-11</v>
      </c>
      <c r="AC151" s="22">
        <f t="shared" si="111"/>
        <v>83.08819846417822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6.5224999999999937</v>
      </c>
      <c r="AI151" s="13">
        <f>IF('Données projet'!$A$62&gt;35,AI150+AH151-AQ150,IF(A151&lt;'Données projet'!$A$62,$AF$205^A151,IF(A151='Données projet'!$A$62,'Données projet'!$B$62,AI150+AH151-AQ150)))</f>
        <v>379.31749999999977</v>
      </c>
      <c r="AJ151" s="13">
        <f>AI151*VLOOKUP('Données projet'!$B$10,Paramètres!$A$1:$I$89,3,0)*VLOOKUP('Données projet'!$B$10,Paramètres!$A$1:$I$89,5,0)</f>
        <v>343.20647399999979</v>
      </c>
      <c r="AK151" s="13">
        <f t="shared" si="143"/>
        <v>80.162061905155412</v>
      </c>
      <c r="AL151" s="20">
        <f t="shared" si="112"/>
        <v>737.36686670147856</v>
      </c>
      <c r="AM151" s="59">
        <f t="shared" si="113"/>
        <v>1030.7002000348118</v>
      </c>
      <c r="AN151" s="59">
        <f ca="1">AVERAGE(OFFSET($AM$3,0,0,'Données projet'!$E$10+1,1))-AVERAGE(OFFSET($H$3,0,0,'Données projet'!$E$10+1,1))</f>
        <v>321.13571401604742</v>
      </c>
      <c r="AO151" s="59">
        <f t="shared" si="144"/>
        <v>225.55225019382294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43.517622139106763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43.517622139106763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71.669000000000082</v>
      </c>
      <c r="D152" s="11">
        <f t="shared" si="140"/>
        <v>20.087358990796993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708.29470098159163</v>
      </c>
      <c r="H152" s="67">
        <f t="shared" si="110"/>
        <v>453.14232524230488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470.58485082099065</v>
      </c>
      <c r="T152" s="59">
        <f t="shared" si="142"/>
        <v>498.77167507743559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76.968901476056246</v>
      </c>
      <c r="AA152" s="21">
        <f>EXP(-LN(2)/25)*AA151+(1-EXP(-LN(2)/25))/(LN(2)/25)*Calculateur!V152*Calculateur!X152*VLOOKUP('Données projet'!$B$9,Paramètres!$A$1:$I$89,3,0)*0.475*44/12</f>
        <v>4.4545603457918554</v>
      </c>
      <c r="AB152" s="21">
        <f>EXP(-LN(2)/2)*AB151+(1-EXP(-LN(2)/2))/(LN(2)/2)*V152*Y152*VLOOKUP('Données projet'!$B$9,Paramètres!$A$1:$I$89,3,0)*0.475*44/12</f>
        <v>2.5956860267846569E-11</v>
      </c>
      <c r="AC152" s="22">
        <f t="shared" si="111"/>
        <v>81.423461821874071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>
        <f>VLOOKUP(A152,'Données projet'!$A$61:$I$81,2,0)</f>
        <v>385.84</v>
      </c>
      <c r="AG152" s="12">
        <f>VLOOKUP(A152,'Données projet'!$A$61:$I$81,9,0)</f>
        <v>6.5224999999999937</v>
      </c>
      <c r="AH152" s="12">
        <f t="array" ref="AH152">INDEX(AG:AG,MIN(IF(ISNUMBER(AG152:AG348),ROW(AG152:AG348),"")))</f>
        <v>6.5224999999999937</v>
      </c>
      <c r="AI152" s="13">
        <f>IF('Données projet'!$A$62&gt;35,AI151+AH152-AQ151,IF(A152&lt;'Données projet'!$A$62,$AF$205^A152,IF(A152='Données projet'!$A$62,'Données projet'!$B$62,AI151+AH152-AQ151)))</f>
        <v>385.83999999999975</v>
      </c>
      <c r="AJ152" s="13">
        <f>AI152*VLOOKUP('Données projet'!$B$10,Paramètres!$A$1:$I$89,3,0)*VLOOKUP('Données projet'!$B$10,Paramètres!$A$1:$I$89,5,0)</f>
        <v>349.10803199999975</v>
      </c>
      <c r="AK152" s="13">
        <f t="shared" si="143"/>
        <v>81.378818495893242</v>
      </c>
      <c r="AL152" s="20">
        <f t="shared" si="112"/>
        <v>749.76459794701361</v>
      </c>
      <c r="AM152" s="59">
        <f t="shared" si="113"/>
        <v>1043.097931280347</v>
      </c>
      <c r="AN152" s="59">
        <f ca="1">AVERAGE(OFFSET($AM$3,0,0,'Données projet'!$E$10+1,1))-AVERAGE(OFFSET($H$3,0,0,'Données projet'!$E$10+1,1))</f>
        <v>321.13571401604742</v>
      </c>
      <c r="AO152" s="59">
        <f t="shared" si="144"/>
        <v>225.55225019382294</v>
      </c>
      <c r="AP152" s="15">
        <f>IF(ISNA(VLOOKUP(A152,'Données projet'!$A$61:$I$81,3,0)),0,VLOOKUP(A152,'Données projet'!$A$61:$I$81,3,0))</f>
        <v>12</v>
      </c>
      <c r="AQ152" s="15">
        <f>IF(ISNA(VLOOKUP(A152,'Données projet'!$A$61:$I$81,4,0)),0,VLOOKUP(A152,'Données projet'!$A$61:$I$81,4,0))</f>
        <v>153.56</v>
      </c>
      <c r="AR152" s="16">
        <f>IF(ISNA(VLOOKUP(A152,'Données projet'!$A$61:$I$81,5,0)),0%,VLOOKUP(A152,'Données projet'!$A$61:$I$81,5,0)*VLOOKUP('Données projet'!$B$10,Paramètres!$A$1:$I$89,7,0))</f>
        <v>0.30099999999999999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88.896440554595856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88.896440554595856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72.150000000000077</v>
      </c>
      <c r="D153" s="11">
        <f t="shared" si="140"/>
        <v>20.206434660280181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712.92686404426877</v>
      </c>
      <c r="H153" s="67">
        <f t="shared" si="110"/>
        <v>454.18745703332144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470.58485082099065</v>
      </c>
      <c r="T153" s="59">
        <f t="shared" si="142"/>
        <v>498.77167507743559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75.459588264505115</v>
      </c>
      <c r="AA153" s="21">
        <f>EXP(-LN(2)/25)*AA152+(1-EXP(-LN(2)/25))/(LN(2)/25)*Calculateur!V153*Calculateur!X153*VLOOKUP('Données projet'!$B$9,Paramètres!$A$1:$I$89,3,0)*0.475*44/12</f>
        <v>4.33275015888103</v>
      </c>
      <c r="AB153" s="21">
        <f>EXP(-LN(2)/2)*AB152+(1-EXP(-LN(2)/2))/(LN(2)/2)*V153*Y153*VLOOKUP('Données projet'!$B$9,Paramètres!$A$1:$I$89,3,0)*0.475*44/12</f>
        <v>1.8354271913705973E-11</v>
      </c>
      <c r="AC153" s="22">
        <f t="shared" si="111"/>
        <v>79.792338423404502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3.8900000000000077</v>
      </c>
      <c r="AI153" s="13">
        <f>IF('Données projet'!$A$62&gt;35,AI152+AH153-AQ152,IF(A153&lt;'Données projet'!$A$62,$AF$205^A153,IF(A153='Données projet'!$A$62,'Données projet'!$B$62,AI152+AH153-AQ152)))</f>
        <v>236.16999999999973</v>
      </c>
      <c r="AJ153" s="13">
        <f>AI153*VLOOKUP('Données projet'!$B$10,Paramètres!$A$1:$I$89,3,0)*VLOOKUP('Données projet'!$B$10,Paramètres!$A$1:$I$89,5,0)</f>
        <v>213.68661599999973</v>
      </c>
      <c r="AK153" s="13">
        <f t="shared" si="143"/>
        <v>52.740386260338589</v>
      </c>
      <c r="AL153" s="20">
        <f t="shared" si="112"/>
        <v>464.02702893675587</v>
      </c>
      <c r="AM153" s="59">
        <f t="shared" si="113"/>
        <v>757.36036227008913</v>
      </c>
      <c r="AN153" s="59">
        <f ca="1">AVERAGE(OFFSET($AM$3,0,0,'Données projet'!$E$10+1,1))-AVERAGE(OFFSET($H$3,0,0,'Données projet'!$E$10+1,1))</f>
        <v>321.13571401604742</v>
      </c>
      <c r="AO153" s="59">
        <f t="shared" si="144"/>
        <v>225.55225019382294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87.153235576795041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87.153235576795041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72.631000000000071</v>
      </c>
      <c r="D154" s="11">
        <f t="shared" si="140"/>
        <v>20.325417962163076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717.558314093891</v>
      </c>
      <c r="H154" s="67">
        <f t="shared" si="110"/>
        <v>455.23242795076749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470.58485082099065</v>
      </c>
      <c r="T154" s="59">
        <f t="shared" si="142"/>
        <v>498.77167507743559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73.979871764442336</v>
      </c>
      <c r="AA154" s="21">
        <f>EXP(-LN(2)/25)*AA153+(1-EXP(-LN(2)/25))/(LN(2)/25)*Calculateur!V154*Calculateur!X154*VLOOKUP('Données projet'!$B$9,Paramètres!$A$1:$I$89,3,0)*0.475*44/12</f>
        <v>4.2142708779370004</v>
      </c>
      <c r="AB154" s="21">
        <f>EXP(-LN(2)/2)*AB153+(1-EXP(-LN(2)/2))/(LN(2)/2)*V154*Y154*VLOOKUP('Données projet'!$B$9,Paramètres!$A$1:$I$89,3,0)*0.475*44/12</f>
        <v>1.2978430133923285E-11</v>
      </c>
      <c r="AC154" s="22">
        <f t="shared" ref="AC154:AC203" si="163">SUM(Z154:AB154)</f>
        <v>78.194142642392308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3.8900000000000077</v>
      </c>
      <c r="AI154" s="13">
        <f>IF('Données projet'!$A$62&gt;35,AI153+AH154-AQ153,IF(A154&lt;'Données projet'!$A$62,$AF$205^A154,IF(A154='Données projet'!$A$62,'Données projet'!$B$62,AI153+AH154-AQ153)))</f>
        <v>240.05999999999975</v>
      </c>
      <c r="AJ154" s="13">
        <f>AI154*VLOOKUP('Données projet'!$B$10,Paramètres!$A$1:$I$89,3,0)*VLOOKUP('Données projet'!$B$10,Paramètres!$A$1:$I$89,5,0)</f>
        <v>217.20628799999974</v>
      </c>
      <c r="AK154" s="13">
        <f t="shared" ref="AK154:AK203" si="164">EXP(-1.0587+0.8836*LN(AJ154)+0.284)</f>
        <v>53.507235326386677</v>
      </c>
      <c r="AL154" s="20">
        <f t="shared" ref="AL154:AL203" si="165">(AJ154+AK154)*0.475*44/12</f>
        <v>471.49271979345627</v>
      </c>
      <c r="AM154" s="59">
        <f t="shared" si="113"/>
        <v>764.82605312678959</v>
      </c>
      <c r="AN154" s="59">
        <f ca="1">AVERAGE(OFFSET($AM$3,0,0,'Données projet'!$E$10+1,1))-AVERAGE(OFFSET($H$3,0,0,'Données projet'!$E$10+1,1))</f>
        <v>321.13571401604742</v>
      </c>
      <c r="AO154" s="59">
        <f t="shared" si="144"/>
        <v>225.55225019382294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85.444213785358855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85.444213785358855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73.112000000000066</v>
      </c>
      <c r="D155" s="11">
        <f t="shared" si="140"/>
        <v>20.444309579101091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722.18905640007915</v>
      </c>
      <c r="H155" s="67">
        <f t="shared" si="110"/>
        <v>456.27723918360118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470.58485082099065</v>
      </c>
      <c r="T155" s="59">
        <f t="shared" si="142"/>
        <v>498.77167507743559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72.529171602407843</v>
      </c>
      <c r="AA155" s="21">
        <f>EXP(-LN(2)/25)*AA154+(1-EXP(-LN(2)/25))/(LN(2)/25)*Calculateur!V155*Calculateur!X155*VLOOKUP('Données projet'!$B$9,Paramètres!$A$1:$I$89,3,0)*0.475*44/12</f>
        <v>4.0990314191609398</v>
      </c>
      <c r="AB155" s="21">
        <f>EXP(-LN(2)/2)*AB154+(1-EXP(-LN(2)/2))/(LN(2)/2)*V155*Y155*VLOOKUP('Données projet'!$B$9,Paramètres!$A$1:$I$89,3,0)*0.475*44/12</f>
        <v>9.1771359568529865E-12</v>
      </c>
      <c r="AC155" s="22">
        <f t="shared" si="163"/>
        <v>76.62820302157796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3.8900000000000077</v>
      </c>
      <c r="AI155" s="13">
        <f>IF('Données projet'!$A$62&gt;35,AI154+AH155-AQ154,IF(A155&lt;'Données projet'!$A$62,$AF$205^A155,IF(A155='Données projet'!$A$62,'Données projet'!$B$62,AI154+AH155-AQ154)))</f>
        <v>243.94999999999976</v>
      </c>
      <c r="AJ155" s="13">
        <f>AI155*VLOOKUP('Données projet'!$B$10,Paramètres!$A$1:$I$89,3,0)*VLOOKUP('Données projet'!$B$10,Paramètres!$A$1:$I$89,5,0)</f>
        <v>220.72595999999976</v>
      </c>
      <c r="AK155" s="13">
        <f t="shared" si="164"/>
        <v>54.272639274623444</v>
      </c>
      <c r="AL155" s="20">
        <f t="shared" si="165"/>
        <v>478.95589373663535</v>
      </c>
      <c r="AM155" s="59">
        <f t="shared" si="113"/>
        <v>772.28922706996866</v>
      </c>
      <c r="AN155" s="59">
        <f ca="1">AVERAGE(OFFSET($AM$3,0,0,'Données projet'!$E$10+1,1))-AVERAGE(OFFSET($H$3,0,0,'Données projet'!$E$10+1,1))</f>
        <v>321.13571401604742</v>
      </c>
      <c r="AO155" s="59">
        <f t="shared" si="144"/>
        <v>225.55225019382294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83.768704868852367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83.768704868852367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73.59300000000006</v>
      </c>
      <c r="D156" s="11">
        <f t="shared" si="140"/>
        <v>20.563110184247964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726.81909615910752</v>
      </c>
      <c r="H156" s="67">
        <f t="shared" si="110"/>
        <v>457.32189190423196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470.58485082099065</v>
      </c>
      <c r="T156" s="59">
        <f t="shared" si="142"/>
        <v>498.77167507743559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71.106918785711116</v>
      </c>
      <c r="AA156" s="21">
        <f>EXP(-LN(2)/25)*AA155+(1-EXP(-LN(2)/25))/(LN(2)/25)*Calculateur!V156*Calculateur!X156*VLOOKUP('Données projet'!$B$9,Paramètres!$A$1:$I$89,3,0)*0.475*44/12</f>
        <v>3.9869431894452902</v>
      </c>
      <c r="AB156" s="21">
        <f>EXP(-LN(2)/2)*AB155+(1-EXP(-LN(2)/2))/(LN(2)/2)*V156*Y156*VLOOKUP('Données projet'!$B$9,Paramètres!$A$1:$I$89,3,0)*0.475*44/12</f>
        <v>6.4892150669616423E-12</v>
      </c>
      <c r="AC156" s="22">
        <f t="shared" si="163"/>
        <v>75.093861975162895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>
        <f>VLOOKUP(A156,'Données projet'!$A$61:$I$81,2,0)</f>
        <v>247.84</v>
      </c>
      <c r="AG156" s="12">
        <f>VLOOKUP(A156,'Données projet'!$A$61:$I$81,9,0)</f>
        <v>3.8900000000000077</v>
      </c>
      <c r="AH156" s="12">
        <f t="array" ref="AH156">INDEX(AG:AG,MIN(IF(ISNUMBER(AG156:AG352),ROW(AG156:AG352),"")))</f>
        <v>3.8900000000000077</v>
      </c>
      <c r="AI156" s="13">
        <f>IF('Données projet'!$A$62&gt;35,AI155+AH156-AQ155,IF(A156&lt;'Données projet'!$A$62,$AF$205^A156,IF(A156='Données projet'!$A$62,'Données projet'!$B$62,AI155+AH156-AQ155)))</f>
        <v>247.83999999999978</v>
      </c>
      <c r="AJ156" s="13">
        <f>AI156*VLOOKUP('Données projet'!$B$10,Paramètres!$A$1:$I$89,3,0)*VLOOKUP('Données projet'!$B$10,Paramètres!$A$1:$I$89,5,0)</f>
        <v>224.24563199999977</v>
      </c>
      <c r="AK156" s="13">
        <f t="shared" si="164"/>
        <v>55.036623809359014</v>
      </c>
      <c r="AL156" s="20">
        <f t="shared" si="165"/>
        <v>486.41659553463325</v>
      </c>
      <c r="AM156" s="59">
        <f t="shared" si="113"/>
        <v>779.74992886796656</v>
      </c>
      <c r="AN156" s="59">
        <f ca="1">AVERAGE(OFFSET($AM$3,0,0,'Données projet'!$E$10+1,1))-AVERAGE(OFFSET($H$3,0,0,'Données projet'!$E$10+1,1))</f>
        <v>321.13571401604742</v>
      </c>
      <c r="AO156" s="59">
        <f t="shared" si="144"/>
        <v>225.55225019382294</v>
      </c>
      <c r="AP156" s="15">
        <f>IF(ISNA(VLOOKUP(A156,'Données projet'!$A$61:$I$81,3,0)),0,VLOOKUP(A156,'Données projet'!$A$61:$I$81,3,0))</f>
        <v>13</v>
      </c>
      <c r="AQ156" s="15">
        <f>IF(ISNA(VLOOKUP(A156,'Données projet'!$A$61:$I$81,4,0)),0,VLOOKUP(A156,'Données projet'!$A$61:$I$81,4,0))</f>
        <v>89.29</v>
      </c>
      <c r="AR156" s="16">
        <f>IF(ISNA(VLOOKUP(A156,'Données projet'!$A$61:$I$81,5,0)),0%,VLOOKUP(A156,'Données projet'!$A$61:$I$81,5,0)*VLOOKUP('Données projet'!$B$10,Paramètres!$A$1:$I$89,7,0))</f>
        <v>0.30099999999999999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109.00851244033525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109.00851244033525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74.074000000000055</v>
      </c>
      <c r="D157" s="11">
        <f t="shared" si="140"/>
        <v>20.681820441449297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731.44843849539848</v>
      </c>
      <c r="H157" s="67">
        <f t="shared" si="110"/>
        <v>458.36638726885758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470.58485082099065</v>
      </c>
      <c r="T157" s="59">
        <f t="shared" si="142"/>
        <v>498.77167507743559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69.712555479261255</v>
      </c>
      <c r="AA157" s="21">
        <f>EXP(-LN(2)/25)*AA156+(1-EXP(-LN(2)/25))/(LN(2)/25)*Calculateur!V157*Calculateur!X157*VLOOKUP('Données projet'!$B$9,Paramètres!$A$1:$I$89,3,0)*0.475*44/12</f>
        <v>3.8779200182656788</v>
      </c>
      <c r="AB157" s="21">
        <f>EXP(-LN(2)/2)*AB156+(1-EXP(-LN(2)/2))/(LN(2)/2)*V157*Y157*VLOOKUP('Données projet'!$B$9,Paramètres!$A$1:$I$89,3,0)*0.475*44/12</f>
        <v>4.5885679784264932E-12</v>
      </c>
      <c r="AC157" s="22">
        <f t="shared" si="163"/>
        <v>73.590475497531529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2.3049999999999997</v>
      </c>
      <c r="AI157" s="13">
        <f>IF('Données projet'!$A$62&gt;35,AI156+AH157-AQ156,IF(A157&lt;'Données projet'!$A$62,$AF$205^A157,IF(A157='Données projet'!$A$62,'Données projet'!$B$62,AI156+AH157-AQ156)))</f>
        <v>160.85499999999979</v>
      </c>
      <c r="AJ157" s="13">
        <f>AI157*VLOOKUP('Données projet'!$B$10,Paramètres!$A$1:$I$89,3,0)*VLOOKUP('Données projet'!$B$10,Paramètres!$A$1:$I$89,5,0)</f>
        <v>145.54160399999981</v>
      </c>
      <c r="AK157" s="13">
        <f t="shared" si="164"/>
        <v>37.563626766587547</v>
      </c>
      <c r="AL157" s="20">
        <f t="shared" si="165"/>
        <v>318.90827691847295</v>
      </c>
      <c r="AM157" s="59">
        <f t="shared" si="113"/>
        <v>612.24161025180626</v>
      </c>
      <c r="AN157" s="59">
        <f ca="1">AVERAGE(OFFSET($AM$3,0,0,'Données projet'!$E$10+1,1))-AVERAGE(OFFSET($H$3,0,0,'Données projet'!$E$10+1,1))</f>
        <v>321.13571401604742</v>
      </c>
      <c r="AO157" s="59">
        <f t="shared" si="144"/>
        <v>225.55225019382294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106.87092200000767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106.87092200000767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74.555000000000049</v>
      </c>
      <c r="D158" s="11">
        <f t="shared" si="140"/>
        <v>20.800441005430773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736.07708846297476</v>
      </c>
      <c r="H158" s="67">
        <f t="shared" si="110"/>
        <v>459.41072641779198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470.58485082099065</v>
      </c>
      <c r="T158" s="59">
        <f t="shared" si="142"/>
        <v>498.77167507743559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68.345534786773243</v>
      </c>
      <c r="AA158" s="21">
        <f>EXP(-LN(2)/25)*AA157+(1-EXP(-LN(2)/25))/(LN(2)/25)*Calculateur!V158*Calculateur!X158*VLOOKUP('Données projet'!$B$9,Paramètres!$A$1:$I$89,3,0)*0.475*44/12</f>
        <v>3.7718780914352532</v>
      </c>
      <c r="AB158" s="21">
        <f>EXP(-LN(2)/2)*AB157+(1-EXP(-LN(2)/2))/(LN(2)/2)*V158*Y158*VLOOKUP('Données projet'!$B$9,Paramètres!$A$1:$I$89,3,0)*0.475*44/12</f>
        <v>3.2446075334808211E-12</v>
      </c>
      <c r="AC158" s="22">
        <f t="shared" si="163"/>
        <v>72.117412878211738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2.3049999999999997</v>
      </c>
      <c r="AI158" s="13">
        <f>IF('Données projet'!$A$62&gt;35,AI157+AH158-AQ157,IF(A158&lt;'Données projet'!$A$62,$AF$205^A158,IF(A158='Données projet'!$A$62,'Données projet'!$B$62,AI157+AH158-AQ157)))</f>
        <v>163.1599999999998</v>
      </c>
      <c r="AJ158" s="13">
        <f>AI158*VLOOKUP('Données projet'!$B$10,Paramètres!$A$1:$I$89,3,0)*VLOOKUP('Données projet'!$B$10,Paramètres!$A$1:$I$89,5,0)</f>
        <v>147.62716799999981</v>
      </c>
      <c r="AK158" s="13">
        <f t="shared" si="164"/>
        <v>38.038851636013931</v>
      </c>
      <c r="AL158" s="20">
        <f t="shared" si="165"/>
        <v>323.36831753272389</v>
      </c>
      <c r="AM158" s="59">
        <f t="shared" si="113"/>
        <v>616.70165086605721</v>
      </c>
      <c r="AN158" s="59">
        <f ca="1">AVERAGE(OFFSET($AM$3,0,0,'Données projet'!$E$10+1,1))-AVERAGE(OFFSET($H$3,0,0,'Données projet'!$E$10+1,1))</f>
        <v>321.13571401604742</v>
      </c>
      <c r="AO158" s="59">
        <f t="shared" si="144"/>
        <v>225.55225019382294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104.77524840441347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104.77524840441347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75.036000000000044</v>
      </c>
      <c r="D159" s="11">
        <f t="shared" si="140"/>
        <v>20.918972521981534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740.70505104687538</v>
      </c>
      <c r="H159" s="67">
        <f t="shared" si="110"/>
        <v>460.45491047578457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470.58485082099065</v>
      </c>
      <c r="T159" s="59">
        <f t="shared" si="142"/>
        <v>498.77167507743559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67.00532053626462</v>
      </c>
      <c r="AA159" s="21">
        <f>EXP(-LN(2)/25)*AA158+(1-EXP(-LN(2)/25))/(LN(2)/25)*Calculateur!V159*Calculateur!X159*VLOOKUP('Données projet'!$B$9,Paramètres!$A$1:$I$89,3,0)*0.475*44/12</f>
        <v>3.668735886670508</v>
      </c>
      <c r="AB159" s="21">
        <f>EXP(-LN(2)/2)*AB158+(1-EXP(-LN(2)/2))/(LN(2)/2)*V159*Y159*VLOOKUP('Données projet'!$B$9,Paramètres!$A$1:$I$89,3,0)*0.475*44/12</f>
        <v>2.2942839892132466E-12</v>
      </c>
      <c r="AC159" s="22">
        <f t="shared" si="163"/>
        <v>70.674056422937412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2.3049999999999997</v>
      </c>
      <c r="AI159" s="13">
        <f>IF('Données projet'!$A$62&gt;35,AI158+AH159-AQ158,IF(A159&lt;'Données projet'!$A$62,$AF$205^A159,IF(A159='Données projet'!$A$62,'Données projet'!$B$62,AI158+AH159-AQ158)))</f>
        <v>165.4649999999998</v>
      </c>
      <c r="AJ159" s="13">
        <f>AI159*VLOOKUP('Données projet'!$B$10,Paramètres!$A$1:$I$89,3,0)*VLOOKUP('Données projet'!$B$10,Paramètres!$A$1:$I$89,5,0)</f>
        <v>149.71273199999982</v>
      </c>
      <c r="AK159" s="13">
        <f t="shared" si="164"/>
        <v>38.513295655433602</v>
      </c>
      <c r="AL159" s="20">
        <f t="shared" si="165"/>
        <v>327.8269981665465</v>
      </c>
      <c r="AM159" s="59">
        <f t="shared" si="113"/>
        <v>621.16033149987982</v>
      </c>
      <c r="AN159" s="59">
        <f ca="1">AVERAGE(OFFSET($AM$3,0,0,'Données projet'!$E$10+1,1))-AVERAGE(OFFSET($H$3,0,0,'Données projet'!$E$10+1,1))</f>
        <v>321.13571401604742</v>
      </c>
      <c r="AO159" s="59">
        <f t="shared" si="144"/>
        <v>225.55225019382294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102.72066968979421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102.72066968979421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75.517000000000039</v>
      </c>
      <c r="D160" s="11">
        <f t="shared" si="140"/>
        <v>21.037415628132592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745.33233116453266</v>
      </c>
      <c r="H160" s="67">
        <f t="shared" si="110"/>
        <v>461.49894055233096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470.58485082099065</v>
      </c>
      <c r="T160" s="59">
        <f t="shared" si="142"/>
        <v>498.77167507743559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65.691387069758491</v>
      </c>
      <c r="AA160" s="21">
        <f>EXP(-LN(2)/25)*AA159+(1-EXP(-LN(2)/25))/(LN(2)/25)*Calculateur!V160*Calculateur!X160*VLOOKUP('Données projet'!$B$9,Paramètres!$A$1:$I$89,3,0)*0.475*44/12</f>
        <v>3.5684141109190675</v>
      </c>
      <c r="AB160" s="21">
        <f>EXP(-LN(2)/2)*AB159+(1-EXP(-LN(2)/2))/(LN(2)/2)*V160*Y160*VLOOKUP('Données projet'!$B$9,Paramètres!$A$1:$I$89,3,0)*0.475*44/12</f>
        <v>1.6223037667404106E-12</v>
      </c>
      <c r="AC160" s="22">
        <f t="shared" si="163"/>
        <v>69.259801180679176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>
        <f>VLOOKUP(A160,'Données projet'!$A$61:$I$81,2,0)</f>
        <v>167.77</v>
      </c>
      <c r="AG160" s="12">
        <f>VLOOKUP(A160,'Données projet'!$A$61:$I$81,9,0)</f>
        <v>2.3049999999999997</v>
      </c>
      <c r="AH160" s="12">
        <f t="array" ref="AH160">INDEX(AG:AG,MIN(IF(ISNUMBER(AG160:AG356),ROW(AG160:AG356),"")))</f>
        <v>2.3049999999999997</v>
      </c>
      <c r="AI160" s="13">
        <f>IF('Données projet'!$A$62&gt;35,AI159+AH160-AQ159,IF(A160&lt;'Données projet'!$A$62,$AF$205^A160,IF(A160='Données projet'!$A$62,'Données projet'!$B$62,AI159+AH160-AQ159)))</f>
        <v>167.76999999999981</v>
      </c>
      <c r="AJ160" s="13">
        <f>AI160*VLOOKUP('Données projet'!$B$10,Paramètres!$A$1:$I$89,3,0)*VLOOKUP('Données projet'!$B$10,Paramètres!$A$1:$I$89,5,0)</f>
        <v>151.79829599999982</v>
      </c>
      <c r="AK160" s="13">
        <f t="shared" si="164"/>
        <v>38.986970959529849</v>
      </c>
      <c r="AL160" s="20">
        <f t="shared" si="165"/>
        <v>332.28433995451422</v>
      </c>
      <c r="AM160" s="59">
        <f t="shared" si="113"/>
        <v>625.61767328784754</v>
      </c>
      <c r="AN160" s="59">
        <f ca="1">AVERAGE(OFFSET($AM$3,0,0,'Données projet'!$E$10+1,1))-AVERAGE(OFFSET($H$3,0,0,'Données projet'!$E$10+1,1))</f>
        <v>321.13571401604742</v>
      </c>
      <c r="AO160" s="59">
        <f t="shared" si="144"/>
        <v>225.55225019382294</v>
      </c>
      <c r="AP160" s="15">
        <f>IF(ISNA(VLOOKUP(A160,'Données projet'!$A$61:$I$81,3,0)),0,VLOOKUP(A160,'Données projet'!$A$61:$I$81,3,0))</f>
        <v>14</v>
      </c>
      <c r="AQ160" s="15">
        <f>IF(ISNA(VLOOKUP(A160,'Données projet'!$A$61:$I$81,4,0)),0,VLOOKUP(A160,'Données projet'!$A$61:$I$81,4,0))</f>
        <v>57.95</v>
      </c>
      <c r="AR160" s="16">
        <f>IF(ISNA(VLOOKUP(A160,'Données projet'!$A$61:$I$81,5,0)),0%,VLOOKUP(A160,'Données projet'!$A$61:$I$81,5,0)*VLOOKUP('Données projet'!$B$10,Paramètres!$A$1:$I$89,7,0))</f>
        <v>0.30099999999999999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118.15333490147823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118.15333490147823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75.998000000000033</v>
      </c>
      <c r="D161" s="11">
        <f t="shared" si="140"/>
        <v>21.155770952330599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749.95893366711368</v>
      </c>
      <c r="H161" s="67">
        <f t="shared" si="110"/>
        <v>462.5428177419758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470.58485082099065</v>
      </c>
      <c r="T161" s="59">
        <f t="shared" si="142"/>
        <v>498.77167507743559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64.403219037110276</v>
      </c>
      <c r="AA161" s="21">
        <f>EXP(-LN(2)/25)*AA160+(1-EXP(-LN(2)/25))/(LN(2)/25)*Calculateur!V161*Calculateur!X161*VLOOKUP('Données projet'!$B$9,Paramètres!$A$1:$I$89,3,0)*0.475*44/12</f>
        <v>3.4708356394012432</v>
      </c>
      <c r="AB161" s="21">
        <f>EXP(-LN(2)/2)*AB160+(1-EXP(-LN(2)/2))/(LN(2)/2)*V161*Y161*VLOOKUP('Données projet'!$B$9,Paramètres!$A$1:$I$89,3,0)*0.475*44/12</f>
        <v>1.1471419946066233E-12</v>
      </c>
      <c r="AC161" s="22">
        <f t="shared" si="163"/>
        <v>67.874054676512671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1.4024999999999999</v>
      </c>
      <c r="AI161" s="13">
        <f>IF('Données projet'!$A$62&gt;35,AI160+AH161-AQ160,IF(A161&lt;'Données projet'!$A$62,$AF$205^A161,IF(A161='Données projet'!$A$62,'Données projet'!$B$62,AI160+AH161-AQ160)))</f>
        <v>111.22249999999981</v>
      </c>
      <c r="AJ161" s="13">
        <f>AI161*VLOOKUP('Données projet'!$B$10,Paramètres!$A$1:$I$89,3,0)*VLOOKUP('Données projet'!$B$10,Paramètres!$A$1:$I$89,5,0)</f>
        <v>100.63411799999983</v>
      </c>
      <c r="AK161" s="13">
        <f t="shared" si="164"/>
        <v>27.113011795358872</v>
      </c>
      <c r="AL161" s="20">
        <f t="shared" si="165"/>
        <v>222.4929177269164</v>
      </c>
      <c r="AM161" s="59">
        <f t="shared" si="113"/>
        <v>515.82625106024966</v>
      </c>
      <c r="AN161" s="59">
        <f ca="1">AVERAGE(OFFSET($AM$3,0,0,'Données projet'!$E$10+1,1))-AVERAGE(OFFSET($H$3,0,0,'Données projet'!$E$10+1,1))</f>
        <v>321.13571401604742</v>
      </c>
      <c r="AO161" s="59">
        <f t="shared" si="144"/>
        <v>225.55225019382294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115.83642007047857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115.83642007047857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76.479000000000028</v>
      </c>
      <c r="D162" s="11">
        <f t="shared" si="140"/>
        <v>21.274039114607188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754.58486334082772</v>
      </c>
      <c r="H162" s="67">
        <f t="shared" si="110"/>
        <v>463.58654312460754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470.58485082099065</v>
      </c>
      <c r="T162" s="59">
        <f t="shared" si="142"/>
        <v>498.77167507743559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63.140311193877373</v>
      </c>
      <c r="AA162" s="21">
        <f>EXP(-LN(2)/25)*AA161+(1-EXP(-LN(2)/25))/(LN(2)/25)*Calculateur!V162*Calculateur!X162*VLOOKUP('Données projet'!$B$9,Paramètres!$A$1:$I$89,3,0)*0.475*44/12</f>
        <v>3.3759254563185026</v>
      </c>
      <c r="AB162" s="21">
        <f>EXP(-LN(2)/2)*AB161+(1-EXP(-LN(2)/2))/(LN(2)/2)*V162*Y162*VLOOKUP('Données projet'!$B$9,Paramètres!$A$1:$I$89,3,0)*0.475*44/12</f>
        <v>8.1115188337020528E-13</v>
      </c>
      <c r="AC162" s="22">
        <f t="shared" si="163"/>
        <v>66.516236650196689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1.4024999999999999</v>
      </c>
      <c r="AI162" s="13">
        <f>IF('Données projet'!$A$62&gt;35,AI161+AH162-AQ161,IF(A162&lt;'Données projet'!$A$62,$AF$205^A162,IF(A162='Données projet'!$A$62,'Données projet'!$B$62,AI161+AH162-AQ161)))</f>
        <v>112.62499999999982</v>
      </c>
      <c r="AJ162" s="13">
        <f>AI162*VLOOKUP('Données projet'!$B$10,Paramètres!$A$1:$I$89,3,0)*VLOOKUP('Données projet'!$B$10,Paramètres!$A$1:$I$89,5,0)</f>
        <v>101.90309999999984</v>
      </c>
      <c r="AK162" s="13">
        <f t="shared" si="164"/>
        <v>27.414886227568356</v>
      </c>
      <c r="AL162" s="20">
        <f t="shared" si="165"/>
        <v>225.22882601301455</v>
      </c>
      <c r="AM162" s="59">
        <f t="shared" si="113"/>
        <v>518.56215934634793</v>
      </c>
      <c r="AN162" s="59">
        <f ca="1">AVERAGE(OFFSET($AM$3,0,0,'Données projet'!$E$10+1,1))-AVERAGE(OFFSET($H$3,0,0,'Données projet'!$E$10+1,1))</f>
        <v>321.13571401604742</v>
      </c>
      <c r="AO162" s="59">
        <f t="shared" si="144"/>
        <v>225.55225019382294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113.5649385261363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113.5649385261363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76.960000000000022</v>
      </c>
      <c r="D163" s="11">
        <f t="shared" si="140"/>
        <v>21.392220726743776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759.21012490819783</v>
      </c>
      <c r="H163" s="67">
        <f t="shared" si="110"/>
        <v>464.63011776574541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470.58485082099065</v>
      </c>
      <c r="T163" s="59">
        <f t="shared" si="142"/>
        <v>498.77167507743559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61.902168203152542</v>
      </c>
      <c r="AA163" s="21">
        <f>EXP(-LN(2)/25)*AA162+(1-EXP(-LN(2)/25))/(LN(2)/25)*Calculateur!V163*Calculateur!X163*VLOOKUP('Données projet'!$B$9,Paramètres!$A$1:$I$89,3,0)*0.475*44/12</f>
        <v>3.283610597183269</v>
      </c>
      <c r="AB163" s="21">
        <f>EXP(-LN(2)/2)*AB162+(1-EXP(-LN(2)/2))/(LN(2)/2)*V163*Y163*VLOOKUP('Données projet'!$B$9,Paramètres!$A$1:$I$89,3,0)*0.475*44/12</f>
        <v>5.7357099730331166E-13</v>
      </c>
      <c r="AC163" s="22">
        <f t="shared" si="163"/>
        <v>65.185778800336379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1.4024999999999999</v>
      </c>
      <c r="AI163" s="13">
        <f>IF('Données projet'!$A$62&gt;35,AI162+AH163-AQ162,IF(A163&lt;'Données projet'!$A$62,$AF$205^A163,IF(A163='Données projet'!$A$62,'Données projet'!$B$62,AI162+AH163-AQ162)))</f>
        <v>114.02749999999982</v>
      </c>
      <c r="AJ163" s="13">
        <f>AI163*VLOOKUP('Données projet'!$B$10,Paramètres!$A$1:$I$89,3,0)*VLOOKUP('Données projet'!$B$10,Paramètres!$A$1:$I$89,5,0)</f>
        <v>103.17208199999983</v>
      </c>
      <c r="AK163" s="13">
        <f t="shared" si="164"/>
        <v>27.716323394967262</v>
      </c>
      <c r="AL163" s="20">
        <f t="shared" si="165"/>
        <v>227.96397272956767</v>
      </c>
      <c r="AM163" s="59">
        <f t="shared" si="113"/>
        <v>521.29730606290104</v>
      </c>
      <c r="AN163" s="59">
        <f ca="1">AVERAGE(OFFSET($AM$3,0,0,'Données projet'!$E$10+1,1))-AVERAGE(OFFSET($H$3,0,0,'Données projet'!$E$10+1,1))</f>
        <v>321.13571401604742</v>
      </c>
      <c r="AO163" s="59">
        <f t="shared" si="144"/>
        <v>225.55225019382294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111.33799934941165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111.33799934941165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77.441000000000017</v>
      </c>
      <c r="D164" s="11">
        <f t="shared" si="140"/>
        <v>21.51031639243222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763.83472302930147</v>
      </c>
      <c r="H164" s="67">
        <f t="shared" si="110"/>
        <v>465.67354271681944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470.58485082099065</v>
      </c>
      <c r="T164" s="59">
        <f t="shared" si="142"/>
        <v>498.77167507743559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60.688304441283172</v>
      </c>
      <c r="AA164" s="21">
        <f>EXP(-LN(2)/25)*AA163+(1-EXP(-LN(2)/25))/(LN(2)/25)*Calculateur!V164*Calculateur!X164*VLOOKUP('Données projet'!$B$9,Paramètres!$A$1:$I$89,3,0)*0.475*44/12</f>
        <v>3.1938200927257161</v>
      </c>
      <c r="AB164" s="21">
        <f>EXP(-LN(2)/2)*AB163+(1-EXP(-LN(2)/2))/(LN(2)/2)*V164*Y164*VLOOKUP('Données projet'!$B$9,Paramètres!$A$1:$I$89,3,0)*0.475*44/12</f>
        <v>4.0557594168510264E-13</v>
      </c>
      <c r="AC164" s="22">
        <f t="shared" si="163"/>
        <v>63.882124534009293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>
        <f>VLOOKUP(A164,'Données projet'!$A$61:$I$81,2,0)</f>
        <v>115.43</v>
      </c>
      <c r="AG164" s="12">
        <f>VLOOKUP(A164,'Données projet'!$A$61:$I$81,9,0)</f>
        <v>1.4024999999999999</v>
      </c>
      <c r="AH164" s="12">
        <f t="array" ref="AH164">INDEX(AG:AG,MIN(IF(ISNUMBER(AG164:AG360),ROW(AG164:AG360),"")))</f>
        <v>1.4024999999999999</v>
      </c>
      <c r="AI164" s="13">
        <f>IF('Données projet'!$A$62&gt;35,AI163+AH164-AQ163,IF(A164&lt;'Données projet'!$A$62,$AF$205^A164,IF(A164='Données projet'!$A$62,'Données projet'!$B$62,AI163+AH164-AQ163)))</f>
        <v>115.42999999999982</v>
      </c>
      <c r="AJ164" s="13">
        <f>AI164*VLOOKUP('Données projet'!$B$10,Paramètres!$A$1:$I$89,3,0)*VLOOKUP('Données projet'!$B$10,Paramètres!$A$1:$I$89,5,0)</f>
        <v>104.44106399999984</v>
      </c>
      <c r="AK164" s="13">
        <f t="shared" si="164"/>
        <v>28.017329297798057</v>
      </c>
      <c r="AL164" s="20">
        <f t="shared" si="165"/>
        <v>230.69836832699798</v>
      </c>
      <c r="AM164" s="59">
        <f t="shared" si="113"/>
        <v>524.03170166033124</v>
      </c>
      <c r="AN164" s="59">
        <f ca="1">AVERAGE(OFFSET($AM$3,0,0,'Données projet'!$E$10+1,1))-AVERAGE(OFFSET($H$3,0,0,'Données projet'!$E$10+1,1))</f>
        <v>321.13571401604742</v>
      </c>
      <c r="AO164" s="59">
        <f t="shared" si="144"/>
        <v>225.55225019382294</v>
      </c>
      <c r="AP164" s="15">
        <f>IF(ISNA(VLOOKUP(A164,'Données projet'!$A$61:$I$81,3,0)),0,VLOOKUP(A164,'Données projet'!$A$61:$I$81,3,0))</f>
        <v>15</v>
      </c>
      <c r="AQ164" s="15">
        <f>IF(ISNA(VLOOKUP(A164,'Données projet'!$A$61:$I$81,4,0)),0,VLOOKUP(A164,'Données projet'!$A$61:$I$81,4,0))</f>
        <v>115.43</v>
      </c>
      <c r="AR164" s="16">
        <f>IF(ISNA(VLOOKUP(A164,'Données projet'!$A$61:$I$81,5,0)),0%,VLOOKUP(A164,'Données projet'!$A$61:$I$81,5,0)*VLOOKUP('Données projet'!$B$10,Paramètres!$A$1:$I$89,7,0))</f>
        <v>0.34400000000000003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148.87176600630715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148.87176600630715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77.922000000000011</v>
      </c>
      <c r="D165" s="11">
        <f t="shared" si="140"/>
        <v>21.628326707431373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768.45866230297918</v>
      </c>
      <c r="H165" s="67">
        <f t="shared" si="110"/>
        <v>466.71681901544298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470.58485082099065</v>
      </c>
      <c r="T165" s="59">
        <f t="shared" si="142"/>
        <v>498.77167507743559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59.498243807400272</v>
      </c>
      <c r="AA165" s="21">
        <f>EXP(-LN(2)/25)*AA164+(1-EXP(-LN(2)/25))/(LN(2)/25)*Calculateur!V165*Calculateur!X165*VLOOKUP('Données projet'!$B$9,Paramètres!$A$1:$I$89,3,0)*0.475*44/12</f>
        <v>3.1064849143344322</v>
      </c>
      <c r="AB165" s="21">
        <f>EXP(-LN(2)/2)*AB164+(1-EXP(-LN(2)/2))/(LN(2)/2)*V165*Y165*VLOOKUP('Données projet'!$B$9,Paramètres!$A$1:$I$89,3,0)*0.475*44/12</f>
        <v>2.8678549865165583E-13</v>
      </c>
      <c r="AC165" s="22">
        <f t="shared" si="163"/>
        <v>62.604728721734986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-1.8474111129762605E-13</v>
      </c>
      <c r="AJ165" s="13">
        <f>AI165*VLOOKUP('Données projet'!$B$10,Paramètres!$A$1:$I$89,3,0)*VLOOKUP('Données projet'!$B$10,Paramètres!$A$1:$I$89,5,0)</f>
        <v>-1.6715375750209204E-13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321.13571401604742</v>
      </c>
      <c r="AO165" s="59">
        <f t="shared" si="144"/>
        <v>225.55225019382294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145.95248147773469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145.95248147773469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78.403000000000006</v>
      </c>
      <c r="D166" s="11">
        <f t="shared" si="140"/>
        <v>21.74625225971964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773.08194726801139</v>
      </c>
      <c r="H166" s="67">
        <f t="shared" si="110"/>
        <v>467.75994768567836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470.58485082099065</v>
      </c>
      <c r="T166" s="59">
        <f t="shared" si="142"/>
        <v>498.77167507743559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58.331519536682499</v>
      </c>
      <c r="AA166" s="21">
        <f>EXP(-LN(2)/25)*AA165+(1-EXP(-LN(2)/25))/(LN(2)/25)*Calculateur!V166*Calculateur!X166*VLOOKUP('Données projet'!$B$9,Paramètres!$A$1:$I$89,3,0)*0.475*44/12</f>
        <v>3.0215379209890156</v>
      </c>
      <c r="AB166" s="21">
        <f>EXP(-LN(2)/2)*AB165+(1-EXP(-LN(2)/2))/(LN(2)/2)*V166*Y166*VLOOKUP('Données projet'!$B$9,Paramètres!$A$1:$I$89,3,0)*0.475*44/12</f>
        <v>2.0278797084255132E-13</v>
      </c>
      <c r="AC166" s="22">
        <f t="shared" si="163"/>
        <v>61.353057457671724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-1.8474111129762605E-13</v>
      </c>
      <c r="AJ166" s="13">
        <f>AI166*VLOOKUP('Données projet'!$B$10,Paramètres!$A$1:$I$89,3,0)*VLOOKUP('Données projet'!$B$10,Paramètres!$A$1:$I$89,5,0)</f>
        <v>-1.6715375750209204E-13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321.13571401604742</v>
      </c>
      <c r="AO166" s="59">
        <f t="shared" si="144"/>
        <v>225.55225019382294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143.0904423381798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143.0904423381798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78.884</v>
      </c>
      <c r="D167" s="11">
        <f t="shared" si="140"/>
        <v>21.864093629643623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777.7045824042666</v>
      </c>
      <c r="H167" s="67">
        <f t="shared" si="110"/>
        <v>468.80292973829592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470.58485082099065</v>
      </c>
      <c r="T167" s="59">
        <f t="shared" si="142"/>
        <v>498.77167507743559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57.187674017281964</v>
      </c>
      <c r="AA167" s="21">
        <f>EXP(-LN(2)/25)*AA166+(1-EXP(-LN(2)/25))/(LN(2)/25)*Calculateur!V167*Calculateur!X167*VLOOKUP('Données projet'!$B$9,Paramètres!$A$1:$I$89,3,0)*0.475*44/12</f>
        <v>2.9389138076437975</v>
      </c>
      <c r="AB167" s="21">
        <f>EXP(-LN(2)/2)*AB166+(1-EXP(-LN(2)/2))/(LN(2)/2)*V167*Y167*VLOOKUP('Données projet'!$B$9,Paramètres!$A$1:$I$89,3,0)*0.475*44/12</f>
        <v>1.4339274932582791E-13</v>
      </c>
      <c r="AC167" s="22">
        <f t="shared" si="163"/>
        <v>60.126587824925906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-1.8474111129762605E-13</v>
      </c>
      <c r="AJ167" s="13">
        <f>AI167*VLOOKUP('Données projet'!$B$10,Paramètres!$A$1:$I$89,3,0)*VLOOKUP('Données projet'!$B$10,Paramètres!$A$1:$I$89,5,0)</f>
        <v>-1.6715375750209204E-13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321.13571401604742</v>
      </c>
      <c r="AO167" s="59">
        <f t="shared" si="144"/>
        <v>225.55225019382294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140.28452604048007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140.28452604048007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79.364999999999995</v>
      </c>
      <c r="D168" s="11">
        <f t="shared" si="140"/>
        <v>21.981851390063195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782.32657213382117</v>
      </c>
      <c r="H168" s="67">
        <f t="shared" si="110"/>
        <v>469.8457661710267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470.58485082099065</v>
      </c>
      <c r="T168" s="59">
        <f t="shared" si="142"/>
        <v>498.77167507743559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56.066258610840002</v>
      </c>
      <c r="AA168" s="21">
        <f>EXP(-LN(2)/25)*AA167+(1-EXP(-LN(2)/25))/(LN(2)/25)*Calculateur!V168*Calculateur!X168*VLOOKUP('Données projet'!$B$9,Paramètres!$A$1:$I$89,3,0)*0.475*44/12</f>
        <v>2.8585490550230177</v>
      </c>
      <c r="AB168" s="21">
        <f>EXP(-LN(2)/2)*AB167+(1-EXP(-LN(2)/2))/(LN(2)/2)*V168*Y168*VLOOKUP('Données projet'!$B$9,Paramètres!$A$1:$I$89,3,0)*0.475*44/12</f>
        <v>1.0139398542127566E-13</v>
      </c>
      <c r="AC168" s="22">
        <f t="shared" si="163"/>
        <v>58.924807665863121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-1.8474111129762605E-13</v>
      </c>
      <c r="AJ168" s="13">
        <f>AI168*VLOOKUP('Données projet'!$B$10,Paramètres!$A$1:$I$89,3,0)*VLOOKUP('Données projet'!$B$10,Paramètres!$A$1:$I$89,5,0)</f>
        <v>-1.6715375750209204E-13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321.13571401604742</v>
      </c>
      <c r="AO168" s="59">
        <f t="shared" si="144"/>
        <v>225.55225019382294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137.53363204993829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137.53363204993829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79.845999999999989</v>
      </c>
      <c r="D169" s="11">
        <f t="shared" si="140"/>
        <v>22.099526106492764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786.94792082204947</v>
      </c>
      <c r="H169" s="67">
        <f t="shared" si="110"/>
        <v>470.88845796880821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470.58485082099065</v>
      </c>
      <c r="T169" s="59">
        <f t="shared" si="142"/>
        <v>498.77167507743559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54.966833476522503</v>
      </c>
      <c r="AA169" s="21">
        <f>EXP(-LN(2)/25)*AA168+(1-EXP(-LN(2)/25))/(LN(2)/25)*Calculateur!V169*Calculateur!X169*VLOOKUP('Données projet'!$B$9,Paramètres!$A$1:$I$89,3,0)*0.475*44/12</f>
        <v>2.7803818807888518</v>
      </c>
      <c r="AB169" s="21">
        <f>EXP(-LN(2)/2)*AB168+(1-EXP(-LN(2)/2))/(LN(2)/2)*V169*Y169*VLOOKUP('Données projet'!$B$9,Paramètres!$A$1:$I$89,3,0)*0.475*44/12</f>
        <v>7.1696374662913957E-14</v>
      </c>
      <c r="AC169" s="22">
        <f t="shared" si="163"/>
        <v>57.747215357311426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-1.8474111129762605E-13</v>
      </c>
      <c r="AJ169" s="13">
        <f>AI169*VLOOKUP('Données projet'!$B$10,Paramètres!$A$1:$I$89,3,0)*VLOOKUP('Données projet'!$B$10,Paramètres!$A$1:$I$89,5,0)</f>
        <v>-1.6715375750209204E-13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321.13571401604742</v>
      </c>
      <c r="AO169" s="59">
        <f t="shared" si="144"/>
        <v>225.55225019382294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134.83668141267137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134.83668141267137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80.326999999999984</v>
      </c>
      <c r="D170" s="11">
        <f t="shared" si="140"/>
        <v>22.217118337239182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791.56863277868831</v>
      </c>
      <c r="H170" s="67">
        <f t="shared" si="110"/>
        <v>471.93100610402485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470.58485082099065</v>
      </c>
      <c r="T170" s="59">
        <f t="shared" si="142"/>
        <v>498.77167507743559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53.888967398505855</v>
      </c>
      <c r="AA170" s="21">
        <f>EXP(-LN(2)/25)*AA169+(1-EXP(-LN(2)/25))/(LN(2)/25)*Calculateur!V170*Calculateur!X170*VLOOKUP('Données projet'!$B$9,Paramètres!$A$1:$I$89,3,0)*0.475*44/12</f>
        <v>2.7043521920447522</v>
      </c>
      <c r="AB170" s="21">
        <f>EXP(-LN(2)/2)*AB169+(1-EXP(-LN(2)/2))/(LN(2)/2)*V170*Y170*VLOOKUP('Données projet'!$B$9,Paramètres!$A$1:$I$89,3,0)*0.475*44/12</f>
        <v>5.069699271063783E-14</v>
      </c>
      <c r="AC170" s="22">
        <f t="shared" si="163"/>
        <v>56.593319590550657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-1.8474111129762605E-13</v>
      </c>
      <c r="AJ170" s="13">
        <f>AI170*VLOOKUP('Données projet'!$B$10,Paramètres!$A$1:$I$89,3,0)*VLOOKUP('Données projet'!$B$10,Paramètres!$A$1:$I$89,5,0)</f>
        <v>-1.6715375750209204E-13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321.13571401604742</v>
      </c>
      <c r="AO170" s="59">
        <f t="shared" si="144"/>
        <v>225.55225019382294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132.1926163324238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132.1926163324238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80.807999999999979</v>
      </c>
      <c r="D171" s="11">
        <f t="shared" si="140"/>
        <v>22.334628633536209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796.18871225887597</v>
      </c>
      <c r="H171" s="67">
        <f t="shared" si="110"/>
        <v>472.97341153674216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470.58485082099065</v>
      </c>
      <c r="T171" s="59">
        <f t="shared" si="142"/>
        <v>498.77167507743559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52.832237616845724</v>
      </c>
      <c r="AA171" s="21">
        <f>EXP(-LN(2)/25)*AA170+(1-EXP(-LN(2)/25))/(LN(2)/25)*Calculateur!V171*Calculateur!X171*VLOOKUP('Données projet'!$B$9,Paramètres!$A$1:$I$89,3,0)*0.475*44/12</f>
        <v>2.6304015391375875</v>
      </c>
      <c r="AB171" s="21">
        <f>EXP(-LN(2)/2)*AB170+(1-EXP(-LN(2)/2))/(LN(2)/2)*V171*Y171*VLOOKUP('Données projet'!$B$9,Paramètres!$A$1:$I$89,3,0)*0.475*44/12</f>
        <v>3.5848187331456978E-14</v>
      </c>
      <c r="AC171" s="22">
        <f t="shared" si="163"/>
        <v>55.462639155983346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-1.8474111129762605E-13</v>
      </c>
      <c r="AJ171" s="13">
        <f>AI171*VLOOKUP('Données projet'!$B$10,Paramètres!$A$1:$I$89,3,0)*VLOOKUP('Données projet'!$B$10,Paramètres!$A$1:$I$89,5,0)</f>
        <v>-1.6715375750209204E-13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321.13571401604742</v>
      </c>
      <c r="AO171" s="59">
        <f t="shared" si="144"/>
        <v>225.55225019382294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129.60039975567943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129.60039975567943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81.288999999999973</v>
      </c>
      <c r="D172" s="11">
        <f t="shared" si="140"/>
        <v>22.452057539675593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800.80816346416225</v>
      </c>
      <c r="H172" s="67">
        <f t="shared" si="110"/>
        <v>474.0156752149349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470.58485082099065</v>
      </c>
      <c r="T172" s="59">
        <f t="shared" si="142"/>
        <v>498.77167507743559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51.796229661662423</v>
      </c>
      <c r="AA172" s="21">
        <f>EXP(-LN(2)/25)*AA171+(1-EXP(-LN(2)/25))/(LN(2)/25)*Calculateur!V172*Calculateur!X172*VLOOKUP('Données projet'!$B$9,Paramètres!$A$1:$I$89,3,0)*0.475*44/12</f>
        <v>2.558473070723065</v>
      </c>
      <c r="AB172" s="21">
        <f>EXP(-LN(2)/2)*AB171+(1-EXP(-LN(2)/2))/(LN(2)/2)*V172*Y172*VLOOKUP('Données projet'!$B$9,Paramètres!$A$1:$I$89,3,0)*0.475*44/12</f>
        <v>2.5348496355318915E-14</v>
      </c>
      <c r="AC172" s="22">
        <f t="shared" si="163"/>
        <v>54.354702732385519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-1.8474111129762605E-13</v>
      </c>
      <c r="AJ172" s="13">
        <f>AI172*VLOOKUP('Données projet'!$B$10,Paramètres!$A$1:$I$89,3,0)*VLOOKUP('Données projet'!$B$10,Paramètres!$A$1:$I$89,5,0)</f>
        <v>-1.6715375750209204E-13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321.13571401604742</v>
      </c>
      <c r="AO172" s="59">
        <f t="shared" si="144"/>
        <v>225.55225019382294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127.05901496490903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127.05901496490903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81.769999999999968</v>
      </c>
      <c r="D173" s="11">
        <f t="shared" si="140"/>
        <v>22.569405593135201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805.42699054349953</v>
      </c>
      <c r="H173" s="67">
        <f t="shared" si="110"/>
        <v>475.05779807471038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470.58485082099065</v>
      </c>
      <c r="T173" s="59">
        <f t="shared" si="142"/>
        <v>498.77167507743559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50.78053719057781</v>
      </c>
      <c r="AA173" s="21">
        <f>EXP(-LN(2)/25)*AA172+(1-EXP(-LN(2)/25))/(LN(2)/25)*Calculateur!V173*Calculateur!X173*VLOOKUP('Données projet'!$B$9,Paramètres!$A$1:$I$89,3,0)*0.475*44/12</f>
        <v>2.4885114900598913</v>
      </c>
      <c r="AB173" s="21">
        <f>EXP(-LN(2)/2)*AB172+(1-EXP(-LN(2)/2))/(LN(2)/2)*V173*Y173*VLOOKUP('Données projet'!$B$9,Paramètres!$A$1:$I$89,3,0)*0.475*44/12</f>
        <v>1.7924093665728489E-14</v>
      </c>
      <c r="AC173" s="22">
        <f t="shared" si="163"/>
        <v>53.269048680637724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-1.8474111129762605E-13</v>
      </c>
      <c r="AJ173" s="13">
        <f>AI173*VLOOKUP('Données projet'!$B$10,Paramètres!$A$1:$I$89,3,0)*VLOOKUP('Données projet'!$B$10,Paramètres!$A$1:$I$89,5,0)</f>
        <v>-1.6715375750209204E-13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321.13571401604742</v>
      </c>
      <c r="AO173" s="59">
        <f t="shared" si="144"/>
        <v>225.55225019382294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124.56746517979396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124.56746517979396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82.250999999999962</v>
      </c>
      <c r="D174" s="11">
        <f t="shared" si="140"/>
        <v>22.686673324703712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810.04519759420373</v>
      </c>
      <c r="H174" s="67">
        <f t="shared" si="110"/>
        <v>476.0997810405255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470.58485082099065</v>
      </c>
      <c r="T174" s="59">
        <f t="shared" si="142"/>
        <v>498.77167507743559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49.784761829339928</v>
      </c>
      <c r="AA174" s="21">
        <f>EXP(-LN(2)/25)*AA173+(1-EXP(-LN(2)/25))/(LN(2)/25)*Calculateur!V174*Calculateur!X174*VLOOKUP('Données projet'!$B$9,Paramètres!$A$1:$I$89,3,0)*0.475*44/12</f>
        <v>2.4204630124990718</v>
      </c>
      <c r="AB174" s="21">
        <f>EXP(-LN(2)/2)*AB173+(1-EXP(-LN(2)/2))/(LN(2)/2)*V174*Y174*VLOOKUP('Données projet'!$B$9,Paramètres!$A$1:$I$89,3,0)*0.475*44/12</f>
        <v>1.2674248177659458E-14</v>
      </c>
      <c r="AC174" s="22">
        <f t="shared" si="163"/>
        <v>52.205224841839012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-1.8474111129762605E-13</v>
      </c>
      <c r="AJ174" s="13">
        <f>AI174*VLOOKUP('Données projet'!$B$10,Paramètres!$A$1:$I$89,3,0)*VLOOKUP('Données projet'!$B$10,Paramètres!$A$1:$I$89,5,0)</f>
        <v>-1.6715375750209204E-13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321.13571401604742</v>
      </c>
      <c r="AO174" s="59">
        <f t="shared" si="144"/>
        <v>225.55225019382294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122.12477316626969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122.12477316626969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82.731999999999957</v>
      </c>
      <c r="D175" s="11">
        <f t="shared" si="140"/>
        <v>22.803861258602598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814.66278866289701</v>
      </c>
      <c r="H175" s="67">
        <f t="shared" si="110"/>
        <v>477.14162502539943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470.58485082099065</v>
      </c>
      <c r="T175" s="59">
        <f t="shared" si="142"/>
        <v>498.77167507743559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48.80851301557292</v>
      </c>
      <c r="AA175" s="21">
        <f>EXP(-LN(2)/25)*AA174+(1-EXP(-LN(2)/25))/(LN(2)/25)*Calculateur!V175*Calculateur!X175*VLOOKUP('Données projet'!$B$9,Paramètres!$A$1:$I$89,3,0)*0.475*44/12</f>
        <v>2.3542753241356671</v>
      </c>
      <c r="AB175" s="21">
        <f>EXP(-LN(2)/2)*AB174+(1-EXP(-LN(2)/2))/(LN(2)/2)*V175*Y175*VLOOKUP('Données projet'!$B$9,Paramètres!$A$1:$I$89,3,0)*0.475*44/12</f>
        <v>8.9620468328642446E-15</v>
      </c>
      <c r="AC175" s="22">
        <f t="shared" si="163"/>
        <v>51.162788339708591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-1.8474111129762605E-13</v>
      </c>
      <c r="AJ175" s="13">
        <f>AI175*VLOOKUP('Données projet'!$B$10,Paramètres!$A$1:$I$89,3,0)*VLOOKUP('Données projet'!$B$10,Paramètres!$A$1:$I$89,5,0)</f>
        <v>-1.6715375750209204E-13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321.13571401604742</v>
      </c>
      <c r="AO175" s="59">
        <f t="shared" si="144"/>
        <v>225.55225019382294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119.72998085323562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119.72998085323562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83.212999999999951</v>
      </c>
      <c r="D176" s="11">
        <f t="shared" si="140"/>
        <v>22.920969912605038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819.27976774642445</v>
      </c>
      <c r="H176" s="67">
        <f t="shared" si="110"/>
        <v>478.18333093112028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470.58485082099065</v>
      </c>
      <c r="T176" s="59">
        <f t="shared" si="142"/>
        <v>498.77167507743559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47.851407845590906</v>
      </c>
      <c r="AA176" s="21">
        <f>EXP(-LN(2)/25)*AA175+(1-EXP(-LN(2)/25))/(LN(2)/25)*Calculateur!V176*Calculateur!X176*VLOOKUP('Données projet'!$B$9,Paramètres!$A$1:$I$89,3,0)*0.475*44/12</f>
        <v>2.2898975415912188</v>
      </c>
      <c r="AB176" s="21">
        <f>EXP(-LN(2)/2)*AB175+(1-EXP(-LN(2)/2))/(LN(2)/2)*V176*Y176*VLOOKUP('Données projet'!$B$9,Paramètres!$A$1:$I$89,3,0)*0.475*44/12</f>
        <v>6.3371240888297288E-15</v>
      </c>
      <c r="AC176" s="22">
        <f t="shared" si="163"/>
        <v>50.141305387182129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-1.8474111129762605E-13</v>
      </c>
      <c r="AJ176" s="13">
        <f>AI176*VLOOKUP('Données projet'!$B$10,Paramètres!$A$1:$I$89,3,0)*VLOOKUP('Données projet'!$B$10,Paramètres!$A$1:$I$89,5,0)</f>
        <v>-1.6715375750209204E-13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321.13571401604742</v>
      </c>
      <c r="AO176" s="59">
        <f t="shared" si="144"/>
        <v>225.55225019382294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117.38214895678107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117.38214895678107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83.693999999999946</v>
      </c>
      <c r="D177" s="11">
        <f t="shared" si="140"/>
        <v>23.037999798152033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823.89613879275214</v>
      </c>
      <c r="H177" s="67">
        <f t="shared" si="110"/>
        <v>479.224899648448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470.58485082099065</v>
      </c>
      <c r="T177" s="59">
        <f t="shared" si="142"/>
        <v>498.77167507743559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46.913070924215731</v>
      </c>
      <c r="AA177" s="21">
        <f>EXP(-LN(2)/25)*AA176+(1-EXP(-LN(2)/25))/(LN(2)/25)*Calculateur!V177*Calculateur!X177*VLOOKUP('Données projet'!$B$9,Paramètres!$A$1:$I$89,3,0)*0.475*44/12</f>
        <v>2.2272801728959291</v>
      </c>
      <c r="AB177" s="21">
        <f>EXP(-LN(2)/2)*AB176+(1-EXP(-LN(2)/2))/(LN(2)/2)*V177*Y177*VLOOKUP('Données projet'!$B$9,Paramètres!$A$1:$I$89,3,0)*0.475*44/12</f>
        <v>4.4810234164321223E-15</v>
      </c>
      <c r="AC177" s="22">
        <f t="shared" si="163"/>
        <v>49.140351097111669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-1.8474111129762605E-13</v>
      </c>
      <c r="AJ177" s="13">
        <f>AI177*VLOOKUP('Données projet'!$B$10,Paramètres!$A$1:$I$89,3,0)*VLOOKUP('Données projet'!$B$10,Paramètres!$A$1:$I$89,5,0)</f>
        <v>-1.6715375750209204E-13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321.13571401604742</v>
      </c>
      <c r="AO177" s="59">
        <f t="shared" si="144"/>
        <v>225.55225019382294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115.08035661177993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115.08035661177993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84.17499999999994</v>
      </c>
      <c r="D178" s="11">
        <f t="shared" si="140"/>
        <v>23.154951420465835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828.5119057018411</v>
      </c>
      <c r="H178" s="67">
        <f t="shared" si="110"/>
        <v>480.26633205731122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470.58485082099065</v>
      </c>
      <c r="T178" s="59">
        <f t="shared" si="142"/>
        <v>498.77167507743559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45.993134217539712</v>
      </c>
      <c r="AA178" s="21">
        <f>EXP(-LN(2)/25)*AA177+(1-EXP(-LN(2)/25))/(LN(2)/25)*Calculateur!V178*Calculateur!X178*VLOOKUP('Données projet'!$B$9,Paramètres!$A$1:$I$89,3,0)*0.475*44/12</f>
        <v>2.1663750794405159</v>
      </c>
      <c r="AB178" s="21">
        <f>EXP(-LN(2)/2)*AB177+(1-EXP(-LN(2)/2))/(LN(2)/2)*V178*Y178*VLOOKUP('Données projet'!$B$9,Paramètres!$A$1:$I$89,3,0)*0.475*44/12</f>
        <v>3.1685620444148644E-15</v>
      </c>
      <c r="AC178" s="22">
        <f t="shared" si="163"/>
        <v>48.159509296980225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-1.8474111129762605E-13</v>
      </c>
      <c r="AJ178" s="13">
        <f>AI178*VLOOKUP('Données projet'!$B$10,Paramètres!$A$1:$I$89,3,0)*VLOOKUP('Données projet'!$B$10,Paramètres!$A$1:$I$89,5,0)</f>
        <v>-1.6715375750209204E-13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321.13571401604742</v>
      </c>
      <c r="AO178" s="59">
        <f t="shared" si="144"/>
        <v>225.55225019382294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112.82370101070957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112.82370101070957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84.655999999999935</v>
      </c>
      <c r="D179" s="11">
        <f t="shared" si="140"/>
        <v>23.271825278660558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833.12707232650212</v>
      </c>
      <c r="H179" s="67">
        <f t="shared" si="110"/>
        <v>481.3076290270003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470.58485082099065</v>
      </c>
      <c r="T179" s="59">
        <f t="shared" si="142"/>
        <v>498.77167507743559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45.091236908575624</v>
      </c>
      <c r="AA179" s="21">
        <f>EXP(-LN(2)/25)*AA178+(1-EXP(-LN(2)/25))/(LN(2)/25)*Calculateur!V179*Calculateur!X179*VLOOKUP('Données projet'!$B$9,Paramètres!$A$1:$I$89,3,0)*0.475*44/12</f>
        <v>2.1071354389685011</v>
      </c>
      <c r="AB179" s="21">
        <f>EXP(-LN(2)/2)*AB178+(1-EXP(-LN(2)/2))/(LN(2)/2)*V179*Y179*VLOOKUP('Données projet'!$B$9,Paramètres!$A$1:$I$89,3,0)*0.475*44/12</f>
        <v>2.2405117082160612E-15</v>
      </c>
      <c r="AC179" s="22">
        <f t="shared" si="163"/>
        <v>47.198372347544122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-1.8474111129762605E-13</v>
      </c>
      <c r="AJ179" s="13">
        <f>AI179*VLOOKUP('Données projet'!$B$10,Paramètres!$A$1:$I$89,3,0)*VLOOKUP('Données projet'!$B$10,Paramètres!$A$1:$I$89,5,0)</f>
        <v>-1.6715375750209204E-13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321.13571401604742</v>
      </c>
      <c r="AO179" s="59">
        <f t="shared" si="144"/>
        <v>225.55225019382294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110.61129704955219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110.61129704955219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85.136999999999929</v>
      </c>
      <c r="D180" s="11">
        <f t="shared" si="140"/>
        <v>23.388621865850421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837.74164247323097</v>
      </c>
      <c r="H180" s="67">
        <f t="shared" si="110"/>
        <v>482.34879141635599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470.58485082099065</v>
      </c>
      <c r="T180" s="59">
        <f t="shared" si="142"/>
        <v>498.77167507743559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44.207025255737278</v>
      </c>
      <c r="AA180" s="21">
        <f>EXP(-LN(2)/25)*AA179+(1-EXP(-LN(2)/25))/(LN(2)/25)*Calculateur!V180*Calculateur!X180*VLOOKUP('Données projet'!$B$9,Paramètres!$A$1:$I$89,3,0)*0.475*44/12</f>
        <v>2.0495157095804708</v>
      </c>
      <c r="AB180" s="21">
        <f>EXP(-LN(2)/2)*AB179+(1-EXP(-LN(2)/2))/(LN(2)/2)*V180*Y180*VLOOKUP('Données projet'!$B$9,Paramètres!$A$1:$I$89,3,0)*0.475*44/12</f>
        <v>1.5842810222074322E-15</v>
      </c>
      <c r="AC180" s="22">
        <f t="shared" si="163"/>
        <v>46.256540965317747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-1.8474111129762605E-13</v>
      </c>
      <c r="AJ180" s="13">
        <f>AI180*VLOOKUP('Données projet'!$B$10,Paramètres!$A$1:$I$89,3,0)*VLOOKUP('Données projet'!$B$10,Paramètres!$A$1:$I$89,5,0)</f>
        <v>-1.6715375750209204E-13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321.13571401604742</v>
      </c>
      <c r="AO180" s="59">
        <f t="shared" si="144"/>
        <v>225.55225019382294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108.44227698063993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108.44227698063993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85.617999999999924</v>
      </c>
      <c r="D181" s="11">
        <f t="shared" si="140"/>
        <v>23.505341669255241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842.35561990302233</v>
      </c>
      <c r="H181" s="67">
        <f t="shared" si="110"/>
        <v>483.38982007395271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470.58485082099065</v>
      </c>
      <c r="T181" s="59">
        <f t="shared" si="142"/>
        <v>498.77167507743559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43.340152454095239</v>
      </c>
      <c r="AA181" s="21">
        <f>EXP(-LN(2)/25)*AA180+(1-EXP(-LN(2)/25))/(LN(2)/25)*Calculateur!V181*Calculateur!X181*VLOOKUP('Données projet'!$B$9,Paramètres!$A$1:$I$89,3,0)*0.475*44/12</f>
        <v>1.9934715947226458</v>
      </c>
      <c r="AB181" s="21">
        <f>EXP(-LN(2)/2)*AB180+(1-EXP(-LN(2)/2))/(LN(2)/2)*V181*Y181*VLOOKUP('Données projet'!$B$9,Paramètres!$A$1:$I$89,3,0)*0.475*44/12</f>
        <v>1.1202558541080306E-15</v>
      </c>
      <c r="AC181" s="22">
        <f t="shared" si="163"/>
        <v>45.333624048817882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-1.8474111129762605E-13</v>
      </c>
      <c r="AJ181" s="13">
        <f>AI181*VLOOKUP('Données projet'!$B$10,Paramètres!$A$1:$I$89,3,0)*VLOOKUP('Données projet'!$B$10,Paramètres!$A$1:$I$89,5,0)</f>
        <v>-1.6715375750209204E-13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321.13571401604742</v>
      </c>
      <c r="AO181" s="59">
        <f t="shared" si="144"/>
        <v>225.55225019382294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106.31579007230744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106.31579007230744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86.098999999999918</v>
      </c>
      <c r="D182" s="11">
        <f t="shared" si="140"/>
        <v>23.621985170303667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846.96900833216796</v>
      </c>
      <c r="H182" s="67">
        <f t="shared" si="110"/>
        <v>484.43071583827873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470.58485082099065</v>
      </c>
      <c r="T182" s="59">
        <f t="shared" si="142"/>
        <v>498.77167507743559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42.490278499353202</v>
      </c>
      <c r="AA182" s="21">
        <f>EXP(-LN(2)/25)*AA181+(1-EXP(-LN(2)/25))/(LN(2)/25)*Calculateur!V182*Calculateur!X182*VLOOKUP('Données projet'!$B$9,Paramètres!$A$1:$I$89,3,0)*0.475*44/12</f>
        <v>1.9389600091328401</v>
      </c>
      <c r="AB182" s="21">
        <f>EXP(-LN(2)/2)*AB181+(1-EXP(-LN(2)/2))/(LN(2)/2)*V182*Y182*VLOOKUP('Données projet'!$B$9,Paramètres!$A$1:$I$89,3,0)*0.475*44/12</f>
        <v>7.921405111037161E-16</v>
      </c>
      <c r="AC182" s="22">
        <f t="shared" si="163"/>
        <v>44.429238508486044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-1.8474111129762605E-13</v>
      </c>
      <c r="AJ182" s="13">
        <f>AI182*VLOOKUP('Données projet'!$B$10,Paramètres!$A$1:$I$89,3,0)*VLOOKUP('Données projet'!$B$10,Paramètres!$A$1:$I$89,5,0)</f>
        <v>-1.6715375750209204E-13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321.13571401604742</v>
      </c>
      <c r="AO182" s="59">
        <f t="shared" si="144"/>
        <v>225.55225019382294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104.2310022752184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104.2310022752184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86.579999999999913</v>
      </c>
      <c r="D183" s="11">
        <f t="shared" si="140"/>
        <v>23.738552844733956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851.58181143303352</v>
      </c>
      <c r="H183" s="67">
        <f t="shared" si="110"/>
        <v>485.47147953791148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470.58485082099065</v>
      </c>
      <c r="T183" s="59">
        <f t="shared" si="142"/>
        <v>498.77167507743559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41.657070054491726</v>
      </c>
      <c r="AA183" s="21">
        <f>EXP(-LN(2)/25)*AA182+(1-EXP(-LN(2)/25))/(LN(2)/25)*Calculateur!V183*Calculateur!X183*VLOOKUP('Données projet'!$B$9,Paramètres!$A$1:$I$89,3,0)*0.475*44/12</f>
        <v>1.8859390457176273</v>
      </c>
      <c r="AB183" s="21">
        <f>EXP(-LN(2)/2)*AB182+(1-EXP(-LN(2)/2))/(LN(2)/2)*V183*Y183*VLOOKUP('Données projet'!$B$9,Paramètres!$A$1:$I$89,3,0)*0.475*44/12</f>
        <v>5.6012792705401529E-16</v>
      </c>
      <c r="AC183" s="22">
        <f t="shared" si="163"/>
        <v>43.543009100209353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-1.8474111129762605E-13</v>
      </c>
      <c r="AJ183" s="13">
        <f>AI183*VLOOKUP('Données projet'!$B$10,Paramètres!$A$1:$I$89,3,0)*VLOOKUP('Données projet'!$B$10,Paramètres!$A$1:$I$89,5,0)</f>
        <v>-1.6715375750209204E-13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321.13571401604742</v>
      </c>
      <c r="AO183" s="59">
        <f t="shared" si="144"/>
        <v>225.55225019382294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102.18709589523529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102.18709589523529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87.060999999999908</v>
      </c>
      <c r="D184" s="11">
        <f t="shared" si="140"/>
        <v>23.855045162692459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856.19403283481836</v>
      </c>
      <c r="H184" s="67">
        <f t="shared" si="110"/>
        <v>486.51211199168915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470.58485082099065</v>
      </c>
      <c r="T184" s="59">
        <f t="shared" si="142"/>
        <v>498.77167507743559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40.840200319027012</v>
      </c>
      <c r="AA184" s="21">
        <f>EXP(-LN(2)/25)*AA183+(1-EXP(-LN(2)/25))/(LN(2)/25)*Calculateur!V184*Calculateur!X184*VLOOKUP('Données projet'!$B$9,Paramètres!$A$1:$I$89,3,0)*0.475*44/12</f>
        <v>1.8343679433352547</v>
      </c>
      <c r="AB184" s="21">
        <f>EXP(-LN(2)/2)*AB183+(1-EXP(-LN(2)/2))/(LN(2)/2)*V184*Y184*VLOOKUP('Données projet'!$B$9,Paramètres!$A$1:$I$89,3,0)*0.475*44/12</f>
        <v>3.9607025555185805E-16</v>
      </c>
      <c r="AC184" s="22">
        <f t="shared" si="163"/>
        <v>42.674568262362264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-1.8474111129762605E-13</v>
      </c>
      <c r="AJ184" s="13">
        <f>AI184*VLOOKUP('Données projet'!$B$10,Paramètres!$A$1:$I$89,3,0)*VLOOKUP('Données projet'!$B$10,Paramètres!$A$1:$I$89,5,0)</f>
        <v>-1.6715375750209204E-13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321.13571401604742</v>
      </c>
      <c r="AO184" s="59">
        <f t="shared" si="144"/>
        <v>225.55225019382294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100.18326927270384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100.18326927270384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87.541999999999902</v>
      </c>
      <c r="D185" s="11">
        <f t="shared" si="140"/>
        <v>23.971462588829898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860.80567612430013</v>
      </c>
      <c r="H185" s="67">
        <f t="shared" si="110"/>
        <v>487.55261400887855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470.58485082099065</v>
      </c>
      <c r="T185" s="59">
        <f t="shared" si="142"/>
        <v>498.77167507743559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40.039348900833424</v>
      </c>
      <c r="AA185" s="21">
        <f>EXP(-LN(2)/25)*AA184+(1-EXP(-LN(2)/25))/(LN(2)/25)*Calculateur!V185*Calculateur!X185*VLOOKUP('Données projet'!$B$9,Paramètres!$A$1:$I$89,3,0)*0.475*44/12</f>
        <v>1.7842070554595344</v>
      </c>
      <c r="AB185" s="21">
        <f>EXP(-LN(2)/2)*AB184+(1-EXP(-LN(2)/2))/(LN(2)/2)*V185*Y185*VLOOKUP('Données projet'!$B$9,Paramètres!$A$1:$I$89,3,0)*0.475*44/12</f>
        <v>2.8006396352700764E-16</v>
      </c>
      <c r="AC185" s="22">
        <f t="shared" si="163"/>
        <v>41.823555956292957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-1.8474111129762605E-13</v>
      </c>
      <c r="AJ185" s="13">
        <f>AI185*VLOOKUP('Données projet'!$B$10,Paramètres!$A$1:$I$89,3,0)*VLOOKUP('Données projet'!$B$10,Paramètres!$A$1:$I$89,5,0)</f>
        <v>-1.6715375750209204E-13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321.13571401604742</v>
      </c>
      <c r="AO185" s="59">
        <f t="shared" si="144"/>
        <v>225.55225019382294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98.218736468026677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98.218736468026677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88.022999999999897</v>
      </c>
      <c r="D186" s="11">
        <f t="shared" si="140"/>
        <v>24.087805582395383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865.41674484656005</v>
      </c>
      <c r="H186" s="67">
        <f t="shared" si="110"/>
        <v>488.59298638933842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470.58485082099065</v>
      </c>
      <c r="T186" s="59">
        <f t="shared" si="142"/>
        <v>498.77167507743559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39.254201690479476</v>
      </c>
      <c r="AA186" s="21">
        <f>EXP(-LN(2)/25)*AA185+(1-EXP(-LN(2)/25))/(LN(2)/25)*Calculateur!V186*Calculateur!X186*VLOOKUP('Données projet'!$B$9,Paramètres!$A$1:$I$89,3,0)*0.475*44/12</f>
        <v>1.7354178197006223</v>
      </c>
      <c r="AB186" s="21">
        <f>EXP(-LN(2)/2)*AB185+(1-EXP(-LN(2)/2))/(LN(2)/2)*V186*Y186*VLOOKUP('Données projet'!$B$9,Paramètres!$A$1:$I$89,3,0)*0.475*44/12</f>
        <v>1.9803512777592902E-16</v>
      </c>
      <c r="AC186" s="22">
        <f t="shared" si="163"/>
        <v>40.989619510180098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-1.8474111129762605E-13</v>
      </c>
      <c r="AJ186" s="13">
        <f>AI186*VLOOKUP('Données projet'!$B$10,Paramètres!$A$1:$I$89,3,0)*VLOOKUP('Données projet'!$B$10,Paramètres!$A$1:$I$89,5,0)</f>
        <v>-1.6715375750209204E-13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321.13571401604742</v>
      </c>
      <c r="AO186" s="59">
        <f t="shared" si="144"/>
        <v>225.55225019382294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96.29272695340255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96.29272695340255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87" s="11">
        <f t="shared" si="140"/>
        <v>24.204074597328436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870.02724250569247</v>
      </c>
      <c r="H187" s="67">
        <f t="shared" si="110"/>
        <v>489.63322992368012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470.58485082099065</v>
      </c>
      <c r="T187" s="59">
        <f t="shared" si="142"/>
        <v>498.77167507743559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38.484450738028059</v>
      </c>
      <c r="AA187" s="21">
        <f>EXP(-LN(2)/25)*AA186+(1-EXP(-LN(2)/25))/(LN(2)/25)*Calculateur!V187*Calculateur!X187*VLOOKUP('Données projet'!$B$9,Paramètres!$A$1:$I$89,3,0)*0.475*44/12</f>
        <v>1.687962728159252</v>
      </c>
      <c r="AB187" s="21">
        <f>EXP(-LN(2)/2)*AB186+(1-EXP(-LN(2)/2))/(LN(2)/2)*V187*Y187*VLOOKUP('Données projet'!$B$9,Paramètres!$A$1:$I$89,3,0)*0.475*44/12</f>
        <v>1.4003198176350382E-16</v>
      </c>
      <c r="AC187" s="22">
        <f t="shared" si="163"/>
        <v>40.172413466187308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-1.8474111129762605E-13</v>
      </c>
      <c r="AJ187" s="13">
        <f>AI187*VLOOKUP('Données projet'!$B$10,Paramètres!$A$1:$I$89,3,0)*VLOOKUP('Données projet'!$B$10,Paramètres!$A$1:$I$89,5,0)</f>
        <v>-1.6715375750209204E-13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321.13571401604742</v>
      </c>
      <c r="AO187" s="59">
        <f t="shared" si="144"/>
        <v>225.55225019382294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94.404485310610383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94.404485310610383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88.984999999999886</v>
      </c>
      <c r="D188" s="11">
        <f t="shared" si="140"/>
        <v>24.320270082348852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874.6371725654991</v>
      </c>
      <c r="H188" s="67">
        <f t="shared" si="110"/>
        <v>490.67334539342403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470.58485082099065</v>
      </c>
      <c r="T188" s="59">
        <f t="shared" si="142"/>
        <v>498.77167507743559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37.729794132252493</v>
      </c>
      <c r="AA188" s="21">
        <f>EXP(-LN(2)/25)*AA187+(1-EXP(-LN(2)/25))/(LN(2)/25)*Calculateur!V188*Calculateur!X188*VLOOKUP('Données projet'!$B$9,Paramètres!$A$1:$I$89,3,0)*0.475*44/12</f>
        <v>1.6418052985916352</v>
      </c>
      <c r="AB188" s="21">
        <f>EXP(-LN(2)/2)*AB187+(1-EXP(-LN(2)/2))/(LN(2)/2)*V188*Y188*VLOOKUP('Données projet'!$B$9,Paramètres!$A$1:$I$89,3,0)*0.475*44/12</f>
        <v>9.9017563887964512E-17</v>
      </c>
      <c r="AC188" s="22">
        <f t="shared" si="163"/>
        <v>39.371599430844128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-1.8474111129762605E-13</v>
      </c>
      <c r="AJ188" s="13">
        <f>AI188*VLOOKUP('Données projet'!$B$10,Paramètres!$A$1:$I$89,3,0)*VLOOKUP('Données projet'!$B$10,Paramètres!$A$1:$I$89,5,0)</f>
        <v>-1.6715375750209204E-13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321.13571401604742</v>
      </c>
      <c r="AO188" s="59">
        <f t="shared" si="144"/>
        <v>225.55225019382294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92.553270934719691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92.553270934719691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89.46599999999988</v>
      </c>
      <c r="D189" s="11">
        <f t="shared" si="140"/>
        <v>24.436392481044596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879.24653845016792</v>
      </c>
      <c r="H189" s="67">
        <f t="shared" si="110"/>
        <v>491.71333357115242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470.58485082099065</v>
      </c>
      <c r="T189" s="59">
        <f t="shared" si="142"/>
        <v>498.77167507743559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36.989935882221104</v>
      </c>
      <c r="AA189" s="21">
        <f>EXP(-LN(2)/25)*AA188+(1-EXP(-LN(2)/25))/(LN(2)/25)*Calculateur!V189*Calculateur!X189*VLOOKUP('Données projet'!$B$9,Paramètres!$A$1:$I$89,3,0)*0.475*44/12</f>
        <v>1.5969100463628587</v>
      </c>
      <c r="AB189" s="21">
        <f>EXP(-LN(2)/2)*AB188+(1-EXP(-LN(2)/2))/(LN(2)/2)*V189*Y189*VLOOKUP('Données projet'!$B$9,Paramètres!$A$1:$I$89,3,0)*0.475*44/12</f>
        <v>7.0015990881751911E-17</v>
      </c>
      <c r="AC189" s="22">
        <f t="shared" si="163"/>
        <v>38.586845928583962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-1.8474111129762605E-13</v>
      </c>
      <c r="AJ189" s="13">
        <f>AI189*VLOOKUP('Données projet'!$B$10,Paramètres!$A$1:$I$89,3,0)*VLOOKUP('Données projet'!$B$10,Paramètres!$A$1:$I$89,5,0)</f>
        <v>-1.6715375750209204E-13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321.13571401604742</v>
      </c>
      <c r="AO189" s="59">
        <f t="shared" si="144"/>
        <v>225.55225019382294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90.738357743610948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90.738357743610948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89.946999999999875</v>
      </c>
      <c r="D190" s="11">
        <f t="shared" si="140"/>
        <v>24.552442231957805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883.85534354493655</v>
      </c>
      <c r="H190" s="67">
        <f t="shared" si="110"/>
        <v>492.75319522065962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470.58485082099065</v>
      </c>
      <c r="T190" s="59">
        <f t="shared" si="142"/>
        <v>498.77167507743559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36.264585801203857</v>
      </c>
      <c r="AA190" s="21">
        <f>EXP(-LN(2)/25)*AA189+(1-EXP(-LN(2)/25))/(LN(2)/25)*Calculateur!V190*Calculateur!X190*VLOOKUP('Données projet'!$B$9,Paramètres!$A$1:$I$89,3,0)*0.475*44/12</f>
        <v>1.5532424571672168</v>
      </c>
      <c r="AB190" s="21">
        <f>EXP(-LN(2)/2)*AB189+(1-EXP(-LN(2)/2))/(LN(2)/2)*V190*Y190*VLOOKUP('Données projet'!$B$9,Paramètres!$A$1:$I$89,3,0)*0.475*44/12</f>
        <v>4.9508781943982256E-17</v>
      </c>
      <c r="AC190" s="22">
        <f t="shared" si="163"/>
        <v>37.817828258371073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-1.8474111129762605E-13</v>
      </c>
      <c r="AJ190" s="13">
        <f>AI190*VLOOKUP('Données projet'!$B$10,Paramètres!$A$1:$I$89,3,0)*VLOOKUP('Données projet'!$B$10,Paramètres!$A$1:$I$89,5,0)</f>
        <v>-1.6715375750209204E-13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321.13571401604742</v>
      </c>
      <c r="AO190" s="59">
        <f t="shared" si="144"/>
        <v>225.55225019382294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88.9590338931921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88.9590338931921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90.427999999999869</v>
      </c>
      <c r="D191" s="11">
        <f t="shared" si="140"/>
        <v>24.668419768668819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888.46359119674082</v>
      </c>
      <c r="H191" s="67">
        <f t="shared" si="110"/>
        <v>493.79293109709795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470.58485082099065</v>
      </c>
      <c r="T191" s="59">
        <f t="shared" si="142"/>
        <v>498.77167507743559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35.553459392855494</v>
      </c>
      <c r="AA191" s="21">
        <f>EXP(-LN(2)/25)*AA190+(1-EXP(-LN(2)/25))/(LN(2)/25)*Calculateur!V191*Calculateur!X191*VLOOKUP('Données projet'!$B$9,Paramètres!$A$1:$I$89,3,0)*0.475*44/12</f>
        <v>1.5107689604945085</v>
      </c>
      <c r="AB191" s="21">
        <f>EXP(-LN(2)/2)*AB190+(1-EXP(-LN(2)/2))/(LN(2)/2)*V191*Y191*VLOOKUP('Données projet'!$B$9,Paramètres!$A$1:$I$89,3,0)*0.475*44/12</f>
        <v>3.5007995440875956E-17</v>
      </c>
      <c r="AC191" s="22">
        <f t="shared" si="163"/>
        <v>37.064228353350003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-1.8474111129762605E-13</v>
      </c>
      <c r="AJ191" s="13">
        <f>AI191*VLOOKUP('Données projet'!$B$10,Paramètres!$A$1:$I$89,3,0)*VLOOKUP('Données projet'!$B$10,Paramètres!$A$1:$I$89,5,0)</f>
        <v>-1.6715375750209204E-13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321.13571401604742</v>
      </c>
      <c r="AO191" s="59">
        <f t="shared" si="144"/>
        <v>225.55225019382294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87.214601498199585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87.214601498199585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90.908999999999864</v>
      </c>
      <c r="D192" s="11">
        <f t="shared" si="140"/>
        <v>24.784325519878397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893.07128471484975</v>
      </c>
      <c r="H192" s="67">
        <f t="shared" si="110"/>
        <v>494.83254194712129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470.58485082099065</v>
      </c>
      <c r="T192" s="59">
        <f t="shared" si="142"/>
        <v>498.77167507743559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34.856277739630563</v>
      </c>
      <c r="AA192" s="21">
        <f>EXP(-LN(2)/25)*AA191+(1-EXP(-LN(2)/25))/(LN(2)/25)*Calculateur!V192*Calculateur!X192*VLOOKUP('Données projet'!$B$9,Paramètres!$A$1:$I$89,3,0)*0.475*44/12</f>
        <v>1.4694569038218994</v>
      </c>
      <c r="AB192" s="21">
        <f>EXP(-LN(2)/2)*AB191+(1-EXP(-LN(2)/2))/(LN(2)/2)*V192*Y192*VLOOKUP('Données projet'!$B$9,Paramètres!$A$1:$I$89,3,0)*0.475*44/12</f>
        <v>2.4754390971991128E-17</v>
      </c>
      <c r="AC192" s="22">
        <f t="shared" si="163"/>
        <v>36.325734643452464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-1.8474111129762605E-13</v>
      </c>
      <c r="AJ192" s="13">
        <f>AI192*VLOOKUP('Données projet'!$B$10,Paramètres!$A$1:$I$89,3,0)*VLOOKUP('Données projet'!$B$10,Paramètres!$A$1:$I$89,5,0)</f>
        <v>-1.6715375750209204E-13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321.13571401604742</v>
      </c>
      <c r="AO192" s="59">
        <f t="shared" si="144"/>
        <v>225.55225019382294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85.504376358474175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85.504376358474175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91.389999999999858</v>
      </c>
      <c r="D193" s="11">
        <f t="shared" si="140"/>
        <v>24.900159909488174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897.67842737148669</v>
      </c>
      <c r="H193" s="67">
        <f t="shared" si="110"/>
        <v>495.87202850902497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470.58485082099065</v>
      </c>
      <c r="T193" s="59">
        <f t="shared" si="142"/>
        <v>498.77167507743559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34.172767393386557</v>
      </c>
      <c r="AA193" s="21">
        <f>EXP(-LN(2)/25)*AA192+(1-EXP(-LN(2)/25))/(LN(2)/25)*Calculateur!V193*Calculateur!X193*VLOOKUP('Données projet'!$B$9,Paramètres!$A$1:$I$89,3,0)*0.475*44/12</f>
        <v>1.4292745275115095</v>
      </c>
      <c r="AB193" s="21">
        <f>EXP(-LN(2)/2)*AB192+(1-EXP(-LN(2)/2))/(LN(2)/2)*V193*Y193*VLOOKUP('Données projet'!$B$9,Paramètres!$A$1:$I$89,3,0)*0.475*44/12</f>
        <v>1.7503997720437978E-17</v>
      </c>
      <c r="AC193" s="22">
        <f t="shared" si="163"/>
        <v>35.602041920898067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-1.8474111129762605E-13</v>
      </c>
      <c r="AJ193" s="13">
        <f>AI193*VLOOKUP('Données projet'!$B$10,Paramètres!$A$1:$I$89,3,0)*VLOOKUP('Données projet'!$B$10,Paramètres!$A$1:$I$89,5,0)</f>
        <v>-1.6715375750209204E-13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321.13571401604742</v>
      </c>
      <c r="AO193" s="59">
        <f t="shared" si="144"/>
        <v>225.55225019382294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83.827687690604435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83.827687690604435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91.870999999999853</v>
      </c>
      <c r="D194" s="11">
        <f t="shared" si="140"/>
        <v>25.015923356679352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902.28502240243597</v>
      </c>
      <c r="H194" s="67">
        <f t="shared" si="110"/>
        <v>496.91139151288291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470.58485082099065</v>
      </c>
      <c r="T194" s="59">
        <f t="shared" si="142"/>
        <v>498.77167507743559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33.502660268132246</v>
      </c>
      <c r="AA194" s="21">
        <f>EXP(-LN(2)/25)*AA193+(1-EXP(-LN(2)/25))/(LN(2)/25)*Calculateur!V194*Calculateur!X194*VLOOKUP('Données projet'!$B$9,Paramètres!$A$1:$I$89,3,0)*0.475*44/12</f>
        <v>1.3901909403944266</v>
      </c>
      <c r="AB194" s="21">
        <f>EXP(-LN(2)/2)*AB193+(1-EXP(-LN(2)/2))/(LN(2)/2)*V194*Y194*VLOOKUP('Données projet'!$B$9,Paramètres!$A$1:$I$89,3,0)*0.475*44/12</f>
        <v>1.2377195485995564E-17</v>
      </c>
      <c r="AC194" s="22">
        <f t="shared" si="163"/>
        <v>34.892851208526672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-1.8474111129762605E-13</v>
      </c>
      <c r="AJ194" s="13">
        <f>AI194*VLOOKUP('Données projet'!$B$10,Paramètres!$A$1:$I$89,3,0)*VLOOKUP('Données projet'!$B$10,Paramètres!$A$1:$I$89,5,0)</f>
        <v>-1.6715375750209204E-13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321.13571401604742</v>
      </c>
      <c r="AO194" s="59">
        <f t="shared" si="144"/>
        <v>225.55225019382294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82.183877864832525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82.183877864832525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92.351999999999848</v>
      </c>
      <c r="D195" s="11">
        <f t="shared" si="140"/>
        <v>25.131616275989707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906.89107300763874</v>
      </c>
      <c r="H195" s="67">
        <f t="shared" si="110"/>
        <v>497.95063168068179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470.58485082099065</v>
      </c>
      <c r="T195" s="59">
        <f t="shared" si="142"/>
        <v>498.77167507743559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32.845693534879189</v>
      </c>
      <c r="AA195" s="21">
        <f>EXP(-LN(2)/25)*AA194+(1-EXP(-LN(2)/25))/(LN(2)/25)*Calculateur!V195*Calculateur!X195*VLOOKUP('Données projet'!$B$9,Paramètres!$A$1:$I$89,3,0)*0.475*44/12</f>
        <v>1.3521760960223768</v>
      </c>
      <c r="AB195" s="21">
        <f>EXP(-LN(2)/2)*AB194+(1-EXP(-LN(2)/2))/(LN(2)/2)*V195*Y195*VLOOKUP('Données projet'!$B$9,Paramètres!$A$1:$I$89,3,0)*0.475*44/12</f>
        <v>8.7519988602189889E-18</v>
      </c>
      <c r="AC195" s="22">
        <f t="shared" si="163"/>
        <v>34.197869630901565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-1.8474111129762605E-13</v>
      </c>
      <c r="AJ195" s="13">
        <f>AI195*VLOOKUP('Données projet'!$B$10,Paramètres!$A$1:$I$89,3,0)*VLOOKUP('Données projet'!$B$10,Paramètres!$A$1:$I$89,5,0)</f>
        <v>-1.6715375750209204E-13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321.13571401604742</v>
      </c>
      <c r="AO195" s="59">
        <f t="shared" si="144"/>
        <v>225.55225019382294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80.572302147119004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80.572302147119004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92.832999999999842</v>
      </c>
      <c r="D196" s="11">
        <f t="shared" si="140"/>
        <v>25.247239077388915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911.49658235177287</v>
      </c>
      <c r="H196" s="67">
        <f t="shared" ref="H196:H203" si="192">(B196+E196+F196)*44/12+(C196+D196)*0.475*44/12</f>
        <v>498.98974972645203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470.58485082099065</v>
      </c>
      <c r="T196" s="59">
        <f t="shared" si="142"/>
        <v>498.77167507743559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32.201609518555081</v>
      </c>
      <c r="AA196" s="21">
        <f>EXP(-LN(2)/25)*AA195+(1-EXP(-LN(2)/25))/(LN(2)/25)*Calculateur!V196*Calculateur!X196*VLOOKUP('Données projet'!$B$9,Paramètres!$A$1:$I$89,3,0)*0.475*44/12</f>
        <v>1.3152007695687944</v>
      </c>
      <c r="AB196" s="21">
        <f>EXP(-LN(2)/2)*AB195+(1-EXP(-LN(2)/2))/(LN(2)/2)*V196*Y196*VLOOKUP('Données projet'!$B$9,Paramètres!$A$1:$I$89,3,0)*0.475*44/12</f>
        <v>6.188597742997782E-18</v>
      </c>
      <c r="AC196" s="22">
        <f t="shared" si="163"/>
        <v>33.516810288123878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-1.8474111129762605E-13</v>
      </c>
      <c r="AJ196" s="13">
        <f>AI196*VLOOKUP('Données projet'!$B$10,Paramètres!$A$1:$I$89,3,0)*VLOOKUP('Données projet'!$B$10,Paramètres!$A$1:$I$89,5,0)</f>
        <v>-1.6715375750209204E-13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321.13571401604742</v>
      </c>
      <c r="AO196" s="59">
        <f t="shared" si="144"/>
        <v>225.55225019382294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78.992328446265716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78.992328446265716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93.313999999999837</v>
      </c>
      <c r="D197" s="11">
        <f t="shared" ref="D197:D203" si="202">IFERROR(EXP(-1.0587+0.8836*LN(C197)+0.284),0)</f>
        <v>25.362792166352278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916.10155356482335</v>
      </c>
      <c r="H197" s="67">
        <f t="shared" si="192"/>
        <v>500.0287463563966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470.58485082099065</v>
      </c>
      <c r="T197" s="59">
        <f t="shared" ref="T197:T203" si="204">$T$3</f>
        <v>498.77167507743559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31.57015559693863</v>
      </c>
      <c r="AA197" s="21">
        <f>EXP(-LN(2)/25)*AA196+(1-EXP(-LN(2)/25))/(LN(2)/25)*Calculateur!V197*Calculateur!X197*VLOOKUP('Données projet'!$B$9,Paramètres!$A$1:$I$89,3,0)*0.475*44/12</f>
        <v>1.2792365353615331</v>
      </c>
      <c r="AB197" s="21">
        <f>EXP(-LN(2)/2)*AB196+(1-EXP(-LN(2)/2))/(LN(2)/2)*V197*Y197*VLOOKUP('Données projet'!$B$9,Paramètres!$A$1:$I$89,3,0)*0.475*44/12</f>
        <v>4.3759994301094944E-18</v>
      </c>
      <c r="AC197" s="22">
        <f t="shared" si="163"/>
        <v>32.84939213230016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-1.8474111129762605E-13</v>
      </c>
      <c r="AJ197" s="13">
        <f>AI197*VLOOKUP('Données projet'!$B$10,Paramètres!$A$1:$I$89,3,0)*VLOOKUP('Données projet'!$B$10,Paramètres!$A$1:$I$89,5,0)</f>
        <v>-1.6715375750209204E-13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321.13571401604742</v>
      </c>
      <c r="AO197" s="59">
        <f t="shared" ref="AO197:AO203" si="205">$AO$3</f>
        <v>225.55225019382294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77.443337065997369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77.443337065997369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93.794999999999831</v>
      </c>
      <c r="D198" s="11">
        <f t="shared" si="202"/>
        <v>25.478275943932946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920.70598974263896</v>
      </c>
      <c r="H198" s="67">
        <f t="shared" si="192"/>
        <v>501.06762226901623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470.58485082099065</v>
      </c>
      <c r="T198" s="59">
        <f t="shared" si="204"/>
        <v>498.77167507743559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30.951084101576217</v>
      </c>
      <c r="AA198" s="21">
        <f>EXP(-LN(2)/25)*AA197+(1-EXP(-LN(2)/25))/(LN(2)/25)*Calculateur!V198*Calculateur!X198*VLOOKUP('Données projet'!$B$9,Paramètres!$A$1:$I$89,3,0)*0.475*44/12</f>
        <v>1.2442557450299463</v>
      </c>
      <c r="AB198" s="21">
        <f>EXP(-LN(2)/2)*AB197+(1-EXP(-LN(2)/2))/(LN(2)/2)*V198*Y198*VLOOKUP('Données projet'!$B$9,Paramètres!$A$1:$I$89,3,0)*0.475*44/12</f>
        <v>3.094298871498891E-18</v>
      </c>
      <c r="AC198" s="22">
        <f t="shared" si="163"/>
        <v>32.195339846606167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-1.8474111129762605E-13</v>
      </c>
      <c r="AJ198" s="13">
        <f>AI198*VLOOKUP('Données projet'!$B$10,Paramètres!$A$1:$I$89,3,0)*VLOOKUP('Données projet'!$B$10,Paramètres!$A$1:$I$89,5,0)</f>
        <v>-1.6715375750209204E-13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321.13571401604742</v>
      </c>
      <c r="AO198" s="59">
        <f t="shared" si="205"/>
        <v>225.55225019382294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75.924720461904627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75.924720461904627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94.275999999999826</v>
      </c>
      <c r="D199" s="11">
        <f t="shared" si="202"/>
        <v>25.593690806832573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925.30989394747814</v>
      </c>
      <c r="H199" s="67">
        <f t="shared" si="192"/>
        <v>502.10637815523307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470.58485082099065</v>
      </c>
      <c r="T199" s="59">
        <f t="shared" si="204"/>
        <v>498.77167507743559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30.344152220641533</v>
      </c>
      <c r="AA199" s="21">
        <f>EXP(-LN(2)/25)*AA198+(1-EXP(-LN(2)/25))/(LN(2)/25)*Calculateur!V199*Calculateur!X199*VLOOKUP('Données projet'!$B$9,Paramètres!$A$1:$I$89,3,0)*0.475*44/12</f>
        <v>1.2102315062495366</v>
      </c>
      <c r="AB199" s="21">
        <f>EXP(-LN(2)/2)*AB198+(1-EXP(-LN(2)/2))/(LN(2)/2)*V199*Y199*VLOOKUP('Données projet'!$B$9,Paramètres!$A$1:$I$89,3,0)*0.475*44/12</f>
        <v>2.1879997150547472E-18</v>
      </c>
      <c r="AC199" s="22">
        <f t="shared" si="163"/>
        <v>31.554383726891068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-1.8474111129762605E-13</v>
      </c>
      <c r="AJ199" s="13">
        <f>AI199*VLOOKUP('Données projet'!$B$10,Paramètres!$A$1:$I$89,3,0)*VLOOKUP('Données projet'!$B$10,Paramètres!$A$1:$I$89,5,0)</f>
        <v>-1.6715375750209204E-13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321.13571401604742</v>
      </c>
      <c r="AO199" s="59">
        <f t="shared" si="205"/>
        <v>225.55225019382294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74.435883003153478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74.435883003153478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94.75699999999982</v>
      </c>
      <c r="D200" s="11">
        <f t="shared" si="202"/>
        <v>25.709037147470404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929.91326920854192</v>
      </c>
      <c r="H200" s="67">
        <f t="shared" si="192"/>
        <v>503.14501469851064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470.58485082099065</v>
      </c>
      <c r="T200" s="59">
        <f t="shared" si="204"/>
        <v>498.77167507743559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29.749121903700082</v>
      </c>
      <c r="AA200" s="21">
        <f>EXP(-LN(2)/25)*AA199+(1-EXP(-LN(2)/25))/(LN(2)/25)*Calculateur!V200*Calculateur!X200*VLOOKUP('Données projet'!$B$9,Paramètres!$A$1:$I$89,3,0)*0.475*44/12</f>
        <v>1.1771376620678342</v>
      </c>
      <c r="AB200" s="21">
        <f>EXP(-LN(2)/2)*AB199+(1-EXP(-LN(2)/2))/(LN(2)/2)*V200*Y200*VLOOKUP('Données projet'!$B$9,Paramètres!$A$1:$I$89,3,0)*0.475*44/12</f>
        <v>1.5471494357494455E-18</v>
      </c>
      <c r="AC200" s="22">
        <f t="shared" si="163"/>
        <v>30.926259565767918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-1.8474111129762605E-13</v>
      </c>
      <c r="AJ200" s="13">
        <f>AI200*VLOOKUP('Données projet'!$B$10,Paramètres!$A$1:$I$89,3,0)*VLOOKUP('Données projet'!$B$10,Paramètres!$A$1:$I$89,5,0)</f>
        <v>-1.6715375750209204E-13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321.13571401604742</v>
      </c>
      <c r="AO200" s="59">
        <f t="shared" si="205"/>
        <v>225.55225019382294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72.976240738867247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72.976240738867247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95.237999999999815</v>
      </c>
      <c r="D201" s="11">
        <f t="shared" si="202"/>
        <v>25.824315354051095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934.51611852249823</v>
      </c>
      <c r="H201" s="67">
        <f t="shared" si="192"/>
        <v>504.18353257497199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470.58485082099065</v>
      </c>
      <c r="T201" s="59">
        <f t="shared" si="204"/>
        <v>498.77167507743559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29.165759768341196</v>
      </c>
      <c r="AA201" s="21">
        <f>EXP(-LN(2)/25)*AA200+(1-EXP(-LN(2)/25))/(LN(2)/25)*Calculateur!V201*Calculateur!X201*VLOOKUP('Données projet'!$B$9,Paramètres!$A$1:$I$89,3,0)*0.475*44/12</f>
        <v>1.1449487707956101</v>
      </c>
      <c r="AB201" s="21">
        <f>EXP(-LN(2)/2)*AB200+(1-EXP(-LN(2)/2))/(LN(2)/2)*V201*Y201*VLOOKUP('Données projet'!$B$9,Paramètres!$A$1:$I$89,3,0)*0.475*44/12</f>
        <v>1.0939998575273736E-18</v>
      </c>
      <c r="AC201" s="22">
        <f t="shared" si="163"/>
        <v>30.310708539136808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-1.8474111129762605E-13</v>
      </c>
      <c r="AJ201" s="13">
        <f>AI201*VLOOKUP('Données projet'!$B$10,Paramètres!$A$1:$I$89,3,0)*VLOOKUP('Données projet'!$B$10,Paramètres!$A$1:$I$89,5,0)</f>
        <v>-1.6715375750209204E-13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321.13571401604742</v>
      </c>
      <c r="AO201" s="59">
        <f t="shared" si="205"/>
        <v>225.55225019382294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71.5452211690898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71.5452211690898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95.718999999999809</v>
      </c>
      <c r="D202" s="11">
        <f t="shared" si="202"/>
        <v>25.939525810630993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939.11844485399217</v>
      </c>
      <c r="H202" s="67">
        <f t="shared" si="192"/>
        <v>505.22193245351531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470.58485082099065</v>
      </c>
      <c r="T202" s="59">
        <f t="shared" si="204"/>
        <v>498.77167507743559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28.593837008640932</v>
      </c>
      <c r="AA202" s="21">
        <f>EXP(-LN(2)/25)*AA201+(1-EXP(-LN(2)/25))/(LN(2)/25)*Calculateur!V202*Calculateur!X202*VLOOKUP('Données projet'!$B$9,Paramètres!$A$1:$I$89,3,0)*0.475*44/12</f>
        <v>1.1136400864479652</v>
      </c>
      <c r="AB202" s="21">
        <f>EXP(-LN(2)/2)*AB201+(1-EXP(-LN(2)/2))/(LN(2)/2)*V202*Y202*VLOOKUP('Données projet'!$B$9,Paramètres!$A$1:$I$89,3,0)*0.475*44/12</f>
        <v>7.7357471787472275E-19</v>
      </c>
      <c r="AC202" s="22">
        <f t="shared" si="163"/>
        <v>29.707477095088898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-1.8474111129762605E-13</v>
      </c>
      <c r="AJ202" s="13">
        <f>AI202*VLOOKUP('Données projet'!$B$10,Paramètres!$A$1:$I$89,3,0)*VLOOKUP('Données projet'!$B$10,Paramètres!$A$1:$I$89,5,0)</f>
        <v>-1.6715375750209204E-13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321.13571401604742</v>
      </c>
      <c r="AO202" s="59">
        <f t="shared" si="205"/>
        <v>225.55225019382294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70.142263020239938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70.142263020239938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6" thickBot="1" x14ac:dyDescent="0.2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96.199999999999804</v>
      </c>
      <c r="D203" s="11">
        <f t="shared" si="202"/>
        <v>26.054668897183067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943.72025113614848</v>
      </c>
      <c r="H203" s="67">
        <f t="shared" si="192"/>
        <v>506.26021499592679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470.58485082099065</v>
      </c>
      <c r="T203" s="59">
        <f t="shared" si="204"/>
        <v>498.77167507743559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28.033129305419951</v>
      </c>
      <c r="AA203" s="21">
        <f>EXP(-LN(2)/25)*AA202+(1-EXP(-LN(2)/25))/(LN(2)/25)*Calculateur!V203*Calculateur!X203*VLOOKUP('Données projet'!$B$9,Paramètres!$A$1:$I$89,3,0)*0.475*44/12</f>
        <v>1.0831875397202586</v>
      </c>
      <c r="AB203" s="21">
        <f>EXP(-LN(2)/2)*AB202+(1-EXP(-LN(2)/2))/(LN(2)/2)*V203*Y203*VLOOKUP('Données projet'!$B$9,Paramètres!$A$1:$I$89,3,0)*0.475*44/12</f>
        <v>5.4699992876368681E-19</v>
      </c>
      <c r="AC203" s="22">
        <f t="shared" si="163"/>
        <v>29.116316845140211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-1.8474111129762605E-13</v>
      </c>
      <c r="AJ203" s="13">
        <f>AI203*VLOOKUP('Données projet'!$B$10,Paramètres!$A$1:$I$89,3,0)*VLOOKUP('Données projet'!$B$10,Paramètres!$A$1:$I$89,5,0)</f>
        <v>-1.6715375750209204E-13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321.13571401604742</v>
      </c>
      <c r="AO203" s="59">
        <f t="shared" si="205"/>
        <v>225.55225019382294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68.766816024969046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68.766816024969046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7" thickBot="1" x14ac:dyDescent="0.2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6" thickBot="1" x14ac:dyDescent="0.2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1.4152399275904428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1.1267530431577886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 x14ac:dyDescent="0.2"/>
  <cols>
    <col min="1" max="1" width="23.5" style="4" bestFit="1" customWidth="1"/>
    <col min="2" max="2" width="27.6640625" style="4" bestFit="1" customWidth="1"/>
    <col min="3" max="3" width="11.83203125" style="4" bestFit="1" customWidth="1"/>
    <col min="4" max="4" width="40" style="4" bestFit="1" customWidth="1"/>
    <col min="5" max="5" width="11.83203125" style="4" bestFit="1" customWidth="1"/>
    <col min="6" max="6" width="13.6640625" style="4" bestFit="1" customWidth="1"/>
    <col min="7" max="7" width="11.5" style="4" bestFit="1" customWidth="1"/>
    <col min="8" max="8" width="39" style="4" bestFit="1" customWidth="1"/>
    <col min="9" max="9" width="16.6640625" style="4" customWidth="1"/>
    <col min="10" max="14" width="11.5" style="4"/>
    <col min="15" max="15" width="23.5" style="4" bestFit="1" customWidth="1"/>
    <col min="16" max="16384" width="11.5" style="4"/>
  </cols>
  <sheetData>
    <row r="1" spans="1:16" ht="49" thickBot="1" x14ac:dyDescent="0.2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0" t="s">
        <v>238</v>
      </c>
      <c r="P2" s="121">
        <v>0</v>
      </c>
    </row>
    <row r="3" spans="1:16" ht="16" thickBot="1" x14ac:dyDescent="0.2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1"/>
      <c r="P3" s="128">
        <v>0.2</v>
      </c>
    </row>
    <row r="4" spans="1:16" ht="16" thickBot="1" x14ac:dyDescent="0.2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0" t="s">
        <v>237</v>
      </c>
      <c r="P5" s="121">
        <v>0</v>
      </c>
    </row>
    <row r="6" spans="1:16" x14ac:dyDescent="0.2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2"/>
      <c r="P6" s="129">
        <v>0.05</v>
      </c>
    </row>
    <row r="7" spans="1:16" x14ac:dyDescent="0.2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2"/>
      <c r="P7" s="129">
        <v>0.1</v>
      </c>
    </row>
    <row r="8" spans="1:16" ht="16" thickBot="1" x14ac:dyDescent="0.2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1"/>
      <c r="P8" s="128">
        <v>0.15</v>
      </c>
    </row>
    <row r="9" spans="1:16" ht="16" thickBot="1" x14ac:dyDescent="0.2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0" t="s">
        <v>236</v>
      </c>
      <c r="P10" s="121">
        <v>0</v>
      </c>
    </row>
    <row r="11" spans="1:16" ht="16" thickBot="1" x14ac:dyDescent="0.2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1"/>
      <c r="P11" s="128">
        <v>0.1</v>
      </c>
    </row>
    <row r="12" spans="1:16" x14ac:dyDescent="0.2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">
      <c r="A87" s="250" t="s">
        <v>321</v>
      </c>
      <c r="B87" s="251" t="s">
        <v>322</v>
      </c>
      <c r="C87" s="252">
        <v>0.41</v>
      </c>
      <c r="D87" s="252" t="s">
        <v>323</v>
      </c>
      <c r="E87" s="252">
        <v>1.56</v>
      </c>
      <c r="F87" s="253" t="s">
        <v>274</v>
      </c>
      <c r="G87" s="254">
        <v>0.43</v>
      </c>
      <c r="H87" s="252" t="s">
        <v>278</v>
      </c>
      <c r="I87" s="255">
        <v>0.25</v>
      </c>
      <c r="J87" s="78"/>
      <c r="K87" s="78"/>
      <c r="L87" s="78"/>
      <c r="M87" s="78"/>
      <c r="N87" s="78"/>
    </row>
    <row r="88" spans="1:14" x14ac:dyDescent="0.2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6" thickBot="1" x14ac:dyDescent="0.2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">
      <c r="A93" s="122" t="s">
        <v>208</v>
      </c>
    </row>
    <row r="94" spans="1:14" x14ac:dyDescent="0.2">
      <c r="A94" s="122" t="s">
        <v>209</v>
      </c>
    </row>
    <row r="95" spans="1:14" x14ac:dyDescent="0.2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3" zoomScale="90" zoomScaleNormal="90" workbookViewId="0">
      <selection activeCell="N7" sqref="N7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2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35">
      <c r="A2" s="271" t="s">
        <v>271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6" thickBo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65" thickBot="1" x14ac:dyDescent="0.2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">
      <c r="A6" s="145" t="str">
        <f>IF('Données projet'!$B$9="","",'Données projet'!$B$9)</f>
        <v>Douglas</v>
      </c>
      <c r="B6" s="146">
        <f>'Données projet'!D9</f>
        <v>5.25</v>
      </c>
      <c r="C6" s="147">
        <f ca="1">IF(OR('Données projet'!B9="",'Données projet'!C9="",'Données projet'!C9=0%),0,Calculateur!S3)</f>
        <v>470.58485082099065</v>
      </c>
      <c r="D6" s="147">
        <f>IF(OR('Données projet'!B9="",'Données projet'!C9="",'Données projet'!C9=0%),0,Calculateur!T3)</f>
        <v>498.77167507743559</v>
      </c>
      <c r="E6" s="147">
        <f ca="1">MIN(C6,D6)</f>
        <v>470.58485082099065</v>
      </c>
      <c r="F6" s="147">
        <f ca="1">E6*B6</f>
        <v>2470.5704668102007</v>
      </c>
      <c r="G6" s="147">
        <f ca="1">F6*(100%-'Données projet'!$C$24)*(100%-'Données projet'!$C$25)*(100%-'Données projet'!$C$26)*(100%-'Données projet'!$C$27)</f>
        <v>2223.5134201291808</v>
      </c>
      <c r="H6" s="148">
        <f>IF(OR('Données projet'!B9="",'Données projet'!C9="",'Données projet'!C9=0%),0,AVERAGE(Calculateur!$AC$3:$AC$33)*B6)</f>
        <v>67.337322366525683</v>
      </c>
      <c r="I6" s="149">
        <f>H6*(100%-'Données projet'!$C$24)*(100%-'Données projet'!$C$25)*(100%-'Données projet'!$C$26)*(100%-'Données projet'!$C$27)</f>
        <v>60.603590129873119</v>
      </c>
      <c r="J6" s="150">
        <f>IF(OR('Données projet'!B9="",'Données projet'!C9="",'Données projet'!C9=0%),0,SUM(Calculateur!$V$3:$V$33)*VLOOKUP('Données projet'!$B$9,Paramètres!$A$1:$I$89,9,0)*B6)</f>
        <v>406.35</v>
      </c>
      <c r="K6" s="151">
        <f>J6*(100%-'Données projet'!$C$24)*(100%-'Données projet'!$C$25)*(100%-'Données projet'!$C$26)*(100%-'Données projet'!$C$27)</f>
        <v>365.71500000000003</v>
      </c>
      <c r="L6" s="152">
        <f ca="1">G6+I6+K6</f>
        <v>2649.8320102590542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">
      <c r="A7" s="153" t="str">
        <f>IF('Données projet'!$B$10="","",'Données projet'!$B$10)</f>
        <v>Chêne sessile</v>
      </c>
      <c r="B7" s="154">
        <f>'Données projet'!D10</f>
        <v>1.75</v>
      </c>
      <c r="C7" s="147">
        <f ca="1">IF(OR('Données projet'!B10="",'Données projet'!C10="",'Données projet'!C10=0%),0,Calculateur!AN3)</f>
        <v>321.13571401604742</v>
      </c>
      <c r="D7" s="147">
        <f>IF(OR('Données projet'!B10="",'Données projet'!C10="",'Données projet'!C10=0%),0,Calculateur!AO3)</f>
        <v>225.55225019382294</v>
      </c>
      <c r="E7" s="147">
        <f t="shared" ref="E7:E15" ca="1" si="0">MIN(C7,D7)</f>
        <v>225.55225019382294</v>
      </c>
      <c r="F7" s="147">
        <f t="shared" ref="F7:F15" ca="1" si="1">E7*B7</f>
        <v>394.71643783919012</v>
      </c>
      <c r="G7" s="147">
        <f ca="1">F7*(100%-'Données projet'!$C$24)*(100%-'Données projet'!$C$25)*(100%-'Données projet'!$C$26)*(100%-'Données projet'!$C$27)</f>
        <v>355.24479405527114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355.24479405527114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6" thickBot="1" x14ac:dyDescent="0.2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6" thickBot="1" x14ac:dyDescent="0.25">
      <c r="A16" s="208"/>
      <c r="B16" s="212"/>
      <c r="C16" s="213"/>
      <c r="D16" s="23"/>
      <c r="E16" s="23"/>
      <c r="F16" s="165">
        <f t="shared" ref="F16:L16" ca="1" si="3">SUM(F6:F15)</f>
        <v>2865.2869046493906</v>
      </c>
      <c r="G16" s="166">
        <f t="shared" ca="1" si="3"/>
        <v>2578.7582141844518</v>
      </c>
      <c r="H16" s="167">
        <f t="shared" si="3"/>
        <v>67.337322366525683</v>
      </c>
      <c r="I16" s="167">
        <f t="shared" si="3"/>
        <v>60.603590129873119</v>
      </c>
      <c r="J16" s="168">
        <f t="shared" si="3"/>
        <v>406.35</v>
      </c>
      <c r="K16" s="168">
        <f t="shared" si="3"/>
        <v>365.71500000000003</v>
      </c>
      <c r="L16" s="169">
        <f t="shared" ca="1" si="3"/>
        <v>3005.0768043143253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">
      <c r="A17" s="208"/>
      <c r="B17" s="212"/>
      <c r="C17" s="213"/>
      <c r="D17" s="23"/>
      <c r="E17" s="23"/>
      <c r="F17" s="283" t="s">
        <v>246</v>
      </c>
      <c r="G17" s="284"/>
      <c r="H17" s="284"/>
      <c r="I17" s="284"/>
      <c r="J17" s="284"/>
      <c r="K17" s="284"/>
      <c r="L17" s="28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">
      <c r="A18" s="208"/>
      <c r="B18" s="212"/>
      <c r="C18" s="213"/>
      <c r="D18" s="23"/>
      <c r="E18" s="23"/>
      <c r="F18" s="270"/>
      <c r="G18" s="270"/>
      <c r="H18" s="270"/>
      <c r="I18" s="270"/>
      <c r="J18" s="270"/>
      <c r="K18" s="270"/>
      <c r="L18" s="27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6" thickBot="1" x14ac:dyDescent="0.2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6" thickBot="1" x14ac:dyDescent="0.25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6" thickBot="1" x14ac:dyDescent="0.2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6" thickBot="1" x14ac:dyDescent="0.25">
      <c r="A39" s="170" t="str">
        <f>A7</f>
        <v>Chêne sessile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6" thickBot="1" x14ac:dyDescent="0.2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6" thickBot="1" x14ac:dyDescent="0.25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6" thickBot="1" x14ac:dyDescent="0.2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6" thickBot="1" x14ac:dyDescent="0.2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6" thickBot="1" x14ac:dyDescent="0.2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6" thickBot="1" x14ac:dyDescent="0.2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6" thickBot="1" x14ac:dyDescent="0.2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6" thickBot="1" x14ac:dyDescent="0.2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6" thickBot="1" x14ac:dyDescent="0.2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6" thickBot="1" x14ac:dyDescent="0.2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6" thickBot="1" x14ac:dyDescent="0.2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6" thickBot="1" x14ac:dyDescent="0.2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6" thickBot="1" x14ac:dyDescent="0.2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6" thickBot="1" x14ac:dyDescent="0.2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6" thickBot="1" x14ac:dyDescent="0.2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6" thickBot="1" x14ac:dyDescent="0.2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I10" zoomScale="80" zoomScaleNormal="80" workbookViewId="0">
      <selection activeCell="F49" sqref="F49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1" customWidth="1"/>
    <col min="7" max="7" width="17.5" style="1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35">
      <c r="A2" s="4"/>
      <c r="B2" s="271" t="s">
        <v>272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">
      <c r="A4" s="4"/>
      <c r="B4" s="4"/>
      <c r="C4" s="4"/>
      <c r="D4" s="4"/>
      <c r="E4" s="4"/>
      <c r="G4" s="4"/>
      <c r="H4" s="257" t="s">
        <v>315</v>
      </c>
      <c r="I4" s="257"/>
      <c r="K4" s="299" t="s">
        <v>253</v>
      </c>
      <c r="L4" s="300"/>
      <c r="M4" s="236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6" thickBot="1" x14ac:dyDescent="0.2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35">
      <c r="A7" s="241"/>
      <c r="B7" s="242"/>
      <c r="C7" s="242"/>
      <c r="D7" s="242"/>
      <c r="E7" s="243"/>
      <c r="F7" s="243" t="s">
        <v>192</v>
      </c>
      <c r="G7" s="244"/>
      <c r="H7" s="242"/>
      <c r="I7" s="242"/>
      <c r="J7" s="245"/>
      <c r="K7" s="239"/>
      <c r="L7" s="240"/>
      <c r="M7" s="240"/>
      <c r="N7" s="246" t="s">
        <v>191</v>
      </c>
      <c r="O7" s="246"/>
      <c r="P7" s="247"/>
      <c r="Q7" s="248"/>
      <c r="R7" s="291" t="s">
        <v>310</v>
      </c>
      <c r="S7" s="292"/>
      <c r="T7" s="292"/>
      <c r="U7" s="292"/>
      <c r="V7" s="29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">
      <c r="A8" s="23"/>
      <c r="C8" s="23"/>
      <c r="D8" s="23"/>
      <c r="E8" s="23"/>
      <c r="F8" s="23"/>
      <c r="G8" s="23"/>
      <c r="H8" s="4"/>
      <c r="I8" s="4"/>
      <c r="J8" s="199"/>
      <c r="K8" s="207"/>
      <c r="L8" s="23"/>
      <c r="M8" s="23"/>
      <c r="N8" s="23"/>
      <c r="O8" s="23"/>
      <c r="P8" s="23"/>
      <c r="Q8" s="233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">
      <c r="A9" s="93" t="s">
        <v>311</v>
      </c>
      <c r="C9" s="23"/>
      <c r="D9" s="23"/>
      <c r="E9" s="23"/>
      <c r="F9" s="229"/>
      <c r="G9" s="93" t="s">
        <v>314</v>
      </c>
      <c r="J9" s="199"/>
      <c r="K9" s="207"/>
      <c r="O9" s="23"/>
      <c r="P9" s="23"/>
      <c r="Q9" s="233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">
      <c r="A10" s="93" t="s">
        <v>317</v>
      </c>
      <c r="C10" s="23"/>
      <c r="D10" s="23"/>
      <c r="E10" s="23"/>
      <c r="F10" s="229"/>
      <c r="G10" s="93" t="s">
        <v>316</v>
      </c>
      <c r="J10" s="199"/>
      <c r="K10" s="207"/>
      <c r="O10" s="23"/>
      <c r="P10" s="23"/>
      <c r="Q10" s="233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4178.1994812848006</v>
      </c>
      <c r="U10" s="178">
        <f>'Données projet'!D9</f>
        <v>5.25</v>
      </c>
      <c r="V10" s="177">
        <f>U10*T10</f>
        <v>21935.547276745205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">
      <c r="A11" s="93" t="s">
        <v>312</v>
      </c>
      <c r="B11" s="23"/>
      <c r="C11" s="23"/>
      <c r="D11" s="23"/>
      <c r="E11" s="23"/>
      <c r="F11" s="229"/>
      <c r="G11" s="93" t="s">
        <v>313</v>
      </c>
      <c r="J11" s="199"/>
      <c r="K11" s="207"/>
      <c r="M11" s="4"/>
      <c r="N11" s="4"/>
      <c r="O11" s="23"/>
      <c r="P11" s="23"/>
      <c r="Q11" s="233"/>
      <c r="R11" s="23"/>
      <c r="S11" s="36" t="str">
        <f>B45</f>
        <v>Chêne sessile</v>
      </c>
      <c r="T11" s="238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-2386.8283510636334</v>
      </c>
      <c r="U11" s="178">
        <f>'Données projet'!D10</f>
        <v>1.75</v>
      </c>
      <c r="V11" s="177">
        <f t="shared" ref="V11" si="0">U11*T11</f>
        <v>-4176.9496143613587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">
      <c r="B12" s="23"/>
      <c r="C12" s="23"/>
      <c r="D12" s="23"/>
      <c r="E12" s="23"/>
      <c r="F12" s="229"/>
      <c r="J12" s="199"/>
      <c r="K12" s="207"/>
      <c r="L12" s="201"/>
      <c r="M12" s="23"/>
      <c r="N12" s="23"/>
      <c r="O12" s="23"/>
      <c r="P12" s="23"/>
      <c r="Q12" s="233"/>
      <c r="R12" s="23"/>
      <c r="S12" s="36" t="str">
        <f>B76</f>
        <v/>
      </c>
      <c r="T12" s="238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">
      <c r="B13" s="23"/>
      <c r="C13" s="23"/>
      <c r="D13" s="23"/>
      <c r="E13" s="23"/>
      <c r="F13" s="229"/>
      <c r="J13" s="23"/>
      <c r="K13" s="207"/>
      <c r="L13" s="93" t="s">
        <v>257</v>
      </c>
      <c r="M13" s="23"/>
      <c r="N13" s="23"/>
      <c r="O13" s="23"/>
      <c r="P13" s="23"/>
      <c r="Q13" s="233"/>
      <c r="R13" s="23"/>
      <c r="S13" s="36" t="str">
        <f>B107</f>
        <v/>
      </c>
      <c r="T13" s="238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">
      <c r="A14" s="46" t="s">
        <v>165</v>
      </c>
      <c r="B14" s="174" t="str">
        <f>IF('Données projet'!$B$9="","",'Données projet'!$B$9)</f>
        <v>Douglas</v>
      </c>
      <c r="C14" s="4"/>
      <c r="D14" s="4"/>
      <c r="E14" s="4"/>
      <c r="F14" s="229"/>
      <c r="G14" s="23"/>
      <c r="H14" s="36" t="s">
        <v>178</v>
      </c>
      <c r="I14" s="36" t="s">
        <v>290</v>
      </c>
      <c r="J14" s="200"/>
      <c r="K14" s="173"/>
      <c r="L14" s="201"/>
      <c r="M14" s="23"/>
      <c r="N14" s="23"/>
      <c r="O14" s="4"/>
      <c r="P14" s="4"/>
      <c r="Q14" s="234"/>
      <c r="R14" s="4"/>
      <c r="S14" s="36" t="str">
        <f>B138</f>
        <v/>
      </c>
      <c r="T14" s="238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">
      <c r="A15" s="4"/>
      <c r="B15" s="4"/>
      <c r="C15" s="4"/>
      <c r="D15" s="4"/>
      <c r="E15" s="4"/>
      <c r="F15" s="229"/>
      <c r="G15" s="302" t="s">
        <v>318</v>
      </c>
      <c r="H15" s="190"/>
      <c r="I15" s="191"/>
      <c r="J15" s="201"/>
      <c r="K15" s="207"/>
      <c r="L15" s="201"/>
      <c r="M15" s="23"/>
      <c r="N15" s="23"/>
      <c r="O15" s="23"/>
      <c r="P15" s="23"/>
      <c r="Q15" s="233"/>
      <c r="R15" s="23"/>
      <c r="S15" s="36" t="str">
        <f>B169</f>
        <v/>
      </c>
      <c r="T15" s="238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9"/>
      <c r="G16" s="302"/>
      <c r="H16" s="190"/>
      <c r="I16" s="191"/>
      <c r="J16" s="201"/>
      <c r="K16" s="207"/>
      <c r="L16" s="299" t="s">
        <v>254</v>
      </c>
      <c r="M16" s="300"/>
      <c r="N16" s="2">
        <v>30</v>
      </c>
      <c r="O16" s="23"/>
      <c r="P16" s="23"/>
      <c r="Q16" s="233"/>
      <c r="R16" s="23"/>
      <c r="S16" s="36" t="str">
        <f>B200</f>
        <v/>
      </c>
      <c r="T16" s="238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ht="16" x14ac:dyDescent="0.2">
      <c r="A17" s="49">
        <v>0</v>
      </c>
      <c r="B17" s="198" t="s">
        <v>132</v>
      </c>
      <c r="C17" s="197" t="s">
        <v>132</v>
      </c>
      <c r="D17" s="196" t="s">
        <v>132</v>
      </c>
      <c r="E17" s="193">
        <v>2515.79</v>
      </c>
      <c r="F17" s="229"/>
      <c r="G17" s="302"/>
      <c r="J17" s="201"/>
      <c r="K17" s="207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29.999999999999993</v>
      </c>
      <c r="O17" s="23"/>
      <c r="P17" s="23"/>
      <c r="Q17" s="233"/>
      <c r="R17" s="23"/>
      <c r="S17" s="36" t="str">
        <f>B231</f>
        <v/>
      </c>
      <c r="T17" s="238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ht="16" x14ac:dyDescent="0.2">
      <c r="A18" s="49">
        <v>1</v>
      </c>
      <c r="B18" s="198" t="s">
        <v>132</v>
      </c>
      <c r="C18" s="197" t="s">
        <v>132</v>
      </c>
      <c r="D18" s="196" t="s">
        <v>132</v>
      </c>
      <c r="E18" s="193"/>
      <c r="F18" s="229"/>
      <c r="G18" s="302"/>
      <c r="J18" s="201"/>
      <c r="K18" s="207"/>
      <c r="L18" s="259" t="s">
        <v>255</v>
      </c>
      <c r="M18" s="261"/>
      <c r="N18" s="192">
        <v>10</v>
      </c>
      <c r="O18" s="23"/>
      <c r="P18" s="23"/>
      <c r="Q18" s="233"/>
      <c r="R18" s="23"/>
      <c r="S18" s="36" t="str">
        <f>B262</f>
        <v/>
      </c>
      <c r="T18" s="238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">
      <c r="A19" s="49">
        <v>2</v>
      </c>
      <c r="B19" s="198" t="s">
        <v>132</v>
      </c>
      <c r="C19" s="197" t="s">
        <v>132</v>
      </c>
      <c r="D19" s="196" t="s">
        <v>132</v>
      </c>
      <c r="E19" s="193"/>
      <c r="F19" s="229"/>
      <c r="G19" s="302"/>
      <c r="H19" s="211" t="s">
        <v>178</v>
      </c>
      <c r="I19" s="211" t="s">
        <v>287</v>
      </c>
      <c r="J19" s="93"/>
      <c r="K19" s="173"/>
      <c r="L19" s="299" t="s">
        <v>288</v>
      </c>
      <c r="M19" s="300"/>
      <c r="N19" s="179">
        <f>N17*N18</f>
        <v>299.99999999999994</v>
      </c>
      <c r="O19" s="23"/>
      <c r="P19" s="4"/>
      <c r="Q19" s="234"/>
      <c r="R19" s="4"/>
      <c r="S19" s="36" t="str">
        <f>B293</f>
        <v/>
      </c>
      <c r="T19" s="238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ht="16" x14ac:dyDescent="0.2">
      <c r="A20" s="49">
        <v>3</v>
      </c>
      <c r="B20" s="198" t="s">
        <v>132</v>
      </c>
      <c r="C20" s="197" t="s">
        <v>132</v>
      </c>
      <c r="D20" s="196" t="s">
        <v>132</v>
      </c>
      <c r="E20" s="193"/>
      <c r="F20" s="229"/>
      <c r="G20" s="302"/>
      <c r="H20" s="190">
        <v>0</v>
      </c>
      <c r="I20" s="191">
        <f>400+1500</f>
        <v>1900</v>
      </c>
      <c r="J20" s="4"/>
      <c r="K20" s="173"/>
      <c r="O20" s="23"/>
      <c r="P20" s="4"/>
      <c r="Q20" s="234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ht="16" x14ac:dyDescent="0.2">
      <c r="A21" s="49">
        <v>4</v>
      </c>
      <c r="B21" s="198" t="s">
        <v>132</v>
      </c>
      <c r="C21" s="197" t="s">
        <v>132</v>
      </c>
      <c r="D21" s="196" t="s">
        <v>132</v>
      </c>
      <c r="E21" s="193"/>
      <c r="F21" s="229"/>
      <c r="H21" s="190">
        <v>1</v>
      </c>
      <c r="I21" s="191">
        <v>480</v>
      </c>
      <c r="K21" s="173"/>
      <c r="O21" s="23"/>
      <c r="P21" s="4"/>
      <c r="Q21" s="234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">
      <c r="A22" s="49">
        <v>5</v>
      </c>
      <c r="B22" s="198" t="s">
        <v>132</v>
      </c>
      <c r="C22" s="197" t="s">
        <v>132</v>
      </c>
      <c r="D22" s="196" t="s">
        <v>132</v>
      </c>
      <c r="E22" s="193"/>
      <c r="F22" s="229"/>
      <c r="H22" s="190">
        <v>2</v>
      </c>
      <c r="I22" s="191">
        <v>500</v>
      </c>
      <c r="K22" s="173"/>
      <c r="O22" s="23"/>
      <c r="P22" s="4"/>
      <c r="Q22" s="234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">
      <c r="A23" s="180">
        <f>'Données projet'!A36</f>
        <v>15</v>
      </c>
      <c r="B23" s="181">
        <f>'Données projet'!D36</f>
        <v>28</v>
      </c>
      <c r="C23" s="193">
        <f>70*'Données projet'!E36+19.4*('Données projet'!F36+'Données projet'!G36)+10*'Données projet'!H36</f>
        <v>19.399999999999999</v>
      </c>
      <c r="D23" s="182">
        <f>B23*C23</f>
        <v>543.19999999999993</v>
      </c>
      <c r="E23" s="193"/>
      <c r="F23" s="229"/>
      <c r="H23" s="190">
        <v>3</v>
      </c>
      <c r="I23" s="191">
        <v>520</v>
      </c>
      <c r="K23" s="207"/>
      <c r="L23" s="301" t="s">
        <v>260</v>
      </c>
      <c r="M23" s="301"/>
      <c r="N23" s="301"/>
      <c r="O23" s="23"/>
      <c r="P23" s="23"/>
      <c r="Q23" s="233"/>
      <c r="R23" s="23"/>
      <c r="S23" s="36" t="s">
        <v>264</v>
      </c>
      <c r="T23" s="29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-5151.4878104915406</v>
      </c>
      <c r="U23" s="296"/>
      <c r="V23" s="29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">
      <c r="A24" s="180">
        <f>'Données projet'!A37</f>
        <v>20</v>
      </c>
      <c r="B24" s="181">
        <f>'Données projet'!D37</f>
        <v>45</v>
      </c>
      <c r="C24" s="193">
        <f>70*'Données projet'!E37+19.4*('Données projet'!F37+'Données projet'!G37)+10*'Données projet'!H37</f>
        <v>29.52</v>
      </c>
      <c r="D24" s="182">
        <f t="shared" ref="D24:D42" si="2">B24*C24</f>
        <v>1328.4</v>
      </c>
      <c r="E24" s="193"/>
      <c r="F24" s="232"/>
      <c r="H24" s="190">
        <v>4</v>
      </c>
      <c r="I24" s="191"/>
      <c r="K24" s="207"/>
      <c r="O24" s="23"/>
      <c r="P24" s="23"/>
      <c r="Q24" s="233"/>
      <c r="R24" s="23"/>
      <c r="S24" s="36" t="s">
        <v>261</v>
      </c>
      <c r="T24" s="297">
        <f ca="1">'Scénario référence'!$B$8*$M$30*'Données projet'!$C$5+('Scénario référence'!B9+'Scénario référence'!B10+'Scénario référence'!F8+'Scénario référence'!F9)*$N$19/(1+M4)^N16*'Données projet'!$C$5</f>
        <v>560.70003256470625</v>
      </c>
      <c r="U24" s="297"/>
      <c r="V24" s="29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">
      <c r="A25" s="180">
        <f>'Données projet'!A38</f>
        <v>25</v>
      </c>
      <c r="B25" s="181">
        <f>'Données projet'!D38</f>
        <v>52</v>
      </c>
      <c r="C25" s="193">
        <f>70*'Données projet'!E38+19.4*('Données projet'!F38+'Données projet'!G38)+10*'Données projet'!H38</f>
        <v>34.58</v>
      </c>
      <c r="D25" s="182">
        <f t="shared" si="2"/>
        <v>1798.1599999999999</v>
      </c>
      <c r="E25" s="193"/>
      <c r="F25" s="232"/>
      <c r="H25" s="190">
        <v>5</v>
      </c>
      <c r="I25" s="191"/>
      <c r="K25" s="207"/>
      <c r="L25" s="130" t="s">
        <v>285</v>
      </c>
      <c r="M25" s="130"/>
      <c r="N25" s="130"/>
      <c r="O25" s="130"/>
      <c r="P25" s="192"/>
      <c r="Q25" s="233"/>
      <c r="R25" s="23"/>
      <c r="S25" s="186" t="s">
        <v>266</v>
      </c>
      <c r="T25" s="298">
        <f ca="1">T23-T24</f>
        <v>-5712.1878430562465</v>
      </c>
      <c r="U25" s="298"/>
      <c r="V25" s="29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">
      <c r="A26" s="180">
        <f>'Données projet'!A39</f>
        <v>30</v>
      </c>
      <c r="B26" s="181">
        <f>'Données projet'!D39</f>
        <v>55</v>
      </c>
      <c r="C26" s="193">
        <f>70*'Données projet'!E39+19.4*('Données projet'!F39+'Données projet'!G39)+10*'Données projet'!H39</f>
        <v>39.64</v>
      </c>
      <c r="D26" s="182">
        <f t="shared" si="2"/>
        <v>2180.1999999999998</v>
      </c>
      <c r="E26" s="193"/>
      <c r="F26" s="232"/>
      <c r="G26" s="228"/>
      <c r="H26" s="190"/>
      <c r="I26" s="191"/>
      <c r="K26" s="207"/>
      <c r="L26" s="285" t="s">
        <v>258</v>
      </c>
      <c r="M26" s="286"/>
      <c r="N26" s="286"/>
      <c r="O26" s="286"/>
      <c r="P26" s="287"/>
      <c r="Q26" s="233"/>
      <c r="R26" s="23"/>
      <c r="S26" s="186" t="s">
        <v>265</v>
      </c>
      <c r="T26" s="295" t="str">
        <f ca="1">IF(T25&lt;0,"Votre projet est additionnel","Votre projet n'est pas additionnel")</f>
        <v>Votre projet est additionnel</v>
      </c>
      <c r="U26" s="295"/>
      <c r="V26" s="29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">
      <c r="A27" s="180">
        <f>'Données projet'!A40</f>
        <v>35</v>
      </c>
      <c r="B27" s="181">
        <f>'Données projet'!D40</f>
        <v>55</v>
      </c>
      <c r="C27" s="193">
        <f>70*'Données projet'!E40+19.4*('Données projet'!F40+'Données projet'!G40)+10*'Données projet'!H40</f>
        <v>44.7</v>
      </c>
      <c r="D27" s="182">
        <f t="shared" si="2"/>
        <v>2458.5</v>
      </c>
      <c r="E27" s="193"/>
      <c r="F27" s="232"/>
      <c r="G27" s="228"/>
      <c r="H27" s="190"/>
      <c r="I27" s="191"/>
      <c r="K27" s="207"/>
      <c r="L27" s="288"/>
      <c r="M27" s="289"/>
      <c r="N27" s="289"/>
      <c r="O27" s="289"/>
      <c r="P27" s="290"/>
      <c r="Q27" s="233"/>
      <c r="R27" s="23"/>
      <c r="S27" s="294" t="s">
        <v>267</v>
      </c>
      <c r="T27" s="294"/>
      <c r="U27" s="294"/>
      <c r="V27" s="29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">
      <c r="A28" s="180">
        <f>'Données projet'!A41</f>
        <v>40</v>
      </c>
      <c r="B28" s="181">
        <f>'Données projet'!D41</f>
        <v>55</v>
      </c>
      <c r="C28" s="193">
        <f>70*'Données projet'!E41+19.4*('Données projet'!F41+'Données projet'!G41)+10*'Données projet'!H41</f>
        <v>49.76</v>
      </c>
      <c r="D28" s="182">
        <f t="shared" si="2"/>
        <v>2736.7999999999997</v>
      </c>
      <c r="E28" s="193"/>
      <c r="F28" s="232"/>
      <c r="G28" s="204"/>
      <c r="H28" s="190"/>
      <c r="I28" s="191"/>
      <c r="K28" s="207"/>
      <c r="Q28" s="233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">
      <c r="A29" s="180">
        <f>'Données projet'!A42</f>
        <v>45</v>
      </c>
      <c r="B29" s="181">
        <f>'Données projet'!D42</f>
        <v>53</v>
      </c>
      <c r="C29" s="193">
        <f>70*'Données projet'!E42+19.4*('Données projet'!F42+'Données projet'!G42)+10*'Données projet'!H42</f>
        <v>54.82</v>
      </c>
      <c r="D29" s="182">
        <f t="shared" si="2"/>
        <v>2905.46</v>
      </c>
      <c r="E29" s="193"/>
      <c r="F29" s="232"/>
      <c r="G29" s="202"/>
      <c r="H29" s="190"/>
      <c r="I29" s="191"/>
      <c r="K29" s="207"/>
      <c r="O29" s="23"/>
      <c r="P29" s="23"/>
      <c r="Q29" s="233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">
      <c r="A30" s="180">
        <f>'Données projet'!A43</f>
        <v>50</v>
      </c>
      <c r="B30" s="181">
        <f>'Données projet'!D43</f>
        <v>51</v>
      </c>
      <c r="C30" s="193">
        <f>70*'Données projet'!E43+19.4*('Données projet'!F43+'Données projet'!G43)+10*'Données projet'!H43</f>
        <v>54.82</v>
      </c>
      <c r="D30" s="182">
        <f t="shared" si="2"/>
        <v>2795.82</v>
      </c>
      <c r="E30" s="193"/>
      <c r="F30" s="232"/>
      <c r="G30" s="202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4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">
      <c r="A31" s="180">
        <f>'Données projet'!A44</f>
        <v>55</v>
      </c>
      <c r="B31" s="181">
        <f>'Données projet'!D44</f>
        <v>51</v>
      </c>
      <c r="C31" s="193">
        <f>70*'Données projet'!E44+19.4*('Données projet'!F44+'Données projet'!G44)+10*'Données projet'!H44</f>
        <v>59.88</v>
      </c>
      <c r="D31" s="182">
        <f t="shared" si="2"/>
        <v>3053.88</v>
      </c>
      <c r="E31" s="193"/>
      <c r="F31" s="232"/>
      <c r="G31" s="202"/>
      <c r="H31" s="190"/>
      <c r="I31" s="191"/>
      <c r="K31" s="173"/>
      <c r="Q31" s="233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">
      <c r="A32" s="180">
        <f>'Données projet'!A45</f>
        <v>60</v>
      </c>
      <c r="B32" s="181">
        <f>'Données projet'!D45</f>
        <v>45</v>
      </c>
      <c r="C32" s="193">
        <f>70*'Données projet'!E45+19.4*('Données projet'!F45+'Données projet'!G45)+10*'Données projet'!H45</f>
        <v>59.88</v>
      </c>
      <c r="D32" s="182">
        <f t="shared" si="2"/>
        <v>2694.6</v>
      </c>
      <c r="E32" s="193"/>
      <c r="F32" s="232"/>
      <c r="G32" s="202"/>
      <c r="H32" s="190"/>
      <c r="I32" s="191"/>
      <c r="K32" s="173"/>
      <c r="N32" s="4"/>
      <c r="O32" s="85" t="s">
        <v>178</v>
      </c>
      <c r="P32" s="85" t="s">
        <v>252</v>
      </c>
      <c r="Q32" s="233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">
      <c r="A33" s="180">
        <f>'Données projet'!A46</f>
        <v>65</v>
      </c>
      <c r="B33" s="181">
        <f>'Données projet'!D46</f>
        <v>46</v>
      </c>
      <c r="C33" s="193">
        <f>70*'Données projet'!E46+19.4*('Données projet'!F46+'Données projet'!G46)+10*'Données projet'!H46</f>
        <v>64.94</v>
      </c>
      <c r="D33" s="182">
        <f t="shared" si="2"/>
        <v>2987.24</v>
      </c>
      <c r="E33" s="193"/>
      <c r="F33" s="232"/>
      <c r="G33" s="202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3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">
      <c r="A34" s="180">
        <f>'Données projet'!A47</f>
        <v>70</v>
      </c>
      <c r="B34" s="181">
        <f>'Données projet'!D47</f>
        <v>785</v>
      </c>
      <c r="C34" s="193">
        <f>70*'Données projet'!E47+19.4*('Données projet'!F47+'Données projet'!G47)+10*'Données projet'!H47</f>
        <v>64.94</v>
      </c>
      <c r="D34" s="182">
        <f t="shared" si="2"/>
        <v>50977.9</v>
      </c>
      <c r="E34" s="193"/>
      <c r="F34" s="232"/>
      <c r="G34" s="202"/>
      <c r="H34" s="190"/>
      <c r="I34" s="191"/>
      <c r="K34" s="173"/>
      <c r="L34" s="98"/>
      <c r="M34" s="98"/>
      <c r="N34" s="249"/>
      <c r="O34" s="194">
        <f>IF(O33+1&lt;=MIN('Données projet'!$E$9:$E$18),O33+1,"STOP")</f>
        <v>1</v>
      </c>
      <c r="P34" s="185">
        <f t="shared" si="3"/>
        <v>0</v>
      </c>
      <c r="Q34" s="233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">
      <c r="A35" s="180">
        <f>'Données projet'!A48</f>
        <v>0</v>
      </c>
      <c r="B35" s="181">
        <f>'Données projet'!D48</f>
        <v>0</v>
      </c>
      <c r="C35" s="193">
        <f>70*'Données projet'!E48+19.4*('Données projet'!F48+'Données projet'!G48)+10*'Données projet'!H48</f>
        <v>0</v>
      </c>
      <c r="D35" s="182">
        <f t="shared" si="2"/>
        <v>0</v>
      </c>
      <c r="E35" s="193"/>
      <c r="F35" s="232"/>
      <c r="G35" s="202"/>
      <c r="H35" s="190"/>
      <c r="I35" s="191"/>
      <c r="K35" s="173"/>
      <c r="L35" s="98"/>
      <c r="M35" s="98"/>
      <c r="N35" s="249"/>
      <c r="O35" s="194">
        <f>IF(O34+1&lt;=MIN('Données projet'!$E$9:$E$18),O34+1,"STOP")</f>
        <v>2</v>
      </c>
      <c r="P35" s="185">
        <f t="shared" si="3"/>
        <v>0</v>
      </c>
      <c r="Q35" s="233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">
      <c r="A36" s="180">
        <f>'Données projet'!A49</f>
        <v>0</v>
      </c>
      <c r="B36" s="181">
        <f>'Données projet'!D49</f>
        <v>0</v>
      </c>
      <c r="C36" s="193">
        <f>70*'Données projet'!E49+19.4*('Données projet'!F49+'Données projet'!G49)+10*'Données projet'!H49</f>
        <v>0</v>
      </c>
      <c r="D36" s="182">
        <f t="shared" si="2"/>
        <v>0</v>
      </c>
      <c r="E36" s="193"/>
      <c r="F36" s="232"/>
      <c r="G36" s="202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3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">
      <c r="A37" s="180">
        <f>'Données projet'!A50</f>
        <v>0</v>
      </c>
      <c r="B37" s="181">
        <f>'Données projet'!D50</f>
        <v>0</v>
      </c>
      <c r="C37" s="193">
        <f>70*'Données projet'!E50+19.4*('Données projet'!F50+'Données projet'!G50)+10*'Données projet'!H50</f>
        <v>0</v>
      </c>
      <c r="D37" s="182">
        <f t="shared" si="2"/>
        <v>0</v>
      </c>
      <c r="E37" s="193"/>
      <c r="F37" s="232"/>
      <c r="G37" s="202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3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">
      <c r="A38" s="180">
        <f>'Données projet'!A51</f>
        <v>0</v>
      </c>
      <c r="B38" s="181">
        <f>'Données projet'!D51</f>
        <v>0</v>
      </c>
      <c r="C38" s="193">
        <f>70*'Données projet'!E51+19.4*('Données projet'!F51+'Données projet'!G51)+10*'Données projet'!H51</f>
        <v>0</v>
      </c>
      <c r="D38" s="182">
        <f t="shared" si="2"/>
        <v>0</v>
      </c>
      <c r="E38" s="193"/>
      <c r="F38" s="232"/>
      <c r="G38" s="202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3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">
      <c r="A39" s="180">
        <f>'Données projet'!A52</f>
        <v>0</v>
      </c>
      <c r="B39" s="181">
        <f>'Données projet'!D52</f>
        <v>0</v>
      </c>
      <c r="C39" s="193">
        <f>70*'Données projet'!E52+19.4*('Données projet'!F52+'Données projet'!G52)+10*'Données projet'!H52</f>
        <v>0</v>
      </c>
      <c r="D39" s="182">
        <f t="shared" si="2"/>
        <v>0</v>
      </c>
      <c r="E39" s="193"/>
      <c r="F39" s="232"/>
      <c r="G39" s="202"/>
      <c r="H39" s="190"/>
      <c r="I39" s="191"/>
      <c r="K39" s="207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3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">
      <c r="A40" s="180">
        <f>'Données projet'!A53</f>
        <v>0</v>
      </c>
      <c r="B40" s="181">
        <f>'Données projet'!D53</f>
        <v>0</v>
      </c>
      <c r="C40" s="193">
        <f>70*'Données projet'!E53+19.4*('Données projet'!F53+'Données projet'!G53)+10*'Données projet'!H53</f>
        <v>0</v>
      </c>
      <c r="D40" s="182">
        <f t="shared" si="2"/>
        <v>0</v>
      </c>
      <c r="E40" s="193"/>
      <c r="F40" s="232"/>
      <c r="G40" s="202"/>
      <c r="H40" s="190"/>
      <c r="I40" s="191"/>
      <c r="K40" s="207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3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">
      <c r="A41" s="180">
        <f>'Données projet'!A54</f>
        <v>0</v>
      </c>
      <c r="B41" s="181">
        <f>'Données projet'!D54</f>
        <v>0</v>
      </c>
      <c r="C41" s="193">
        <f>70*'Données projet'!E54+19.4*('Données projet'!F54+'Données projet'!G54)+10*'Données projet'!H54</f>
        <v>0</v>
      </c>
      <c r="D41" s="182">
        <f t="shared" si="2"/>
        <v>0</v>
      </c>
      <c r="E41" s="193"/>
      <c r="F41" s="232"/>
      <c r="G41" s="202"/>
      <c r="H41" s="190"/>
      <c r="I41" s="191"/>
      <c r="K41" s="207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3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">
      <c r="A42" s="180">
        <f>'Données projet'!A55</f>
        <v>0</v>
      </c>
      <c r="B42" s="181">
        <f>'Données projet'!D55</f>
        <v>0</v>
      </c>
      <c r="C42" s="193">
        <f>70*'Données projet'!E55+19.4*('Données projet'!F55+'Données projet'!G55)+10*'Données projet'!H55</f>
        <v>0</v>
      </c>
      <c r="D42" s="182">
        <f t="shared" si="2"/>
        <v>0</v>
      </c>
      <c r="E42" s="193"/>
      <c r="F42" s="232"/>
      <c r="G42" s="202"/>
      <c r="H42" s="190"/>
      <c r="I42" s="191"/>
      <c r="K42" s="207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3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">
      <c r="A43" s="187"/>
      <c r="B43" s="187"/>
      <c r="C43" s="187"/>
      <c r="D43" s="226"/>
      <c r="E43" s="226"/>
      <c r="F43" s="237"/>
      <c r="G43" s="202"/>
      <c r="H43" s="190"/>
      <c r="I43" s="191"/>
      <c r="K43" s="207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">
      <c r="A44" s="4"/>
      <c r="B44" s="4"/>
      <c r="C44" s="4"/>
      <c r="D44" s="4"/>
      <c r="E44" s="4"/>
      <c r="F44" s="229"/>
      <c r="G44" s="202"/>
      <c r="H44" s="190"/>
      <c r="I44" s="191"/>
      <c r="K44" s="207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">
      <c r="A45" s="46" t="s">
        <v>166</v>
      </c>
      <c r="B45" s="174" t="str">
        <f>IF('Données projet'!$B$10="","",'Données projet'!$B$10)</f>
        <v>Chêne sessile</v>
      </c>
      <c r="C45" s="4"/>
      <c r="D45" s="4"/>
      <c r="E45" s="4"/>
      <c r="F45" s="229"/>
      <c r="G45" s="202"/>
      <c r="H45" s="190"/>
      <c r="I45" s="191"/>
      <c r="J45" s="23"/>
      <c r="K45" s="207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">
      <c r="A46" s="4"/>
      <c r="B46" s="4"/>
      <c r="C46" s="4"/>
      <c r="D46" s="4"/>
      <c r="E46" s="4"/>
      <c r="F46" s="229"/>
      <c r="G46" s="202"/>
      <c r="H46" s="190"/>
      <c r="I46" s="191"/>
      <c r="J46" s="23"/>
      <c r="K46" s="207"/>
      <c r="L46" s="203"/>
      <c r="M46" s="203"/>
      <c r="N46" s="203"/>
      <c r="O46" s="194">
        <f>IF(O45+1&lt;=MIN('Données projet'!$E$9:$E$18),O45+1,"STOP")</f>
        <v>13</v>
      </c>
      <c r="P46" s="188">
        <f t="shared" si="3"/>
        <v>0</v>
      </c>
      <c r="Q46" s="23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0"/>
      <c r="G47" s="202"/>
      <c r="H47" s="190"/>
      <c r="I47" s="191"/>
      <c r="J47" s="23"/>
      <c r="K47" s="207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ht="16" x14ac:dyDescent="0.2">
      <c r="A48" s="49">
        <v>0</v>
      </c>
      <c r="B48" s="198" t="s">
        <v>132</v>
      </c>
      <c r="C48" s="197" t="s">
        <v>132</v>
      </c>
      <c r="D48" s="196" t="s">
        <v>132</v>
      </c>
      <c r="E48" s="193">
        <v>3816.94</v>
      </c>
      <c r="F48" s="230"/>
      <c r="G48" s="202"/>
      <c r="H48" s="190"/>
      <c r="I48" s="191"/>
      <c r="J48" s="23"/>
      <c r="K48" s="207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">
      <c r="A49" s="49">
        <v>1</v>
      </c>
      <c r="B49" s="198" t="s">
        <v>132</v>
      </c>
      <c r="C49" s="197" t="s">
        <v>132</v>
      </c>
      <c r="D49" s="196" t="s">
        <v>132</v>
      </c>
      <c r="E49" s="193"/>
      <c r="F49" s="230"/>
      <c r="G49" s="203"/>
      <c r="H49" s="190"/>
      <c r="I49" s="191"/>
      <c r="J49" s="203"/>
      <c r="K49" s="209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5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ht="16" x14ac:dyDescent="0.2">
      <c r="A50" s="49">
        <v>2</v>
      </c>
      <c r="B50" s="198" t="s">
        <v>132</v>
      </c>
      <c r="C50" s="197" t="s">
        <v>132</v>
      </c>
      <c r="D50" s="196" t="s">
        <v>132</v>
      </c>
      <c r="E50" s="193"/>
      <c r="F50" s="230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ht="16" x14ac:dyDescent="0.2">
      <c r="A51" s="49">
        <v>3</v>
      </c>
      <c r="B51" s="198" t="s">
        <v>132</v>
      </c>
      <c r="C51" s="197" t="s">
        <v>132</v>
      </c>
      <c r="D51" s="196" t="s">
        <v>132</v>
      </c>
      <c r="E51" s="193"/>
      <c r="F51" s="230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ht="16" x14ac:dyDescent="0.2">
      <c r="A52" s="49">
        <v>4</v>
      </c>
      <c r="B52" s="198" t="s">
        <v>132</v>
      </c>
      <c r="C52" s="197" t="s">
        <v>132</v>
      </c>
      <c r="D52" s="196" t="s">
        <v>132</v>
      </c>
      <c r="E52" s="193"/>
      <c r="F52" s="230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">
      <c r="A53" s="49">
        <v>5</v>
      </c>
      <c r="B53" s="198" t="s">
        <v>132</v>
      </c>
      <c r="C53" s="197" t="s">
        <v>132</v>
      </c>
      <c r="D53" s="196" t="s">
        <v>132</v>
      </c>
      <c r="E53" s="193"/>
      <c r="F53" s="230"/>
      <c r="G53" s="204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">
      <c r="A54" s="180">
        <f>'Données projet'!A62</f>
        <v>44</v>
      </c>
      <c r="B54" s="181">
        <f>'Données projet'!D62</f>
        <v>74.010000000000005</v>
      </c>
      <c r="C54" s="191">
        <f>225*'Données projet'!E62+13.8*('Données projet'!F62+'Données projet'!G62)+10*'Données projet'!H62</f>
        <v>53</v>
      </c>
      <c r="D54" s="179">
        <f>B54*C54</f>
        <v>3922.53</v>
      </c>
      <c r="E54" s="193"/>
      <c r="F54" s="231"/>
      <c r="G54" s="204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">
      <c r="A55" s="180">
        <f>'Données projet'!A63</f>
        <v>51</v>
      </c>
      <c r="B55" s="181">
        <f>'Données projet'!D63</f>
        <v>46.13</v>
      </c>
      <c r="C55" s="191">
        <f>225*'Données projet'!E63+13.8*('Données projet'!F63+'Données projet'!G63)+10*'Données projet'!H63</f>
        <v>53</v>
      </c>
      <c r="D55" s="179">
        <f t="shared" ref="D55:D73" si="4">B55*C55</f>
        <v>2444.8900000000003</v>
      </c>
      <c r="E55" s="193"/>
      <c r="F55" s="231"/>
      <c r="G55" s="204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">
      <c r="A56" s="180">
        <f>'Données projet'!A64</f>
        <v>59</v>
      </c>
      <c r="B56" s="181">
        <f>'Données projet'!D64</f>
        <v>48.96</v>
      </c>
      <c r="C56" s="191">
        <f>225*'Données projet'!E64+13.8*('Données projet'!F64+'Données projet'!G64)+10*'Données projet'!H64</f>
        <v>53</v>
      </c>
      <c r="D56" s="179">
        <f t="shared" si="4"/>
        <v>2594.88</v>
      </c>
      <c r="E56" s="193"/>
      <c r="F56" s="231"/>
      <c r="G56" s="204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">
      <c r="A57" s="180">
        <f>'Données projet'!A65</f>
        <v>67</v>
      </c>
      <c r="B57" s="181">
        <f>'Données projet'!D65</f>
        <v>40.630000000000003</v>
      </c>
      <c r="C57" s="191">
        <f>225*'Données projet'!E65+13.8*('Données projet'!F65+'Données projet'!G65)+10*'Données projet'!H65</f>
        <v>74.5</v>
      </c>
      <c r="D57" s="179">
        <f t="shared" si="4"/>
        <v>3026.9350000000004</v>
      </c>
      <c r="E57" s="193"/>
      <c r="F57" s="231"/>
      <c r="G57" s="204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">
      <c r="A58" s="180">
        <f>'Données projet'!A66</f>
        <v>75</v>
      </c>
      <c r="B58" s="181">
        <f>'Données projet'!D66</f>
        <v>39.54</v>
      </c>
      <c r="C58" s="191">
        <f>225*'Données projet'!E66+13.8*('Données projet'!F66+'Données projet'!G66)+10*'Données projet'!H66</f>
        <v>74.5</v>
      </c>
      <c r="D58" s="179">
        <f t="shared" si="4"/>
        <v>2945.73</v>
      </c>
      <c r="E58" s="193"/>
      <c r="F58" s="231"/>
      <c r="G58" s="204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">
      <c r="A59" s="180">
        <f>'Données projet'!A67</f>
        <v>84</v>
      </c>
      <c r="B59" s="181">
        <f>'Données projet'!D67</f>
        <v>44.89</v>
      </c>
      <c r="C59" s="191">
        <f>225*'Données projet'!E67+13.8*('Données projet'!F67+'Données projet'!G67)+10*'Données projet'!H67</f>
        <v>96</v>
      </c>
      <c r="D59" s="179">
        <f t="shared" si="4"/>
        <v>4309.4400000000005</v>
      </c>
      <c r="E59" s="193"/>
      <c r="F59" s="231"/>
      <c r="G59" s="204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">
      <c r="A60" s="180">
        <f>'Données projet'!A68</f>
        <v>93</v>
      </c>
      <c r="B60" s="181">
        <f>'Données projet'!D68</f>
        <v>38.57</v>
      </c>
      <c r="C60" s="191">
        <f>225*'Données projet'!E68+13.8*('Données projet'!F68+'Données projet'!G68)+10*'Données projet'!H68</f>
        <v>96</v>
      </c>
      <c r="D60" s="179">
        <f t="shared" si="4"/>
        <v>3702.7200000000003</v>
      </c>
      <c r="E60" s="193"/>
      <c r="F60" s="231"/>
      <c r="G60" s="205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">
      <c r="A61" s="180">
        <f>'Données projet'!A69</f>
        <v>103</v>
      </c>
      <c r="B61" s="181">
        <f>'Données projet'!D69</f>
        <v>50.51</v>
      </c>
      <c r="C61" s="191">
        <f>225*'Données projet'!E69+13.8*('Données projet'!F69+'Données projet'!G69)+10*'Données projet'!H69</f>
        <v>117.5</v>
      </c>
      <c r="D61" s="179">
        <f t="shared" si="4"/>
        <v>5934.9250000000002</v>
      </c>
      <c r="E61" s="193"/>
      <c r="F61" s="231"/>
      <c r="G61" s="205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">
      <c r="A62" s="180">
        <f>'Données projet'!A70</f>
        <v>113</v>
      </c>
      <c r="B62" s="181">
        <f>'Données projet'!D70</f>
        <v>40.479999999999997</v>
      </c>
      <c r="C62" s="191">
        <f>225*'Données projet'!E70+13.8*('Données projet'!F70+'Données projet'!G70)+10*'Données projet'!H70</f>
        <v>117.5</v>
      </c>
      <c r="D62" s="179">
        <f t="shared" si="4"/>
        <v>4756.3999999999996</v>
      </c>
      <c r="E62" s="193"/>
      <c r="F62" s="231"/>
      <c r="G62" s="205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">
      <c r="A63" s="180">
        <f>'Données projet'!A71</f>
        <v>125</v>
      </c>
      <c r="B63" s="181">
        <f>'Données projet'!D71</f>
        <v>61.5</v>
      </c>
      <c r="C63" s="191">
        <f>225*'Données projet'!E71+13.8*('Données projet'!F71+'Données projet'!G71)+10*'Données projet'!H71</f>
        <v>139</v>
      </c>
      <c r="D63" s="179">
        <f t="shared" si="4"/>
        <v>8548.5</v>
      </c>
      <c r="E63" s="193"/>
      <c r="F63" s="231"/>
      <c r="G63" s="205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">
      <c r="A64" s="180">
        <f>'Données projet'!A72</f>
        <v>137</v>
      </c>
      <c r="B64" s="181">
        <f>'Données projet'!D72</f>
        <v>65.53</v>
      </c>
      <c r="C64" s="191">
        <f>225*'Données projet'!E72+13.8*('Données projet'!F72+'Données projet'!G72)+10*'Données projet'!H72</f>
        <v>160.5</v>
      </c>
      <c r="D64" s="179">
        <f t="shared" si="4"/>
        <v>10517.565000000001</v>
      </c>
      <c r="E64" s="193"/>
      <c r="F64" s="231"/>
      <c r="G64" s="205"/>
      <c r="H64" s="190"/>
      <c r="I64" s="191"/>
      <c r="J64" s="206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">
      <c r="A65" s="180">
        <f>'Données projet'!A73</f>
        <v>149</v>
      </c>
      <c r="B65" s="181">
        <f>'Données projet'!D73</f>
        <v>153.56</v>
      </c>
      <c r="C65" s="191">
        <f>225*'Données projet'!E73+13.8*('Données projet'!F73+'Données projet'!G73)+10*'Données projet'!H73</f>
        <v>160.5</v>
      </c>
      <c r="D65" s="179">
        <f t="shared" si="4"/>
        <v>24646.38</v>
      </c>
      <c r="E65" s="193"/>
      <c r="F65" s="231"/>
      <c r="G65" s="205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">
      <c r="A66" s="180">
        <f>'Données projet'!A74</f>
        <v>153</v>
      </c>
      <c r="B66" s="181">
        <f>'Données projet'!D74</f>
        <v>89.29</v>
      </c>
      <c r="C66" s="191">
        <f>225*'Données projet'!E74+13.8*('Données projet'!F74+'Données projet'!G74)+10*'Données projet'!H74</f>
        <v>160.5</v>
      </c>
      <c r="D66" s="179">
        <f t="shared" si="4"/>
        <v>14331.045000000002</v>
      </c>
      <c r="E66" s="193"/>
      <c r="F66" s="231"/>
      <c r="G66" s="205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">
      <c r="A67" s="180">
        <f>'Données projet'!A75</f>
        <v>157</v>
      </c>
      <c r="B67" s="181">
        <f>'Données projet'!D75</f>
        <v>57.95</v>
      </c>
      <c r="C67" s="191">
        <f>225*'Données projet'!E75+13.8*('Données projet'!F75+'Données projet'!G75)+10*'Données projet'!H75</f>
        <v>160.5</v>
      </c>
      <c r="D67" s="179">
        <f t="shared" si="4"/>
        <v>9300.9750000000004</v>
      </c>
      <c r="E67" s="193"/>
      <c r="F67" s="231"/>
      <c r="G67" s="205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">
      <c r="A68" s="180">
        <f>'Données projet'!A76</f>
        <v>161</v>
      </c>
      <c r="B68" s="181">
        <f>'Données projet'!D76</f>
        <v>115.43</v>
      </c>
      <c r="C68" s="191">
        <f>225*'Données projet'!E76+13.8*('Données projet'!F76+'Données projet'!G76)+10*'Données projet'!H76</f>
        <v>182</v>
      </c>
      <c r="D68" s="179">
        <f t="shared" si="4"/>
        <v>21008.260000000002</v>
      </c>
      <c r="E68" s="193"/>
      <c r="F68" s="231"/>
      <c r="G68" s="205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">
      <c r="A69" s="180">
        <f>'Données projet'!A77</f>
        <v>0</v>
      </c>
      <c r="B69" s="181">
        <f>'Données projet'!D77</f>
        <v>0</v>
      </c>
      <c r="C69" s="191">
        <f>225*'Données projet'!E77+13.8*('Données projet'!F77+'Données projet'!G77)+10*'Données projet'!H77</f>
        <v>0</v>
      </c>
      <c r="D69" s="179">
        <f t="shared" si="4"/>
        <v>0</v>
      </c>
      <c r="E69" s="193"/>
      <c r="F69" s="231"/>
      <c r="G69" s="205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">
      <c r="A70" s="180">
        <f>'Données projet'!A78</f>
        <v>0</v>
      </c>
      <c r="B70" s="181">
        <f>'Données projet'!D78</f>
        <v>0</v>
      </c>
      <c r="C70" s="191">
        <f>225*'Données projet'!E78+13.8*('Données projet'!F78+'Données projet'!G78)+10*'Données projet'!H78</f>
        <v>0</v>
      </c>
      <c r="D70" s="179">
        <f t="shared" si="4"/>
        <v>0</v>
      </c>
      <c r="E70" s="193"/>
      <c r="F70" s="231"/>
      <c r="G70" s="205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">
      <c r="A71" s="180">
        <f>'Données projet'!A79</f>
        <v>0</v>
      </c>
      <c r="B71" s="181">
        <f>'Données projet'!D79</f>
        <v>0</v>
      </c>
      <c r="C71" s="191">
        <f>225*'Données projet'!E79+13.8*('Données projet'!F79+'Données projet'!G79)+10*'Données projet'!H79</f>
        <v>0</v>
      </c>
      <c r="D71" s="179">
        <f t="shared" si="4"/>
        <v>0</v>
      </c>
      <c r="E71" s="193"/>
      <c r="F71" s="231"/>
      <c r="G71" s="205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">
      <c r="A72" s="180">
        <f>'Données projet'!A80</f>
        <v>0</v>
      </c>
      <c r="B72" s="181">
        <f>'Données projet'!D80</f>
        <v>0</v>
      </c>
      <c r="C72" s="191">
        <f>225*'Données projet'!E80+13.8*('Données projet'!F80+'Données projet'!G80)+10*'Données projet'!H80</f>
        <v>0</v>
      </c>
      <c r="D72" s="179">
        <f t="shared" si="4"/>
        <v>0</v>
      </c>
      <c r="E72" s="193"/>
      <c r="F72" s="231"/>
      <c r="G72" s="205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">
      <c r="A73" s="180">
        <f>'Données projet'!A81</f>
        <v>0</v>
      </c>
      <c r="B73" s="181">
        <f>'Données projet'!D81</f>
        <v>0</v>
      </c>
      <c r="C73" s="191">
        <f>225*'Données projet'!E81+13.8*('Données projet'!F81+'Données projet'!G81)+10*'Données projet'!H81</f>
        <v>0</v>
      </c>
      <c r="D73" s="179">
        <f t="shared" si="4"/>
        <v>0</v>
      </c>
      <c r="E73" s="193"/>
      <c r="F73" s="231"/>
      <c r="G73" s="205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">
      <c r="A74" s="4"/>
      <c r="B74" s="4"/>
      <c r="C74" s="4"/>
      <c r="D74" s="4"/>
      <c r="E74" s="4"/>
      <c r="F74" s="229"/>
      <c r="G74" s="205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">
      <c r="A75" s="4"/>
      <c r="B75" s="4"/>
      <c r="C75" s="4"/>
      <c r="D75" s="4"/>
      <c r="E75" s="4"/>
      <c r="F75" s="229"/>
      <c r="G75" s="205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29"/>
      <c r="G76" s="205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">
      <c r="A77" s="4"/>
      <c r="B77" s="4"/>
      <c r="C77" s="4"/>
      <c r="D77" s="4"/>
      <c r="E77" s="4"/>
      <c r="F77" s="229"/>
      <c r="G77" s="205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16" x14ac:dyDescent="0.2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0"/>
      <c r="G78" s="205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ht="16" x14ac:dyDescent="0.2">
      <c r="A79" s="49">
        <v>0</v>
      </c>
      <c r="B79" s="198" t="s">
        <v>132</v>
      </c>
      <c r="C79" s="197" t="s">
        <v>132</v>
      </c>
      <c r="D79" s="196" t="s">
        <v>132</v>
      </c>
      <c r="E79" s="193"/>
      <c r="F79" s="230"/>
      <c r="G79" s="205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ht="16" x14ac:dyDescent="0.2">
      <c r="A80" s="49">
        <v>1</v>
      </c>
      <c r="B80" s="198" t="s">
        <v>132</v>
      </c>
      <c r="C80" s="197" t="s">
        <v>132</v>
      </c>
      <c r="D80" s="196" t="s">
        <v>132</v>
      </c>
      <c r="E80" s="193"/>
      <c r="F80" s="230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ht="16" x14ac:dyDescent="0.2">
      <c r="A81" s="49">
        <v>2</v>
      </c>
      <c r="B81" s="198" t="s">
        <v>132</v>
      </c>
      <c r="C81" s="197" t="s">
        <v>132</v>
      </c>
      <c r="D81" s="196" t="s">
        <v>132</v>
      </c>
      <c r="E81" s="193"/>
      <c r="F81" s="230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ht="16" x14ac:dyDescent="0.2">
      <c r="A82" s="49">
        <v>3</v>
      </c>
      <c r="B82" s="198" t="s">
        <v>132</v>
      </c>
      <c r="C82" s="197" t="s">
        <v>132</v>
      </c>
      <c r="D82" s="196" t="s">
        <v>132</v>
      </c>
      <c r="E82" s="193"/>
      <c r="F82" s="230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ht="16" x14ac:dyDescent="0.2">
      <c r="A83" s="49">
        <v>4</v>
      </c>
      <c r="B83" s="198" t="s">
        <v>132</v>
      </c>
      <c r="C83" s="197" t="s">
        <v>132</v>
      </c>
      <c r="D83" s="196" t="s">
        <v>132</v>
      </c>
      <c r="E83" s="193"/>
      <c r="F83" s="230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">
      <c r="A84" s="49">
        <v>5</v>
      </c>
      <c r="B84" s="198" t="s">
        <v>132</v>
      </c>
      <c r="C84" s="197" t="s">
        <v>132</v>
      </c>
      <c r="D84" s="196" t="s">
        <v>132</v>
      </c>
      <c r="E84" s="193"/>
      <c r="F84" s="230"/>
      <c r="G84" s="204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1"/>
      <c r="G85" s="204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1"/>
      <c r="G86" s="204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1"/>
      <c r="G87" s="204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1"/>
      <c r="G88" s="204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1"/>
      <c r="G89" s="204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1"/>
      <c r="G90" s="204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1"/>
      <c r="G91" s="205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1"/>
      <c r="G92" s="205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1"/>
      <c r="G93" s="205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1"/>
      <c r="G94" s="205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1"/>
      <c r="G95" s="205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1"/>
      <c r="G96" s="205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1"/>
      <c r="G97" s="205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1"/>
      <c r="G98" s="205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1"/>
      <c r="G99" s="205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1"/>
      <c r="G100" s="205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1"/>
      <c r="G101" s="205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1"/>
      <c r="G102" s="205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1"/>
      <c r="G103" s="205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0</v>
      </c>
      <c r="Q103" s="23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1"/>
      <c r="G104" s="205"/>
      <c r="H104" s="190"/>
      <c r="I104" s="191"/>
      <c r="J104" s="4"/>
      <c r="K104" s="173"/>
      <c r="L104" s="4"/>
      <c r="M104" s="4"/>
      <c r="N104" s="4"/>
      <c r="O104" s="194" t="str">
        <f>IF(O103+1&lt;=MIN('Données projet'!$E$9:$E$18),O103+1,"STOP")</f>
        <v>STOP</v>
      </c>
      <c r="P104" s="185" t="e">
        <f t="shared" si="7"/>
        <v>#VALUE!</v>
      </c>
      <c r="Q104" s="23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">
      <c r="A105" s="4"/>
      <c r="B105" s="4"/>
      <c r="C105" s="4"/>
      <c r="D105" s="4"/>
      <c r="E105" s="4"/>
      <c r="F105" s="229"/>
      <c r="G105" s="205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">
      <c r="A106" s="4"/>
      <c r="B106" s="4"/>
      <c r="C106" s="4"/>
      <c r="D106" s="4"/>
      <c r="E106" s="4"/>
      <c r="F106" s="229"/>
      <c r="G106" s="205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29"/>
      <c r="G107" s="205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">
      <c r="A108" s="4"/>
      <c r="B108" s="4"/>
      <c r="C108" s="4"/>
      <c r="D108" s="4"/>
      <c r="E108" s="4"/>
      <c r="F108" s="229"/>
      <c r="G108" s="205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ht="16" x14ac:dyDescent="0.2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0"/>
      <c r="G109" s="205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ht="16" x14ac:dyDescent="0.2">
      <c r="A110" s="49">
        <v>0</v>
      </c>
      <c r="B110" s="198" t="s">
        <v>132</v>
      </c>
      <c r="C110" s="197" t="s">
        <v>132</v>
      </c>
      <c r="D110" s="196" t="s">
        <v>132</v>
      </c>
      <c r="E110" s="193"/>
      <c r="F110" s="230"/>
      <c r="G110" s="205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ht="16" x14ac:dyDescent="0.2">
      <c r="A111" s="49">
        <v>1</v>
      </c>
      <c r="B111" s="198" t="s">
        <v>132</v>
      </c>
      <c r="C111" s="197" t="s">
        <v>132</v>
      </c>
      <c r="D111" s="196" t="s">
        <v>132</v>
      </c>
      <c r="E111" s="193"/>
      <c r="F111" s="230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ht="16" x14ac:dyDescent="0.2">
      <c r="A112" s="49">
        <v>2</v>
      </c>
      <c r="B112" s="198" t="s">
        <v>132</v>
      </c>
      <c r="C112" s="197" t="s">
        <v>132</v>
      </c>
      <c r="D112" s="196" t="s">
        <v>132</v>
      </c>
      <c r="E112" s="193"/>
      <c r="F112" s="230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ht="16" x14ac:dyDescent="0.2">
      <c r="A113" s="49">
        <v>3</v>
      </c>
      <c r="B113" s="198" t="s">
        <v>132</v>
      </c>
      <c r="C113" s="197" t="s">
        <v>132</v>
      </c>
      <c r="D113" s="196" t="s">
        <v>132</v>
      </c>
      <c r="E113" s="193"/>
      <c r="F113" s="230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ht="16" x14ac:dyDescent="0.2">
      <c r="A114" s="49">
        <v>4</v>
      </c>
      <c r="B114" s="198" t="s">
        <v>132</v>
      </c>
      <c r="C114" s="197" t="s">
        <v>132</v>
      </c>
      <c r="D114" s="196" t="s">
        <v>132</v>
      </c>
      <c r="E114" s="193"/>
      <c r="F114" s="230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">
      <c r="A115" s="49">
        <v>5</v>
      </c>
      <c r="B115" s="198" t="s">
        <v>132</v>
      </c>
      <c r="C115" s="197" t="s">
        <v>132</v>
      </c>
      <c r="D115" s="196" t="s">
        <v>132</v>
      </c>
      <c r="E115" s="193"/>
      <c r="F115" s="230"/>
      <c r="G115" s="204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">
      <c r="A116" s="180">
        <f>'Données projet'!A114</f>
        <v>0</v>
      </c>
      <c r="B116" s="181">
        <f>'Données projet'!D114</f>
        <v>0</v>
      </c>
      <c r="C116" s="191">
        <f>225*'Données projet'!E114+13.8*('Données projet'!F114+'Données projet'!G114)+10*'Données projet'!H114</f>
        <v>0</v>
      </c>
      <c r="D116" s="179">
        <f>B116*C116</f>
        <v>0</v>
      </c>
      <c r="E116" s="193"/>
      <c r="F116" s="231"/>
      <c r="G116" s="204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">
      <c r="A117" s="180">
        <f>'Données projet'!A115</f>
        <v>0</v>
      </c>
      <c r="B117" s="181">
        <f>'Données projet'!D115</f>
        <v>0</v>
      </c>
      <c r="C117" s="191">
        <f>225*'Données projet'!E115+13.8*('Données projet'!F115+'Données projet'!G115)+10*'Données projet'!H115</f>
        <v>0</v>
      </c>
      <c r="D117" s="179">
        <f t="shared" ref="D117:D135" si="8">B117*C117</f>
        <v>0</v>
      </c>
      <c r="E117" s="193"/>
      <c r="F117" s="231"/>
      <c r="G117" s="204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">
      <c r="A118" s="180">
        <f>'Données projet'!A116</f>
        <v>0</v>
      </c>
      <c r="B118" s="181">
        <f>'Données projet'!D116</f>
        <v>0</v>
      </c>
      <c r="C118" s="191">
        <f>225*'Données projet'!E116+13.8*('Données projet'!F116+'Données projet'!G116)+10*'Données projet'!H116</f>
        <v>0</v>
      </c>
      <c r="D118" s="179">
        <f t="shared" si="8"/>
        <v>0</v>
      </c>
      <c r="E118" s="193"/>
      <c r="F118" s="231"/>
      <c r="G118" s="204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">
      <c r="A119" s="180">
        <f>'Données projet'!A117</f>
        <v>0</v>
      </c>
      <c r="B119" s="181">
        <f>'Données projet'!D117</f>
        <v>0</v>
      </c>
      <c r="C119" s="191">
        <f>225*'Données projet'!E117+13.8*('Données projet'!F117+'Données projet'!G117)+10*'Données projet'!H117</f>
        <v>0</v>
      </c>
      <c r="D119" s="179">
        <f t="shared" si="8"/>
        <v>0</v>
      </c>
      <c r="E119" s="193"/>
      <c r="F119" s="231"/>
      <c r="G119" s="204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">
      <c r="A120" s="180">
        <f>'Données projet'!A118</f>
        <v>0</v>
      </c>
      <c r="B120" s="181">
        <f>'Données projet'!D118</f>
        <v>0</v>
      </c>
      <c r="C120" s="191">
        <f>225*'Données projet'!E118+13.8*('Données projet'!F118+'Données projet'!G118)+10*'Données projet'!H118</f>
        <v>0</v>
      </c>
      <c r="D120" s="179">
        <f t="shared" si="8"/>
        <v>0</v>
      </c>
      <c r="E120" s="193"/>
      <c r="F120" s="231"/>
      <c r="G120" s="204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">
      <c r="A121" s="180">
        <f>'Données projet'!A119</f>
        <v>0</v>
      </c>
      <c r="B121" s="181">
        <f>'Données projet'!D119</f>
        <v>0</v>
      </c>
      <c r="C121" s="191">
        <f>225*'Données projet'!E119+13.8*('Données projet'!F119+'Données projet'!G119)+10*'Données projet'!H119</f>
        <v>0</v>
      </c>
      <c r="D121" s="179">
        <f t="shared" si="8"/>
        <v>0</v>
      </c>
      <c r="E121" s="193"/>
      <c r="F121" s="231"/>
      <c r="G121" s="204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">
      <c r="A122" s="180">
        <f>'Données projet'!A120</f>
        <v>0</v>
      </c>
      <c r="B122" s="181">
        <f>'Données projet'!D120</f>
        <v>0</v>
      </c>
      <c r="C122" s="191">
        <f>225*'Données projet'!E120+13.8*('Données projet'!F120+'Données projet'!G120)+10*'Données projet'!H120</f>
        <v>0</v>
      </c>
      <c r="D122" s="179">
        <f t="shared" si="8"/>
        <v>0</v>
      </c>
      <c r="E122" s="193"/>
      <c r="F122" s="231"/>
      <c r="G122" s="205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">
      <c r="A123" s="180">
        <f>'Données projet'!A121</f>
        <v>0</v>
      </c>
      <c r="B123" s="181">
        <f>'Données projet'!D121</f>
        <v>0</v>
      </c>
      <c r="C123" s="191">
        <f>225*'Données projet'!E121+13.8*('Données projet'!F121+'Données projet'!G121)+10*'Données projet'!H121</f>
        <v>0</v>
      </c>
      <c r="D123" s="179">
        <f t="shared" si="8"/>
        <v>0</v>
      </c>
      <c r="E123" s="193"/>
      <c r="F123" s="231"/>
      <c r="G123" s="205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">
      <c r="A124" s="180">
        <f>'Données projet'!A122</f>
        <v>0</v>
      </c>
      <c r="B124" s="181">
        <f>'Données projet'!D122</f>
        <v>0</v>
      </c>
      <c r="C124" s="191">
        <f>225*'Données projet'!E122+13.8*('Données projet'!F122+'Données projet'!G122)+10*'Données projet'!H122</f>
        <v>0</v>
      </c>
      <c r="D124" s="179">
        <f t="shared" si="8"/>
        <v>0</v>
      </c>
      <c r="E124" s="193"/>
      <c r="F124" s="231"/>
      <c r="G124" s="205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">
      <c r="A125" s="180">
        <f>'Données projet'!A123</f>
        <v>0</v>
      </c>
      <c r="B125" s="181">
        <f>'Données projet'!D123</f>
        <v>0</v>
      </c>
      <c r="C125" s="191">
        <f>225*'Données projet'!E123+13.8*('Données projet'!F123+'Données projet'!G123)+10*'Données projet'!H123</f>
        <v>0</v>
      </c>
      <c r="D125" s="179">
        <f t="shared" si="8"/>
        <v>0</v>
      </c>
      <c r="E125" s="193"/>
      <c r="F125" s="231"/>
      <c r="G125" s="205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">
      <c r="A126" s="180">
        <f>'Données projet'!A124</f>
        <v>0</v>
      </c>
      <c r="B126" s="181">
        <f>'Données projet'!D124</f>
        <v>0</v>
      </c>
      <c r="C126" s="191">
        <f>225*'Données projet'!E124+13.8*('Données projet'!F124+'Données projet'!G124)+10*'Données projet'!H124</f>
        <v>0</v>
      </c>
      <c r="D126" s="179">
        <f t="shared" si="8"/>
        <v>0</v>
      </c>
      <c r="E126" s="193"/>
      <c r="F126" s="231"/>
      <c r="G126" s="205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">
      <c r="A127" s="180">
        <f>'Données projet'!A125</f>
        <v>0</v>
      </c>
      <c r="B127" s="181">
        <f>'Données projet'!D125</f>
        <v>0</v>
      </c>
      <c r="C127" s="191">
        <f>225*'Données projet'!E125+13.8*('Données projet'!F125+'Données projet'!G125)+10*'Données projet'!H125</f>
        <v>0</v>
      </c>
      <c r="D127" s="179">
        <f t="shared" si="8"/>
        <v>0</v>
      </c>
      <c r="E127" s="193"/>
      <c r="F127" s="231"/>
      <c r="G127" s="205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">
      <c r="A128" s="180">
        <f>'Données projet'!A126</f>
        <v>0</v>
      </c>
      <c r="B128" s="181">
        <f>'Données projet'!D126</f>
        <v>0</v>
      </c>
      <c r="C128" s="191">
        <f>225*'Données projet'!E126+13.8*('Données projet'!F126+'Données projet'!G126)+10*'Données projet'!H126</f>
        <v>0</v>
      </c>
      <c r="D128" s="179">
        <f t="shared" si="8"/>
        <v>0</v>
      </c>
      <c r="E128" s="193"/>
      <c r="F128" s="231"/>
      <c r="G128" s="205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">
      <c r="A129" s="180">
        <f>'Données projet'!A127</f>
        <v>0</v>
      </c>
      <c r="B129" s="181">
        <f>'Données projet'!D127</f>
        <v>0</v>
      </c>
      <c r="C129" s="191">
        <f>225*'Données projet'!E127+13.8*('Données projet'!F127+'Données projet'!G127)+10*'Données projet'!H127</f>
        <v>0</v>
      </c>
      <c r="D129" s="179">
        <f t="shared" si="8"/>
        <v>0</v>
      </c>
      <c r="E129" s="193"/>
      <c r="F129" s="231"/>
      <c r="G129" s="205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">
      <c r="A130" s="180">
        <f>'Données projet'!A128</f>
        <v>0</v>
      </c>
      <c r="B130" s="181">
        <f>'Données projet'!D128</f>
        <v>0</v>
      </c>
      <c r="C130" s="191">
        <f>225*'Données projet'!E128+13.8*('Données projet'!F128+'Données projet'!G128)+10*'Données projet'!H128</f>
        <v>0</v>
      </c>
      <c r="D130" s="179">
        <f t="shared" si="8"/>
        <v>0</v>
      </c>
      <c r="E130" s="193"/>
      <c r="F130" s="231"/>
      <c r="G130" s="205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">
      <c r="A131" s="180">
        <f>'Données projet'!A129</f>
        <v>0</v>
      </c>
      <c r="B131" s="181">
        <f>'Données projet'!D129</f>
        <v>0</v>
      </c>
      <c r="C131" s="191">
        <f>225*'Données projet'!E129+13.8*('Données projet'!F129+'Données projet'!G129)+10*'Données projet'!H129</f>
        <v>0</v>
      </c>
      <c r="D131" s="179">
        <f t="shared" si="8"/>
        <v>0</v>
      </c>
      <c r="E131" s="193"/>
      <c r="F131" s="231"/>
      <c r="G131" s="205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">
      <c r="A132" s="180">
        <f>'Données projet'!A130</f>
        <v>0</v>
      </c>
      <c r="B132" s="181">
        <f>'Données projet'!D130</f>
        <v>0</v>
      </c>
      <c r="C132" s="191">
        <f>225*'Données projet'!E130+13.8*('Données projet'!F130+'Données projet'!G130)+10*'Données projet'!H130</f>
        <v>0</v>
      </c>
      <c r="D132" s="179">
        <f t="shared" si="8"/>
        <v>0</v>
      </c>
      <c r="E132" s="193"/>
      <c r="F132" s="231"/>
      <c r="G132" s="205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">
      <c r="A133" s="180">
        <f>'Données projet'!A131</f>
        <v>0</v>
      </c>
      <c r="B133" s="181">
        <f>'Données projet'!D131</f>
        <v>0</v>
      </c>
      <c r="C133" s="191">
        <f>225*'Données projet'!E131+13.8*('Données projet'!F131+'Données projet'!G131)+10*'Données projet'!H131</f>
        <v>0</v>
      </c>
      <c r="D133" s="179">
        <f t="shared" si="8"/>
        <v>0</v>
      </c>
      <c r="E133" s="193"/>
      <c r="F133" s="231"/>
      <c r="G133" s="205"/>
      <c r="H133" s="190"/>
      <c r="I133" s="191"/>
      <c r="J133" s="4"/>
      <c r="K133" s="173"/>
      <c r="Q133" s="23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">
      <c r="A134" s="180">
        <f>'Données projet'!A132</f>
        <v>0</v>
      </c>
      <c r="B134" s="181">
        <f>'Données projet'!D132</f>
        <v>0</v>
      </c>
      <c r="C134" s="191">
        <f>225*'Données projet'!E132+13.8*('Données projet'!F132+'Données projet'!G132)+10*'Données projet'!H132</f>
        <v>0</v>
      </c>
      <c r="D134" s="179">
        <f t="shared" si="8"/>
        <v>0</v>
      </c>
      <c r="E134" s="193"/>
      <c r="F134" s="231"/>
      <c r="G134" s="205"/>
      <c r="H134" s="190"/>
      <c r="I134" s="191"/>
      <c r="J134" s="4"/>
      <c r="K134" s="173"/>
      <c r="Q134" s="23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">
      <c r="A135" s="180">
        <f>'Données projet'!A133</f>
        <v>0</v>
      </c>
      <c r="B135" s="181">
        <f>'Données projet'!D133</f>
        <v>0</v>
      </c>
      <c r="C135" s="191">
        <f>225*'Données projet'!E133+13.8*('Données projet'!F133+'Données projet'!G133)+10*'Données projet'!H133</f>
        <v>0</v>
      </c>
      <c r="D135" s="179">
        <f t="shared" si="8"/>
        <v>0</v>
      </c>
      <c r="E135" s="193"/>
      <c r="F135" s="231"/>
      <c r="G135" s="205"/>
      <c r="H135" s="190"/>
      <c r="I135" s="191"/>
      <c r="J135" s="4"/>
      <c r="K135" s="173"/>
      <c r="Q135" s="23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">
      <c r="A136" s="4"/>
      <c r="B136" s="4"/>
      <c r="C136" s="4"/>
      <c r="D136" s="4"/>
      <c r="E136" s="4"/>
      <c r="F136" s="229"/>
      <c r="G136" s="205"/>
      <c r="H136" s="190"/>
      <c r="I136" s="191"/>
      <c r="J136" s="4"/>
      <c r="K136" s="173"/>
      <c r="L136" s="4"/>
      <c r="M136" s="4"/>
      <c r="N136" s="4"/>
      <c r="Q136" s="23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">
      <c r="A137" s="4"/>
      <c r="B137" s="4"/>
      <c r="C137" s="4"/>
      <c r="D137" s="4"/>
      <c r="E137" s="4"/>
      <c r="F137" s="229"/>
      <c r="G137" s="205"/>
      <c r="H137" s="190"/>
      <c r="I137" s="191"/>
      <c r="J137" s="4"/>
      <c r="K137" s="173"/>
      <c r="L137" s="4"/>
      <c r="M137" s="4"/>
      <c r="N137" s="4"/>
      <c r="Q137" s="23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29"/>
      <c r="G138" s="205"/>
      <c r="H138" s="190"/>
      <c r="I138" s="191"/>
      <c r="J138" s="4"/>
      <c r="K138" s="173"/>
      <c r="L138" s="4"/>
      <c r="M138" s="4"/>
      <c r="N138" s="4"/>
      <c r="Q138" s="23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">
      <c r="A139" s="4"/>
      <c r="B139" s="4"/>
      <c r="C139" s="4"/>
      <c r="D139" s="4"/>
      <c r="E139" s="4"/>
      <c r="F139" s="229"/>
      <c r="G139" s="205"/>
      <c r="H139" s="190"/>
      <c r="I139" s="191"/>
      <c r="J139" s="4"/>
      <c r="K139" s="173"/>
      <c r="L139" s="4"/>
      <c r="M139" s="4"/>
      <c r="N139" s="4"/>
      <c r="Q139" s="23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ht="16" x14ac:dyDescent="0.2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0"/>
      <c r="G140" s="205"/>
      <c r="H140" s="190"/>
      <c r="I140" s="191"/>
      <c r="J140" s="4"/>
      <c r="K140" s="173"/>
      <c r="L140" s="4"/>
      <c r="M140" s="4"/>
      <c r="N140" s="4"/>
      <c r="Q140" s="23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ht="16" x14ac:dyDescent="0.2">
      <c r="A141" s="49">
        <v>0</v>
      </c>
      <c r="B141" s="198" t="s">
        <v>132</v>
      </c>
      <c r="C141" s="197" t="s">
        <v>132</v>
      </c>
      <c r="D141" s="196" t="s">
        <v>132</v>
      </c>
      <c r="E141" s="193"/>
      <c r="F141" s="230"/>
      <c r="G141" s="205"/>
      <c r="H141" s="190"/>
      <c r="I141" s="191"/>
      <c r="J141" s="4"/>
      <c r="K141" s="173"/>
      <c r="L141" s="4"/>
      <c r="M141" s="4"/>
      <c r="N141" s="4"/>
      <c r="Q141" s="23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ht="16" x14ac:dyDescent="0.2">
      <c r="A142" s="49">
        <v>1</v>
      </c>
      <c r="B142" s="198" t="s">
        <v>132</v>
      </c>
      <c r="C142" s="197" t="s">
        <v>132</v>
      </c>
      <c r="D142" s="196" t="s">
        <v>132</v>
      </c>
      <c r="E142" s="193"/>
      <c r="F142" s="230"/>
      <c r="G142" s="23"/>
      <c r="H142" s="190"/>
      <c r="I142" s="191"/>
      <c r="J142" s="4"/>
      <c r="K142" s="173"/>
      <c r="L142" s="4"/>
      <c r="M142" s="4"/>
      <c r="N142" s="4"/>
      <c r="Q142" s="23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ht="16" x14ac:dyDescent="0.2">
      <c r="A143" s="49">
        <v>2</v>
      </c>
      <c r="B143" s="198" t="s">
        <v>132</v>
      </c>
      <c r="C143" s="197" t="s">
        <v>132</v>
      </c>
      <c r="D143" s="196" t="s">
        <v>132</v>
      </c>
      <c r="E143" s="193"/>
      <c r="F143" s="230"/>
      <c r="G143" s="23"/>
      <c r="H143" s="190"/>
      <c r="I143" s="191"/>
      <c r="J143" s="4"/>
      <c r="K143" s="173"/>
      <c r="L143" s="4"/>
      <c r="M143" s="4"/>
      <c r="N143" s="4"/>
      <c r="Q143" s="23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ht="16" x14ac:dyDescent="0.2">
      <c r="A144" s="49">
        <v>3</v>
      </c>
      <c r="B144" s="198" t="s">
        <v>132</v>
      </c>
      <c r="C144" s="197" t="s">
        <v>132</v>
      </c>
      <c r="D144" s="196" t="s">
        <v>132</v>
      </c>
      <c r="E144" s="193"/>
      <c r="F144" s="230"/>
      <c r="G144" s="23"/>
      <c r="H144" s="190"/>
      <c r="I144" s="191"/>
      <c r="J144" s="4"/>
      <c r="K144" s="173"/>
      <c r="L144" s="4"/>
      <c r="M144" s="4"/>
      <c r="N144" s="4"/>
      <c r="Q144" s="23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ht="16" x14ac:dyDescent="0.2">
      <c r="A145" s="49">
        <v>4</v>
      </c>
      <c r="B145" s="198" t="s">
        <v>132</v>
      </c>
      <c r="C145" s="197" t="s">
        <v>132</v>
      </c>
      <c r="D145" s="196" t="s">
        <v>132</v>
      </c>
      <c r="E145" s="193"/>
      <c r="F145" s="230"/>
      <c r="G145" s="23"/>
      <c r="H145" s="190"/>
      <c r="I145" s="191"/>
      <c r="J145" s="4"/>
      <c r="K145" s="173"/>
      <c r="L145" s="4"/>
      <c r="M145" s="4"/>
      <c r="N145" s="4"/>
      <c r="Q145" s="23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">
      <c r="A146" s="49">
        <v>5</v>
      </c>
      <c r="B146" s="198" t="s">
        <v>132</v>
      </c>
      <c r="C146" s="197" t="s">
        <v>132</v>
      </c>
      <c r="D146" s="196" t="s">
        <v>132</v>
      </c>
      <c r="E146" s="193"/>
      <c r="F146" s="230"/>
      <c r="G146" s="204"/>
      <c r="H146" s="190"/>
      <c r="I146" s="191"/>
      <c r="J146" s="4"/>
      <c r="K146" s="173"/>
      <c r="L146" s="4"/>
      <c r="M146" s="4"/>
      <c r="N146" s="4"/>
      <c r="Q146" s="23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">
      <c r="A147" s="42">
        <f>'Données projet'!A140</f>
        <v>0</v>
      </c>
      <c r="B147" s="175">
        <f>'Données projet'!D140</f>
        <v>0</v>
      </c>
      <c r="C147" s="191">
        <f>225*'Données projet'!E140+13.8*('Données projet'!F140+'Données projet'!G140)+10*'Données projet'!H140</f>
        <v>0</v>
      </c>
      <c r="D147" s="182">
        <f>B147*C147</f>
        <v>0</v>
      </c>
      <c r="E147" s="193"/>
      <c r="F147" s="232"/>
      <c r="G147" s="204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">
      <c r="A148" s="42">
        <f>'Données projet'!A141</f>
        <v>0</v>
      </c>
      <c r="B148" s="175">
        <f>'Données projet'!D141</f>
        <v>0</v>
      </c>
      <c r="C148" s="191">
        <f>225*'Données projet'!E141+13.8*('Données projet'!F141+'Données projet'!G141)+10*'Données projet'!H141</f>
        <v>0</v>
      </c>
      <c r="D148" s="182">
        <f t="shared" ref="D148:D166" si="10">B148*C148</f>
        <v>0</v>
      </c>
      <c r="E148" s="193"/>
      <c r="F148" s="232"/>
      <c r="G148" s="204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">
      <c r="A149" s="42">
        <f>'Données projet'!A142</f>
        <v>0</v>
      </c>
      <c r="B149" s="175">
        <f>'Données projet'!D142</f>
        <v>0</v>
      </c>
      <c r="C149" s="191">
        <f>225*'Données projet'!E142+13.8*('Données projet'!F142+'Données projet'!G142)+10*'Données projet'!H142</f>
        <v>0</v>
      </c>
      <c r="D149" s="182">
        <f t="shared" si="10"/>
        <v>0</v>
      </c>
      <c r="E149" s="193"/>
      <c r="F149" s="232"/>
      <c r="G149" s="204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">
      <c r="A150" s="42">
        <f>'Données projet'!A143</f>
        <v>0</v>
      </c>
      <c r="B150" s="175">
        <f>'Données projet'!D143</f>
        <v>0</v>
      </c>
      <c r="C150" s="191">
        <f>225*'Données projet'!E143+13.8*('Données projet'!F143+'Données projet'!G143)+10*'Données projet'!H143</f>
        <v>0</v>
      </c>
      <c r="D150" s="182">
        <f t="shared" si="10"/>
        <v>0</v>
      </c>
      <c r="E150" s="193"/>
      <c r="F150" s="232"/>
      <c r="G150" s="204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">
      <c r="A151" s="42">
        <f>'Données projet'!A144</f>
        <v>0</v>
      </c>
      <c r="B151" s="175">
        <f>'Données projet'!D144</f>
        <v>0</v>
      </c>
      <c r="C151" s="191">
        <f>225*'Données projet'!E144+13.8*('Données projet'!F144+'Données projet'!G144)+10*'Données projet'!H144</f>
        <v>0</v>
      </c>
      <c r="D151" s="182">
        <f t="shared" si="10"/>
        <v>0</v>
      </c>
      <c r="E151" s="193"/>
      <c r="F151" s="232"/>
      <c r="G151" s="204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">
      <c r="A152" s="42">
        <f>'Données projet'!A145</f>
        <v>0</v>
      </c>
      <c r="B152" s="175">
        <f>'Données projet'!D145</f>
        <v>0</v>
      </c>
      <c r="C152" s="191">
        <f>225*'Données projet'!E145+13.8*('Données projet'!F145+'Données projet'!G145)+10*'Données projet'!H145</f>
        <v>0</v>
      </c>
      <c r="D152" s="182">
        <f t="shared" si="10"/>
        <v>0</v>
      </c>
      <c r="E152" s="193"/>
      <c r="F152" s="232"/>
      <c r="G152" s="204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">
      <c r="A153" s="42">
        <f>'Données projet'!A146</f>
        <v>0</v>
      </c>
      <c r="B153" s="175">
        <f>'Données projet'!D146</f>
        <v>0</v>
      </c>
      <c r="C153" s="191">
        <f>225*'Données projet'!E146+13.8*('Données projet'!F146+'Données projet'!G146)+10*'Données projet'!H146</f>
        <v>0</v>
      </c>
      <c r="D153" s="182">
        <f t="shared" si="10"/>
        <v>0</v>
      </c>
      <c r="E153" s="193"/>
      <c r="F153" s="232"/>
      <c r="G153" s="202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">
      <c r="A154" s="42">
        <f>'Données projet'!A147</f>
        <v>0</v>
      </c>
      <c r="B154" s="175">
        <f>'Données projet'!D147</f>
        <v>0</v>
      </c>
      <c r="C154" s="191">
        <f>225*'Données projet'!E147+13.8*('Données projet'!F147+'Données projet'!G147)+10*'Données projet'!H147</f>
        <v>0</v>
      </c>
      <c r="D154" s="182">
        <f t="shared" si="10"/>
        <v>0</v>
      </c>
      <c r="E154" s="193"/>
      <c r="F154" s="232"/>
      <c r="G154" s="202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">
      <c r="A155" s="42">
        <f>'Données projet'!A148</f>
        <v>0</v>
      </c>
      <c r="B155" s="175">
        <f>'Données projet'!D148</f>
        <v>0</v>
      </c>
      <c r="C155" s="191">
        <f>225*'Données projet'!E148+13.8*('Données projet'!F148+'Données projet'!G148)+10*'Données projet'!H148</f>
        <v>0</v>
      </c>
      <c r="D155" s="182">
        <f t="shared" si="10"/>
        <v>0</v>
      </c>
      <c r="E155" s="193"/>
      <c r="F155" s="232"/>
      <c r="G155" s="202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">
      <c r="A156" s="42">
        <f>'Données projet'!A149</f>
        <v>0</v>
      </c>
      <c r="B156" s="175">
        <f>'Données projet'!D149</f>
        <v>0</v>
      </c>
      <c r="C156" s="191">
        <f>225*'Données projet'!E149+13.8*('Données projet'!F149+'Données projet'!G149)+10*'Données projet'!H149</f>
        <v>0</v>
      </c>
      <c r="D156" s="182">
        <f t="shared" si="10"/>
        <v>0</v>
      </c>
      <c r="E156" s="193"/>
      <c r="F156" s="232"/>
      <c r="G156" s="202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">
      <c r="A157" s="42">
        <f>'Données projet'!A150</f>
        <v>0</v>
      </c>
      <c r="B157" s="175">
        <f>'Données projet'!D150</f>
        <v>0</v>
      </c>
      <c r="C157" s="191">
        <f>225*'Données projet'!E150+13.8*('Données projet'!F150+'Données projet'!G150)+10*'Données projet'!H150</f>
        <v>0</v>
      </c>
      <c r="D157" s="182">
        <f t="shared" si="10"/>
        <v>0</v>
      </c>
      <c r="E157" s="193"/>
      <c r="F157" s="232"/>
      <c r="G157" s="202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">
      <c r="A158" s="42">
        <f>'Données projet'!A151</f>
        <v>0</v>
      </c>
      <c r="B158" s="175">
        <f>'Données projet'!D151</f>
        <v>0</v>
      </c>
      <c r="C158" s="191">
        <f>225*'Données projet'!E151+13.8*('Données projet'!F151+'Données projet'!G151)+10*'Données projet'!H151</f>
        <v>0</v>
      </c>
      <c r="D158" s="182">
        <f t="shared" si="10"/>
        <v>0</v>
      </c>
      <c r="E158" s="193"/>
      <c r="F158" s="232"/>
      <c r="G158" s="202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">
      <c r="A159" s="42">
        <f>'Données projet'!A152</f>
        <v>0</v>
      </c>
      <c r="B159" s="175">
        <f>'Données projet'!D152</f>
        <v>0</v>
      </c>
      <c r="C159" s="191">
        <f>225*'Données projet'!E152+13.8*('Données projet'!F152+'Données projet'!G152)+10*'Données projet'!H152</f>
        <v>0</v>
      </c>
      <c r="D159" s="182">
        <f t="shared" si="10"/>
        <v>0</v>
      </c>
      <c r="E159" s="193"/>
      <c r="F159" s="232"/>
      <c r="G159" s="202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">
      <c r="A160" s="42">
        <f>'Données projet'!A153</f>
        <v>0</v>
      </c>
      <c r="B160" s="175">
        <f>'Données projet'!D153</f>
        <v>0</v>
      </c>
      <c r="C160" s="191">
        <f>225*'Données projet'!E153+13.8*('Données projet'!F153+'Données projet'!G153)+10*'Données projet'!H153</f>
        <v>0</v>
      </c>
      <c r="D160" s="182">
        <f t="shared" si="10"/>
        <v>0</v>
      </c>
      <c r="E160" s="193"/>
      <c r="F160" s="232"/>
      <c r="G160" s="202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">
      <c r="A161" s="42">
        <f>'Données projet'!A154</f>
        <v>0</v>
      </c>
      <c r="B161" s="175">
        <f>'Données projet'!D154</f>
        <v>0</v>
      </c>
      <c r="C161" s="191">
        <f>225*'Données projet'!E154+13.8*('Données projet'!F154+'Données projet'!G154)+10*'Données projet'!H154</f>
        <v>0</v>
      </c>
      <c r="D161" s="182">
        <f t="shared" si="10"/>
        <v>0</v>
      </c>
      <c r="E161" s="193"/>
      <c r="F161" s="232"/>
      <c r="G161" s="202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">
      <c r="A162" s="42">
        <f>'Données projet'!A155</f>
        <v>0</v>
      </c>
      <c r="B162" s="175">
        <f>'Données projet'!D155</f>
        <v>0</v>
      </c>
      <c r="C162" s="191">
        <f>225*'Données projet'!E155+13.8*('Données projet'!F155+'Données projet'!G155)+10*'Données projet'!H155</f>
        <v>0</v>
      </c>
      <c r="D162" s="182">
        <f t="shared" si="10"/>
        <v>0</v>
      </c>
      <c r="E162" s="193"/>
      <c r="F162" s="232"/>
      <c r="G162" s="202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">
      <c r="A163" s="42">
        <f>'Données projet'!A156</f>
        <v>0</v>
      </c>
      <c r="B163" s="175">
        <f>'Données projet'!D156</f>
        <v>0</v>
      </c>
      <c r="C163" s="191">
        <f>225*'Données projet'!E156+13.8*('Données projet'!F156+'Données projet'!G156)+10*'Données projet'!H156</f>
        <v>0</v>
      </c>
      <c r="D163" s="182">
        <f t="shared" si="10"/>
        <v>0</v>
      </c>
      <c r="E163" s="193"/>
      <c r="F163" s="232"/>
      <c r="G163" s="202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">
      <c r="A164" s="42">
        <f>'Données projet'!A157</f>
        <v>0</v>
      </c>
      <c r="B164" s="175">
        <f>'Données projet'!D157</f>
        <v>0</v>
      </c>
      <c r="C164" s="191">
        <f>225*'Données projet'!E157+13.8*('Données projet'!F157+'Données projet'!G157)+10*'Données projet'!H157</f>
        <v>0</v>
      </c>
      <c r="D164" s="182">
        <f t="shared" si="10"/>
        <v>0</v>
      </c>
      <c r="E164" s="193"/>
      <c r="F164" s="232"/>
      <c r="G164" s="202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">
      <c r="A165" s="42">
        <f>'Données projet'!A158</f>
        <v>0</v>
      </c>
      <c r="B165" s="175">
        <f>'Données projet'!D158</f>
        <v>0</v>
      </c>
      <c r="C165" s="191">
        <f>225*'Données projet'!E158+13.8*('Données projet'!F158+'Données projet'!G158)+10*'Données projet'!H158</f>
        <v>0</v>
      </c>
      <c r="D165" s="182">
        <f t="shared" si="10"/>
        <v>0</v>
      </c>
      <c r="E165" s="193"/>
      <c r="F165" s="232"/>
      <c r="G165" s="202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">
      <c r="A166" s="42">
        <f>'Données projet'!A159</f>
        <v>0</v>
      </c>
      <c r="B166" s="175">
        <f>'Données projet'!D159</f>
        <v>0</v>
      </c>
      <c r="C166" s="191">
        <f>225*'Données projet'!E159+13.8*('Données projet'!F159+'Données projet'!G159)+10*'Données projet'!H159</f>
        <v>0</v>
      </c>
      <c r="D166" s="182">
        <f t="shared" si="10"/>
        <v>0</v>
      </c>
      <c r="E166" s="193"/>
      <c r="F166" s="232"/>
      <c r="G166" s="202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">
      <c r="A167" s="4"/>
      <c r="B167" s="4"/>
      <c r="C167" s="4"/>
      <c r="D167" s="4"/>
      <c r="E167" s="4"/>
      <c r="F167" s="229"/>
      <c r="G167" s="202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">
      <c r="A168" s="4"/>
      <c r="B168" s="4"/>
      <c r="C168" s="4"/>
      <c r="D168" s="4"/>
      <c r="E168" s="4"/>
      <c r="F168" s="229"/>
      <c r="G168" s="202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29"/>
      <c r="G169" s="202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">
      <c r="A170" s="4"/>
      <c r="B170" s="4"/>
      <c r="C170" s="4"/>
      <c r="D170" s="4"/>
      <c r="E170" s="4"/>
      <c r="F170" s="229"/>
      <c r="G170" s="202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ht="16" x14ac:dyDescent="0.2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0"/>
      <c r="G171" s="202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ht="16" x14ac:dyDescent="0.2">
      <c r="A172" s="49">
        <v>0</v>
      </c>
      <c r="B172" s="198" t="s">
        <v>132</v>
      </c>
      <c r="C172" s="197" t="s">
        <v>132</v>
      </c>
      <c r="D172" s="196" t="s">
        <v>132</v>
      </c>
      <c r="E172" s="193"/>
      <c r="F172" s="230"/>
      <c r="G172" s="202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ht="16" x14ac:dyDescent="0.2">
      <c r="A173" s="49">
        <v>1</v>
      </c>
      <c r="B173" s="198" t="s">
        <v>132</v>
      </c>
      <c r="C173" s="197" t="s">
        <v>132</v>
      </c>
      <c r="D173" s="196" t="s">
        <v>132</v>
      </c>
      <c r="E173" s="193"/>
      <c r="F173" s="230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ht="16" x14ac:dyDescent="0.2">
      <c r="A174" s="49">
        <v>2</v>
      </c>
      <c r="B174" s="198" t="s">
        <v>132</v>
      </c>
      <c r="C174" s="197" t="s">
        <v>132</v>
      </c>
      <c r="D174" s="196" t="s">
        <v>132</v>
      </c>
      <c r="E174" s="193"/>
      <c r="F174" s="230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ht="16" x14ac:dyDescent="0.2">
      <c r="A175" s="49">
        <v>3</v>
      </c>
      <c r="B175" s="198" t="s">
        <v>132</v>
      </c>
      <c r="C175" s="197" t="s">
        <v>132</v>
      </c>
      <c r="D175" s="196" t="s">
        <v>132</v>
      </c>
      <c r="E175" s="193"/>
      <c r="F175" s="230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ht="16" x14ac:dyDescent="0.2">
      <c r="A176" s="49">
        <v>4</v>
      </c>
      <c r="B176" s="198" t="s">
        <v>132</v>
      </c>
      <c r="C176" s="197" t="s">
        <v>132</v>
      </c>
      <c r="D176" s="196" t="s">
        <v>132</v>
      </c>
      <c r="E176" s="193"/>
      <c r="F176" s="230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">
      <c r="A177" s="49">
        <v>5</v>
      </c>
      <c r="B177" s="198" t="s">
        <v>132</v>
      </c>
      <c r="C177" s="197" t="s">
        <v>132</v>
      </c>
      <c r="D177" s="196" t="s">
        <v>132</v>
      </c>
      <c r="E177" s="193"/>
      <c r="F177" s="230"/>
      <c r="G177" s="204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">
      <c r="A178" s="180">
        <f>'Données projet'!A166</f>
        <v>0</v>
      </c>
      <c r="B178" s="181">
        <f>'Données projet'!D166</f>
        <v>0</v>
      </c>
      <c r="C178" s="193">
        <f>225*'Données projet'!E166+13.8*('Données projet'!F166+'Données projet'!G168)+10*'Données projet'!H166</f>
        <v>0</v>
      </c>
      <c r="D178" s="179">
        <f>B178*C178</f>
        <v>0</v>
      </c>
      <c r="E178" s="193"/>
      <c r="F178" s="231"/>
      <c r="G178" s="204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">
      <c r="A179" s="180">
        <f>'Données projet'!A167</f>
        <v>0</v>
      </c>
      <c r="B179" s="181">
        <f>'Données projet'!D167</f>
        <v>0</v>
      </c>
      <c r="C179" s="193">
        <f>225*'Données projet'!E167+13.8*('Données projet'!F167+'Données projet'!G169)+10*'Données projet'!H167</f>
        <v>0</v>
      </c>
      <c r="D179" s="179">
        <f t="shared" ref="D179:D197" si="11">B179*C179</f>
        <v>0</v>
      </c>
      <c r="E179" s="193"/>
      <c r="F179" s="231"/>
      <c r="G179" s="204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">
      <c r="A180" s="180">
        <f>'Données projet'!A168</f>
        <v>0</v>
      </c>
      <c r="B180" s="181">
        <f>'Données projet'!D168</f>
        <v>0</v>
      </c>
      <c r="C180" s="193">
        <f>225*'Données projet'!E168+13.8*('Données projet'!F168+'Données projet'!G170)+10*'Données projet'!H168</f>
        <v>0</v>
      </c>
      <c r="D180" s="179">
        <f t="shared" si="11"/>
        <v>0</v>
      </c>
      <c r="E180" s="193"/>
      <c r="F180" s="231"/>
      <c r="G180" s="204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">
      <c r="A181" s="180">
        <f>'Données projet'!A169</f>
        <v>0</v>
      </c>
      <c r="B181" s="181">
        <f>'Données projet'!D169</f>
        <v>0</v>
      </c>
      <c r="C181" s="193">
        <f>225*'Données projet'!E169+13.8*('Données projet'!F169+'Données projet'!G171)+10*'Données projet'!H169</f>
        <v>0</v>
      </c>
      <c r="D181" s="179">
        <f t="shared" si="11"/>
        <v>0</v>
      </c>
      <c r="E181" s="193"/>
      <c r="F181" s="231"/>
      <c r="G181" s="204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">
      <c r="A182" s="180">
        <f>'Données projet'!A170</f>
        <v>0</v>
      </c>
      <c r="B182" s="181">
        <f>'Données projet'!D170</f>
        <v>0</v>
      </c>
      <c r="C182" s="193">
        <f>225*'Données projet'!E170+13.8*('Données projet'!F170+'Données projet'!G172)+10*'Données projet'!H170</f>
        <v>0</v>
      </c>
      <c r="D182" s="179">
        <f t="shared" si="11"/>
        <v>0</v>
      </c>
      <c r="E182" s="193"/>
      <c r="F182" s="231"/>
      <c r="G182" s="204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">
      <c r="A183" s="180">
        <f>'Données projet'!A171</f>
        <v>0</v>
      </c>
      <c r="B183" s="181">
        <f>'Données projet'!D171</f>
        <v>0</v>
      </c>
      <c r="C183" s="193">
        <f>225*'Données projet'!E171+13.8*('Données projet'!F171+'Données projet'!G173)+10*'Données projet'!H171</f>
        <v>0</v>
      </c>
      <c r="D183" s="179">
        <f t="shared" si="11"/>
        <v>0</v>
      </c>
      <c r="E183" s="193"/>
      <c r="F183" s="231"/>
      <c r="G183" s="204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">
      <c r="A184" s="180">
        <f>'Données projet'!A172</f>
        <v>0</v>
      </c>
      <c r="B184" s="181">
        <f>'Données projet'!D172</f>
        <v>0</v>
      </c>
      <c r="C184" s="193">
        <f>225*'Données projet'!E172+13.8*('Données projet'!F172+'Données projet'!G174)+10*'Données projet'!H172</f>
        <v>0</v>
      </c>
      <c r="D184" s="179">
        <f t="shared" si="11"/>
        <v>0</v>
      </c>
      <c r="E184" s="193"/>
      <c r="F184" s="231"/>
      <c r="G184" s="205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">
      <c r="A185" s="180">
        <f>'Données projet'!A173</f>
        <v>0</v>
      </c>
      <c r="B185" s="181">
        <f>'Données projet'!D173</f>
        <v>0</v>
      </c>
      <c r="C185" s="193">
        <f>225*'Données projet'!E173+13.8*('Données projet'!F173+'Données projet'!G175)+10*'Données projet'!H173</f>
        <v>0</v>
      </c>
      <c r="D185" s="179">
        <f t="shared" si="11"/>
        <v>0</v>
      </c>
      <c r="E185" s="193"/>
      <c r="F185" s="231"/>
      <c r="G185" s="205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">
      <c r="A186" s="180">
        <f>'Données projet'!A174</f>
        <v>0</v>
      </c>
      <c r="B186" s="181">
        <f>'Données projet'!D174</f>
        <v>0</v>
      </c>
      <c r="C186" s="193">
        <f>225*'Données projet'!E174+13.8*('Données projet'!F174+'Données projet'!G176)+10*'Données projet'!H174</f>
        <v>0</v>
      </c>
      <c r="D186" s="179">
        <f t="shared" si="11"/>
        <v>0</v>
      </c>
      <c r="E186" s="193"/>
      <c r="F186" s="231"/>
      <c r="G186" s="205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">
      <c r="A187" s="180">
        <f>'Données projet'!A175</f>
        <v>0</v>
      </c>
      <c r="B187" s="181">
        <f>'Données projet'!D175</f>
        <v>0</v>
      </c>
      <c r="C187" s="193">
        <f>225*'Données projet'!E175+13.8*('Données projet'!F175+'Données projet'!G177)+10*'Données projet'!H175</f>
        <v>0</v>
      </c>
      <c r="D187" s="179">
        <f t="shared" si="11"/>
        <v>0</v>
      </c>
      <c r="E187" s="193"/>
      <c r="F187" s="231"/>
      <c r="G187" s="205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">
      <c r="A188" s="180">
        <f>'Données projet'!A176</f>
        <v>0</v>
      </c>
      <c r="B188" s="181">
        <f>'Données projet'!D176</f>
        <v>0</v>
      </c>
      <c r="C188" s="193">
        <f>225*'Données projet'!E176+13.8*('Données projet'!F176+'Données projet'!G178)+10*'Données projet'!H176</f>
        <v>0</v>
      </c>
      <c r="D188" s="179">
        <f t="shared" si="11"/>
        <v>0</v>
      </c>
      <c r="E188" s="193"/>
      <c r="F188" s="231"/>
      <c r="G188" s="205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">
      <c r="A189" s="180">
        <f>'Données projet'!A177</f>
        <v>0</v>
      </c>
      <c r="B189" s="181">
        <f>'Données projet'!D177</f>
        <v>0</v>
      </c>
      <c r="C189" s="193">
        <f>225*'Données projet'!E177+13.8*('Données projet'!F177+'Données projet'!G179)+10*'Données projet'!H177</f>
        <v>0</v>
      </c>
      <c r="D189" s="179">
        <f t="shared" si="11"/>
        <v>0</v>
      </c>
      <c r="E189" s="193"/>
      <c r="F189" s="231"/>
      <c r="G189" s="205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">
      <c r="A190" s="180">
        <f>'Données projet'!A178</f>
        <v>0</v>
      </c>
      <c r="B190" s="181">
        <f>'Données projet'!D178</f>
        <v>0</v>
      </c>
      <c r="C190" s="193">
        <f>225*'Données projet'!E178+13.8*('Données projet'!F178+'Données projet'!G180)+10*'Données projet'!H178</f>
        <v>0</v>
      </c>
      <c r="D190" s="179">
        <f t="shared" si="11"/>
        <v>0</v>
      </c>
      <c r="E190" s="193"/>
      <c r="F190" s="231"/>
      <c r="G190" s="205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">
      <c r="A191" s="180">
        <f>'Données projet'!A179</f>
        <v>0</v>
      </c>
      <c r="B191" s="181">
        <f>'Données projet'!D179</f>
        <v>0</v>
      </c>
      <c r="C191" s="193">
        <f>225*'Données projet'!E179+13.8*('Données projet'!F179+'Données projet'!G181)+10*'Données projet'!H179</f>
        <v>0</v>
      </c>
      <c r="D191" s="179">
        <f t="shared" si="11"/>
        <v>0</v>
      </c>
      <c r="E191" s="193"/>
      <c r="F191" s="231"/>
      <c r="G191" s="205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">
      <c r="A192" s="180">
        <f>'Données projet'!A180</f>
        <v>0</v>
      </c>
      <c r="B192" s="181">
        <f>'Données projet'!D180</f>
        <v>0</v>
      </c>
      <c r="C192" s="193">
        <f>225*'Données projet'!E180+13.8*('Données projet'!F180+'Données projet'!G182)+10*'Données projet'!H180</f>
        <v>0</v>
      </c>
      <c r="D192" s="179">
        <f t="shared" si="11"/>
        <v>0</v>
      </c>
      <c r="E192" s="193"/>
      <c r="F192" s="231"/>
      <c r="G192" s="205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">
      <c r="A193" s="180">
        <f>'Données projet'!A181</f>
        <v>0</v>
      </c>
      <c r="B193" s="181">
        <f>'Données projet'!D181</f>
        <v>0</v>
      </c>
      <c r="C193" s="193">
        <f>225*'Données projet'!E181+13.8*('Données projet'!F181+'Données projet'!G183)+10*'Données projet'!H181</f>
        <v>0</v>
      </c>
      <c r="D193" s="179">
        <f t="shared" si="11"/>
        <v>0</v>
      </c>
      <c r="E193" s="193"/>
      <c r="F193" s="231"/>
      <c r="G193" s="205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">
      <c r="A194" s="180">
        <f>'Données projet'!A182</f>
        <v>0</v>
      </c>
      <c r="B194" s="181">
        <f>'Données projet'!D182</f>
        <v>0</v>
      </c>
      <c r="C194" s="193">
        <f>225*'Données projet'!E182+13.8*('Données projet'!F182+'Données projet'!G184)+10*'Données projet'!H182</f>
        <v>0</v>
      </c>
      <c r="D194" s="179">
        <f t="shared" si="11"/>
        <v>0</v>
      </c>
      <c r="E194" s="193"/>
      <c r="F194" s="231"/>
      <c r="G194" s="205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">
      <c r="A195" s="180">
        <f>'Données projet'!A183</f>
        <v>0</v>
      </c>
      <c r="B195" s="181">
        <f>'Données projet'!D183</f>
        <v>0</v>
      </c>
      <c r="C195" s="193">
        <f>225*'Données projet'!E183+13.8*('Données projet'!F183+'Données projet'!G185)+10*'Données projet'!H183</f>
        <v>0</v>
      </c>
      <c r="D195" s="179">
        <f t="shared" si="11"/>
        <v>0</v>
      </c>
      <c r="E195" s="193"/>
      <c r="F195" s="231"/>
      <c r="G195" s="205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">
      <c r="A196" s="180">
        <f>'Données projet'!A184</f>
        <v>0</v>
      </c>
      <c r="B196" s="181">
        <f>'Données projet'!D184</f>
        <v>0</v>
      </c>
      <c r="C196" s="193">
        <f>225*'Données projet'!E184+13.8*('Données projet'!F184+'Données projet'!G186)+10*'Données projet'!H184</f>
        <v>0</v>
      </c>
      <c r="D196" s="179">
        <f t="shared" si="11"/>
        <v>0</v>
      </c>
      <c r="E196" s="193"/>
      <c r="F196" s="231"/>
      <c r="G196" s="205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">
      <c r="A197" s="180">
        <f>'Données projet'!A185</f>
        <v>0</v>
      </c>
      <c r="B197" s="181">
        <f>'Données projet'!D185</f>
        <v>0</v>
      </c>
      <c r="C197" s="193">
        <f>225*'Données projet'!E185+13.8*('Données projet'!F185+'Données projet'!G187)+10*'Données projet'!H185</f>
        <v>0</v>
      </c>
      <c r="D197" s="179">
        <f t="shared" si="11"/>
        <v>0</v>
      </c>
      <c r="E197" s="193"/>
      <c r="F197" s="231"/>
      <c r="G197" s="205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">
      <c r="A198" s="4"/>
      <c r="B198" s="4"/>
      <c r="C198" s="4"/>
      <c r="D198" s="4"/>
      <c r="E198" s="4"/>
      <c r="F198" s="229"/>
      <c r="G198" s="205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">
      <c r="A199" s="4"/>
      <c r="B199" s="4"/>
      <c r="C199" s="4"/>
      <c r="D199" s="4"/>
      <c r="E199" s="4"/>
      <c r="F199" s="229"/>
      <c r="G199" s="205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29"/>
      <c r="G200" s="205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">
      <c r="A201" s="46"/>
      <c r="B201" s="4"/>
      <c r="C201" s="4"/>
      <c r="D201" s="4"/>
      <c r="E201" s="4"/>
      <c r="F201" s="229"/>
      <c r="G201" s="205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ht="16" x14ac:dyDescent="0.2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0"/>
      <c r="G202" s="205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ht="16" x14ac:dyDescent="0.2">
      <c r="A203" s="49">
        <v>0</v>
      </c>
      <c r="B203" s="198" t="s">
        <v>132</v>
      </c>
      <c r="C203" s="197" t="s">
        <v>132</v>
      </c>
      <c r="D203" s="196" t="s">
        <v>132</v>
      </c>
      <c r="E203" s="193"/>
      <c r="F203" s="230"/>
      <c r="G203" s="205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ht="16" x14ac:dyDescent="0.2">
      <c r="A204" s="49">
        <v>1</v>
      </c>
      <c r="B204" s="198" t="s">
        <v>132</v>
      </c>
      <c r="C204" s="197" t="s">
        <v>132</v>
      </c>
      <c r="D204" s="196" t="s">
        <v>132</v>
      </c>
      <c r="E204" s="193"/>
      <c r="F204" s="230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ht="16" x14ac:dyDescent="0.2">
      <c r="A205" s="49">
        <v>2</v>
      </c>
      <c r="B205" s="198" t="s">
        <v>132</v>
      </c>
      <c r="C205" s="197" t="s">
        <v>132</v>
      </c>
      <c r="D205" s="196" t="s">
        <v>132</v>
      </c>
      <c r="E205" s="193"/>
      <c r="F205" s="230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ht="16" x14ac:dyDescent="0.2">
      <c r="A206" s="49">
        <v>3</v>
      </c>
      <c r="B206" s="198" t="s">
        <v>132</v>
      </c>
      <c r="C206" s="197" t="s">
        <v>132</v>
      </c>
      <c r="D206" s="196" t="s">
        <v>132</v>
      </c>
      <c r="E206" s="193"/>
      <c r="F206" s="230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ht="16" x14ac:dyDescent="0.2">
      <c r="A207" s="49">
        <v>4</v>
      </c>
      <c r="B207" s="198" t="s">
        <v>132</v>
      </c>
      <c r="C207" s="197" t="s">
        <v>132</v>
      </c>
      <c r="D207" s="196" t="s">
        <v>132</v>
      </c>
      <c r="E207" s="193"/>
      <c r="F207" s="230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ht="16" x14ac:dyDescent="0.2">
      <c r="A208" s="49">
        <v>5</v>
      </c>
      <c r="B208" s="198" t="s">
        <v>132</v>
      </c>
      <c r="C208" s="197" t="s">
        <v>132</v>
      </c>
      <c r="D208" s="196" t="s">
        <v>132</v>
      </c>
      <c r="E208" s="193"/>
      <c r="F208" s="230"/>
      <c r="G208" s="204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">
      <c r="A209" s="180">
        <f>'Données projet'!A192</f>
        <v>0</v>
      </c>
      <c r="B209" s="181">
        <f>'Données projet'!D192</f>
        <v>0</v>
      </c>
      <c r="C209" s="193">
        <f>225*'Données projet'!E192+13.8*('Données projet'!F192+'Données projet'!G192)+10*'Données projet'!H192</f>
        <v>0</v>
      </c>
      <c r="D209" s="179">
        <f>B209*C209</f>
        <v>0</v>
      </c>
      <c r="E209" s="193"/>
      <c r="F209" s="231"/>
      <c r="G209" s="204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">
      <c r="A210" s="180">
        <f>'Données projet'!A193</f>
        <v>0</v>
      </c>
      <c r="B210" s="181">
        <f>'Données projet'!D193</f>
        <v>0</v>
      </c>
      <c r="C210" s="193">
        <f>225*'Données projet'!E193+13.8*('Données projet'!F193+'Données projet'!G193)+10*'Données projet'!H193</f>
        <v>0</v>
      </c>
      <c r="D210" s="179">
        <f t="shared" ref="D210:D228" si="12">B210*C210</f>
        <v>0</v>
      </c>
      <c r="E210" s="193"/>
      <c r="F210" s="231"/>
      <c r="G210" s="204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">
      <c r="A211" s="180">
        <f>'Données projet'!A194</f>
        <v>0</v>
      </c>
      <c r="B211" s="181">
        <f>'Données projet'!D194</f>
        <v>0</v>
      </c>
      <c r="C211" s="193">
        <f>225*'Données projet'!E194+13.8*('Données projet'!F194+'Données projet'!G194)+10*'Données projet'!H194</f>
        <v>0</v>
      </c>
      <c r="D211" s="179">
        <f t="shared" si="12"/>
        <v>0</v>
      </c>
      <c r="E211" s="193"/>
      <c r="F211" s="231"/>
      <c r="G211" s="204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">
      <c r="A212" s="180">
        <f>'Données projet'!A195</f>
        <v>0</v>
      </c>
      <c r="B212" s="181">
        <f>'Données projet'!D195</f>
        <v>0</v>
      </c>
      <c r="C212" s="193">
        <f>225*'Données projet'!E195+13.8*('Données projet'!F195+'Données projet'!G195)+10*'Données projet'!H195</f>
        <v>0</v>
      </c>
      <c r="D212" s="179">
        <f t="shared" si="12"/>
        <v>0</v>
      </c>
      <c r="E212" s="193"/>
      <c r="F212" s="231"/>
      <c r="G212" s="204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">
      <c r="A213" s="180">
        <f>'Données projet'!A196</f>
        <v>0</v>
      </c>
      <c r="B213" s="181">
        <f>'Données projet'!D196</f>
        <v>0</v>
      </c>
      <c r="C213" s="193">
        <f>225*'Données projet'!E196+13.8*('Données projet'!F196+'Données projet'!G196)+10*'Données projet'!H196</f>
        <v>0</v>
      </c>
      <c r="D213" s="179">
        <f t="shared" si="12"/>
        <v>0</v>
      </c>
      <c r="E213" s="193"/>
      <c r="F213" s="231"/>
      <c r="G213" s="204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">
      <c r="A214" s="180">
        <f>'Données projet'!A197</f>
        <v>0</v>
      </c>
      <c r="B214" s="181">
        <f>'Données projet'!D197</f>
        <v>0</v>
      </c>
      <c r="C214" s="193">
        <f>225*'Données projet'!E197+13.8*('Données projet'!F197+'Données projet'!G197)+10*'Données projet'!H197</f>
        <v>0</v>
      </c>
      <c r="D214" s="179">
        <f t="shared" si="12"/>
        <v>0</v>
      </c>
      <c r="E214" s="193"/>
      <c r="F214" s="231"/>
      <c r="G214" s="204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">
      <c r="A215" s="180">
        <f>'Données projet'!A198</f>
        <v>0</v>
      </c>
      <c r="B215" s="181">
        <f>'Données projet'!D198</f>
        <v>0</v>
      </c>
      <c r="C215" s="193">
        <f>225*'Données projet'!E198+13.8*('Données projet'!F198+'Données projet'!G198)+10*'Données projet'!H198</f>
        <v>0</v>
      </c>
      <c r="D215" s="179">
        <f t="shared" si="12"/>
        <v>0</v>
      </c>
      <c r="E215" s="193"/>
      <c r="F215" s="231"/>
      <c r="G215" s="205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">
      <c r="A216" s="180">
        <f>'Données projet'!A199</f>
        <v>0</v>
      </c>
      <c r="B216" s="181">
        <f>'Données projet'!D199</f>
        <v>0</v>
      </c>
      <c r="C216" s="193">
        <f>225*'Données projet'!E199+13.8*('Données projet'!F199+'Données projet'!G199)+10*'Données projet'!H199</f>
        <v>0</v>
      </c>
      <c r="D216" s="179">
        <f t="shared" si="12"/>
        <v>0</v>
      </c>
      <c r="E216" s="193"/>
      <c r="F216" s="231"/>
      <c r="G216" s="205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">
      <c r="A217" s="180">
        <f>'Données projet'!A200</f>
        <v>0</v>
      </c>
      <c r="B217" s="181">
        <f>'Données projet'!D200</f>
        <v>0</v>
      </c>
      <c r="C217" s="193">
        <f>225*'Données projet'!E200+13.8*('Données projet'!F200+'Données projet'!G200)+10*'Données projet'!H200</f>
        <v>0</v>
      </c>
      <c r="D217" s="179">
        <f t="shared" si="12"/>
        <v>0</v>
      </c>
      <c r="E217" s="193"/>
      <c r="F217" s="231"/>
      <c r="G217" s="205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">
      <c r="A218" s="180">
        <f>'Données projet'!A201</f>
        <v>0</v>
      </c>
      <c r="B218" s="181">
        <f>'Données projet'!D201</f>
        <v>0</v>
      </c>
      <c r="C218" s="193">
        <f>225*'Données projet'!E201+13.8*('Données projet'!F201+'Données projet'!G201)+10*'Données projet'!H201</f>
        <v>0</v>
      </c>
      <c r="D218" s="179">
        <f t="shared" si="12"/>
        <v>0</v>
      </c>
      <c r="E218" s="193"/>
      <c r="F218" s="231"/>
      <c r="G218" s="205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">
      <c r="A219" s="180">
        <f>'Données projet'!A202</f>
        <v>0</v>
      </c>
      <c r="B219" s="181">
        <f>'Données projet'!D202</f>
        <v>0</v>
      </c>
      <c r="C219" s="193">
        <f>225*'Données projet'!E202+13.8*('Données projet'!F202+'Données projet'!G202)+10*'Données projet'!H202</f>
        <v>0</v>
      </c>
      <c r="D219" s="179">
        <f t="shared" si="12"/>
        <v>0</v>
      </c>
      <c r="E219" s="193"/>
      <c r="F219" s="231"/>
      <c r="G219" s="205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">
      <c r="A220" s="180">
        <f>'Données projet'!A203</f>
        <v>0</v>
      </c>
      <c r="B220" s="181">
        <f>'Données projet'!D203</f>
        <v>0</v>
      </c>
      <c r="C220" s="193">
        <f>225*'Données projet'!E203+13.8*('Données projet'!F203+'Données projet'!G203)+10*'Données projet'!H203</f>
        <v>0</v>
      </c>
      <c r="D220" s="179">
        <f t="shared" si="12"/>
        <v>0</v>
      </c>
      <c r="E220" s="193"/>
      <c r="F220" s="231"/>
      <c r="G220" s="205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">
      <c r="A221" s="180">
        <f>'Données projet'!A204</f>
        <v>0</v>
      </c>
      <c r="B221" s="181">
        <f>'Données projet'!D204</f>
        <v>0</v>
      </c>
      <c r="C221" s="193">
        <f>225*'Données projet'!E204+13.8*('Données projet'!F204+'Données projet'!G204)+10*'Données projet'!H204</f>
        <v>0</v>
      </c>
      <c r="D221" s="179">
        <f t="shared" si="12"/>
        <v>0</v>
      </c>
      <c r="E221" s="193"/>
      <c r="F221" s="231"/>
      <c r="G221" s="205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">
      <c r="A222" s="180">
        <f>'Données projet'!A205</f>
        <v>0</v>
      </c>
      <c r="B222" s="181">
        <f>'Données projet'!D205</f>
        <v>0</v>
      </c>
      <c r="C222" s="193">
        <f>225*'Données projet'!E205+13.8*('Données projet'!F205+'Données projet'!G205)+10*'Données projet'!H205</f>
        <v>0</v>
      </c>
      <c r="D222" s="179">
        <f t="shared" si="12"/>
        <v>0</v>
      </c>
      <c r="E222" s="193"/>
      <c r="F222" s="231"/>
      <c r="G222" s="205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">
      <c r="A223" s="180">
        <f>'Données projet'!A206</f>
        <v>0</v>
      </c>
      <c r="B223" s="181">
        <f>'Données projet'!D206</f>
        <v>0</v>
      </c>
      <c r="C223" s="193">
        <f>225*'Données projet'!E206+13.8*('Données projet'!F206+'Données projet'!G206)+10*'Données projet'!H206</f>
        <v>0</v>
      </c>
      <c r="D223" s="179">
        <f t="shared" si="12"/>
        <v>0</v>
      </c>
      <c r="E223" s="193"/>
      <c r="F223" s="231"/>
      <c r="G223" s="205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">
      <c r="A224" s="180">
        <f>'Données projet'!A207</f>
        <v>0</v>
      </c>
      <c r="B224" s="181">
        <f>'Données projet'!D207</f>
        <v>0</v>
      </c>
      <c r="C224" s="193">
        <f>225*'Données projet'!E207+13.8*('Données projet'!F207+'Données projet'!G207)+10*'Données projet'!H207</f>
        <v>0</v>
      </c>
      <c r="D224" s="179">
        <f t="shared" si="12"/>
        <v>0</v>
      </c>
      <c r="E224" s="193"/>
      <c r="F224" s="231"/>
      <c r="G224" s="205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">
      <c r="A225" s="180">
        <f>'Données projet'!A208</f>
        <v>0</v>
      </c>
      <c r="B225" s="181">
        <f>'Données projet'!D208</f>
        <v>0</v>
      </c>
      <c r="C225" s="193">
        <f>225*'Données projet'!E208+13.8*('Données projet'!F208+'Données projet'!G208)+10*'Données projet'!H208</f>
        <v>0</v>
      </c>
      <c r="D225" s="179">
        <f t="shared" si="12"/>
        <v>0</v>
      </c>
      <c r="E225" s="193"/>
      <c r="F225" s="231"/>
      <c r="G225" s="205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">
      <c r="A226" s="180">
        <f>'Données projet'!A209</f>
        <v>0</v>
      </c>
      <c r="B226" s="181">
        <f>'Données projet'!D209</f>
        <v>0</v>
      </c>
      <c r="C226" s="193">
        <f>225*'Données projet'!E209+13.8*('Données projet'!F209+'Données projet'!G209)+10*'Données projet'!H209</f>
        <v>0</v>
      </c>
      <c r="D226" s="179">
        <f t="shared" si="12"/>
        <v>0</v>
      </c>
      <c r="E226" s="193"/>
      <c r="F226" s="231"/>
      <c r="G226" s="205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">
      <c r="A227" s="180">
        <f>'Données projet'!A210</f>
        <v>0</v>
      </c>
      <c r="B227" s="181">
        <f>'Données projet'!D210</f>
        <v>0</v>
      </c>
      <c r="C227" s="193">
        <f>225*'Données projet'!E210+13.8*('Données projet'!F210+'Données projet'!G210)+10*'Données projet'!H210</f>
        <v>0</v>
      </c>
      <c r="D227" s="179">
        <f t="shared" si="12"/>
        <v>0</v>
      </c>
      <c r="E227" s="193"/>
      <c r="F227" s="231"/>
      <c r="G227" s="205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">
      <c r="A228" s="180">
        <f>'Données projet'!A211</f>
        <v>0</v>
      </c>
      <c r="B228" s="181">
        <f>'Données projet'!D211</f>
        <v>0</v>
      </c>
      <c r="C228" s="193">
        <f>225*'Données projet'!E211+13.8*('Données projet'!F211+'Données projet'!G211)+10*'Données projet'!H211</f>
        <v>0</v>
      </c>
      <c r="D228" s="179">
        <f t="shared" si="12"/>
        <v>0</v>
      </c>
      <c r="E228" s="193"/>
      <c r="F228" s="231"/>
      <c r="G228" s="205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">
      <c r="A229" s="4"/>
      <c r="B229" s="4"/>
      <c r="C229" s="4"/>
      <c r="D229" s="4"/>
      <c r="E229" s="4"/>
      <c r="F229" s="229"/>
      <c r="G229" s="205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">
      <c r="A230" s="4"/>
      <c r="B230" s="4"/>
      <c r="C230" s="4"/>
      <c r="D230" s="4"/>
      <c r="E230" s="4"/>
      <c r="F230" s="229"/>
      <c r="G230" s="205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29"/>
      <c r="G231" s="205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">
      <c r="A232" s="46"/>
      <c r="B232" s="4"/>
      <c r="C232" s="4"/>
      <c r="D232" s="4"/>
      <c r="E232" s="4"/>
      <c r="F232" s="229"/>
      <c r="G232" s="205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ht="16" x14ac:dyDescent="0.2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0"/>
      <c r="G233" s="205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ht="16" x14ac:dyDescent="0.2">
      <c r="A234" s="49">
        <v>0</v>
      </c>
      <c r="B234" s="198" t="s">
        <v>132</v>
      </c>
      <c r="C234" s="197" t="s">
        <v>132</v>
      </c>
      <c r="D234" s="196" t="s">
        <v>132</v>
      </c>
      <c r="E234" s="193"/>
      <c r="F234" s="230"/>
      <c r="G234" s="205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ht="16" x14ac:dyDescent="0.2">
      <c r="A235" s="49">
        <v>1</v>
      </c>
      <c r="B235" s="198" t="s">
        <v>132</v>
      </c>
      <c r="C235" s="197" t="s">
        <v>132</v>
      </c>
      <c r="D235" s="196" t="s">
        <v>132</v>
      </c>
      <c r="E235" s="193"/>
      <c r="F235" s="230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ht="16" x14ac:dyDescent="0.2">
      <c r="A236" s="49">
        <v>2</v>
      </c>
      <c r="B236" s="198" t="s">
        <v>132</v>
      </c>
      <c r="C236" s="197" t="s">
        <v>132</v>
      </c>
      <c r="D236" s="196" t="s">
        <v>132</v>
      </c>
      <c r="E236" s="193"/>
      <c r="F236" s="230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ht="16" x14ac:dyDescent="0.2">
      <c r="A237" s="49">
        <v>3</v>
      </c>
      <c r="B237" s="198" t="s">
        <v>132</v>
      </c>
      <c r="C237" s="197" t="s">
        <v>132</v>
      </c>
      <c r="D237" s="196" t="s">
        <v>132</v>
      </c>
      <c r="E237" s="193"/>
      <c r="F237" s="230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ht="16" x14ac:dyDescent="0.2">
      <c r="A238" s="49">
        <v>4</v>
      </c>
      <c r="B238" s="198" t="s">
        <v>132</v>
      </c>
      <c r="C238" s="197" t="s">
        <v>132</v>
      </c>
      <c r="D238" s="196" t="s">
        <v>132</v>
      </c>
      <c r="E238" s="193"/>
      <c r="F238" s="230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ht="16" x14ac:dyDescent="0.2">
      <c r="A239" s="49">
        <v>5</v>
      </c>
      <c r="B239" s="198" t="s">
        <v>132</v>
      </c>
      <c r="C239" s="197" t="s">
        <v>132</v>
      </c>
      <c r="D239" s="196" t="s">
        <v>132</v>
      </c>
      <c r="E239" s="193"/>
      <c r="F239" s="230"/>
      <c r="G239" s="204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">
      <c r="A240" s="180">
        <f>'Données projet'!A218</f>
        <v>0</v>
      </c>
      <c r="B240" s="181">
        <f>'Données projet'!D218</f>
        <v>0</v>
      </c>
      <c r="C240" s="193">
        <f>225*'Données projet'!E218+13.8*('Données projet'!F218+'Données projet'!G218)+10*'Données projet'!H218</f>
        <v>0</v>
      </c>
      <c r="D240" s="179">
        <f>B240*C240</f>
        <v>0</v>
      </c>
      <c r="E240" s="193"/>
      <c r="F240" s="231"/>
      <c r="G240" s="204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">
      <c r="A241" s="180">
        <f>'Données projet'!A219</f>
        <v>0</v>
      </c>
      <c r="B241" s="181">
        <f>'Données projet'!D219</f>
        <v>0</v>
      </c>
      <c r="C241" s="193">
        <f>225*'Données projet'!E219+13.8*('Données projet'!F219+'Données projet'!G219)+10*'Données projet'!H219</f>
        <v>0</v>
      </c>
      <c r="D241" s="179">
        <f t="shared" ref="D241:D259" si="13">B241*C241</f>
        <v>0</v>
      </c>
      <c r="E241" s="193"/>
      <c r="F241" s="231"/>
      <c r="G241" s="204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">
      <c r="A242" s="180">
        <f>'Données projet'!A220</f>
        <v>0</v>
      </c>
      <c r="B242" s="181">
        <f>'Données projet'!D220</f>
        <v>0</v>
      </c>
      <c r="C242" s="193">
        <f>225*'Données projet'!E220+13.8*('Données projet'!F220+'Données projet'!G220)+10*'Données projet'!H220</f>
        <v>0</v>
      </c>
      <c r="D242" s="179">
        <f t="shared" si="13"/>
        <v>0</v>
      </c>
      <c r="E242" s="193"/>
      <c r="F242" s="231"/>
      <c r="G242" s="204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">
      <c r="A243" s="180">
        <f>'Données projet'!A221</f>
        <v>0</v>
      </c>
      <c r="B243" s="181">
        <f>'Données projet'!D221</f>
        <v>0</v>
      </c>
      <c r="C243" s="193">
        <f>225*'Données projet'!E221+13.8*('Données projet'!F221+'Données projet'!G221)+10*'Données projet'!H221</f>
        <v>0</v>
      </c>
      <c r="D243" s="179">
        <f t="shared" si="13"/>
        <v>0</v>
      </c>
      <c r="E243" s="193"/>
      <c r="F243" s="231"/>
      <c r="G243" s="204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">
      <c r="A244" s="180">
        <f>'Données projet'!A222</f>
        <v>0</v>
      </c>
      <c r="B244" s="181">
        <f>'Données projet'!D222</f>
        <v>0</v>
      </c>
      <c r="C244" s="193">
        <f>225*'Données projet'!E222+13.8*('Données projet'!F222+'Données projet'!G222)+10*'Données projet'!H222</f>
        <v>0</v>
      </c>
      <c r="D244" s="179">
        <f t="shared" si="13"/>
        <v>0</v>
      </c>
      <c r="E244" s="193"/>
      <c r="F244" s="231"/>
      <c r="G244" s="204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">
      <c r="A245" s="180">
        <f>'Données projet'!A223</f>
        <v>0</v>
      </c>
      <c r="B245" s="181">
        <f>'Données projet'!D223</f>
        <v>0</v>
      </c>
      <c r="C245" s="193">
        <f>225*'Données projet'!E223+13.8*('Données projet'!F223+'Données projet'!G223)+10*'Données projet'!H223</f>
        <v>0</v>
      </c>
      <c r="D245" s="179">
        <f t="shared" si="13"/>
        <v>0</v>
      </c>
      <c r="E245" s="193"/>
      <c r="F245" s="231"/>
      <c r="G245" s="204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">
      <c r="A246" s="180">
        <f>'Données projet'!A224</f>
        <v>0</v>
      </c>
      <c r="B246" s="181">
        <f>'Données projet'!D224</f>
        <v>0</v>
      </c>
      <c r="C246" s="193">
        <f>225*'Données projet'!E224+13.8*('Données projet'!F224+'Données projet'!G224)+10*'Données projet'!H224</f>
        <v>0</v>
      </c>
      <c r="D246" s="179">
        <f t="shared" si="13"/>
        <v>0</v>
      </c>
      <c r="E246" s="193"/>
      <c r="F246" s="231"/>
      <c r="G246" s="205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">
      <c r="A247" s="180">
        <f>'Données projet'!A225</f>
        <v>0</v>
      </c>
      <c r="B247" s="181">
        <f>'Données projet'!D225</f>
        <v>0</v>
      </c>
      <c r="C247" s="193">
        <f>225*'Données projet'!E225+13.8*('Données projet'!F225+'Données projet'!G225)+10*'Données projet'!H225</f>
        <v>0</v>
      </c>
      <c r="D247" s="179">
        <f t="shared" si="13"/>
        <v>0</v>
      </c>
      <c r="E247" s="193"/>
      <c r="F247" s="231"/>
      <c r="G247" s="205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">
      <c r="A248" s="180">
        <f>'Données projet'!A226</f>
        <v>0</v>
      </c>
      <c r="B248" s="181">
        <f>'Données projet'!D226</f>
        <v>0</v>
      </c>
      <c r="C248" s="193">
        <f>225*'Données projet'!E226+13.8*('Données projet'!F226+'Données projet'!G226)+10*'Données projet'!H226</f>
        <v>0</v>
      </c>
      <c r="D248" s="179">
        <f t="shared" si="13"/>
        <v>0</v>
      </c>
      <c r="E248" s="193"/>
      <c r="F248" s="231"/>
      <c r="G248" s="205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">
      <c r="A249" s="180">
        <f>'Données projet'!A227</f>
        <v>0</v>
      </c>
      <c r="B249" s="181">
        <f>'Données projet'!D227</f>
        <v>0</v>
      </c>
      <c r="C249" s="193">
        <f>225*'Données projet'!E227+13.8*('Données projet'!F227+'Données projet'!G227)+10*'Données projet'!H227</f>
        <v>0</v>
      </c>
      <c r="D249" s="179">
        <f t="shared" si="13"/>
        <v>0</v>
      </c>
      <c r="E249" s="193"/>
      <c r="F249" s="231"/>
      <c r="G249" s="205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">
      <c r="A250" s="180">
        <f>'Données projet'!A228</f>
        <v>0</v>
      </c>
      <c r="B250" s="181">
        <f>'Données projet'!D228</f>
        <v>0</v>
      </c>
      <c r="C250" s="193">
        <f>225*'Données projet'!E228+13.8*('Données projet'!F228+'Données projet'!G228)+10*'Données projet'!H228</f>
        <v>0</v>
      </c>
      <c r="D250" s="179">
        <f t="shared" si="13"/>
        <v>0</v>
      </c>
      <c r="E250" s="193"/>
      <c r="F250" s="231"/>
      <c r="G250" s="205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">
      <c r="A251" s="180">
        <f>'Données projet'!A229</f>
        <v>0</v>
      </c>
      <c r="B251" s="181">
        <f>'Données projet'!D229</f>
        <v>0</v>
      </c>
      <c r="C251" s="193">
        <f>225*'Données projet'!E229+13.8*('Données projet'!F229+'Données projet'!G229)+10*'Données projet'!H229</f>
        <v>0</v>
      </c>
      <c r="D251" s="179">
        <f t="shared" si="13"/>
        <v>0</v>
      </c>
      <c r="E251" s="193"/>
      <c r="F251" s="231"/>
      <c r="G251" s="205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">
      <c r="A252" s="180">
        <f>'Données projet'!A230</f>
        <v>0</v>
      </c>
      <c r="B252" s="181">
        <f>'Données projet'!D230</f>
        <v>0</v>
      </c>
      <c r="C252" s="193">
        <f>225*'Données projet'!E230+13.8*('Données projet'!F230+'Données projet'!G230)+10*'Données projet'!H230</f>
        <v>0</v>
      </c>
      <c r="D252" s="179">
        <f t="shared" si="13"/>
        <v>0</v>
      </c>
      <c r="E252" s="193"/>
      <c r="F252" s="231"/>
      <c r="G252" s="205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">
      <c r="A253" s="180">
        <f>'Données projet'!A231</f>
        <v>0</v>
      </c>
      <c r="B253" s="181">
        <f>'Données projet'!D231</f>
        <v>0</v>
      </c>
      <c r="C253" s="193">
        <f>225*'Données projet'!E231+13.8*('Données projet'!F231+'Données projet'!G231)+10*'Données projet'!H231</f>
        <v>0</v>
      </c>
      <c r="D253" s="179">
        <f t="shared" si="13"/>
        <v>0</v>
      </c>
      <c r="E253" s="193"/>
      <c r="F253" s="231"/>
      <c r="G253" s="205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">
      <c r="A254" s="180">
        <f>'Données projet'!A232</f>
        <v>0</v>
      </c>
      <c r="B254" s="181">
        <f>'Données projet'!D232</f>
        <v>0</v>
      </c>
      <c r="C254" s="193">
        <f>225*'Données projet'!E232+13.8*('Données projet'!F232+'Données projet'!G232)+10*'Données projet'!H232</f>
        <v>0</v>
      </c>
      <c r="D254" s="179">
        <f t="shared" si="13"/>
        <v>0</v>
      </c>
      <c r="E254" s="193"/>
      <c r="F254" s="231"/>
      <c r="G254" s="205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">
      <c r="A255" s="180">
        <f>'Données projet'!A233</f>
        <v>0</v>
      </c>
      <c r="B255" s="181">
        <f>'Données projet'!D233</f>
        <v>0</v>
      </c>
      <c r="C255" s="193">
        <f>225*'Données projet'!E233+13.8*('Données projet'!F233+'Données projet'!G233)+10*'Données projet'!H233</f>
        <v>0</v>
      </c>
      <c r="D255" s="179">
        <f t="shared" si="13"/>
        <v>0</v>
      </c>
      <c r="E255" s="193"/>
      <c r="F255" s="231"/>
      <c r="G255" s="205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">
      <c r="A256" s="180">
        <f>'Données projet'!A234</f>
        <v>0</v>
      </c>
      <c r="B256" s="181">
        <f>'Données projet'!D234</f>
        <v>0</v>
      </c>
      <c r="C256" s="193">
        <f>225*'Données projet'!E234+13.8*('Données projet'!F234+'Données projet'!G234)+10*'Données projet'!H234</f>
        <v>0</v>
      </c>
      <c r="D256" s="179">
        <f t="shared" si="13"/>
        <v>0</v>
      </c>
      <c r="E256" s="193"/>
      <c r="F256" s="231"/>
      <c r="G256" s="205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">
      <c r="A257" s="180">
        <f>'Données projet'!A235</f>
        <v>0</v>
      </c>
      <c r="B257" s="181">
        <f>'Données projet'!D235</f>
        <v>0</v>
      </c>
      <c r="C257" s="193">
        <f>225*'Données projet'!E235+13.8*('Données projet'!F235+'Données projet'!G235)+10*'Données projet'!H235</f>
        <v>0</v>
      </c>
      <c r="D257" s="179">
        <f t="shared" si="13"/>
        <v>0</v>
      </c>
      <c r="E257" s="193"/>
      <c r="F257" s="231"/>
      <c r="G257" s="205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">
      <c r="A258" s="180">
        <f>'Données projet'!A236</f>
        <v>0</v>
      </c>
      <c r="B258" s="181">
        <f>'Données projet'!D236</f>
        <v>0</v>
      </c>
      <c r="C258" s="193">
        <f>225*'Données projet'!E236+13.8*('Données projet'!F236+'Données projet'!G236)+10*'Données projet'!H236</f>
        <v>0</v>
      </c>
      <c r="D258" s="179">
        <f t="shared" si="13"/>
        <v>0</v>
      </c>
      <c r="E258" s="193"/>
      <c r="F258" s="231"/>
      <c r="G258" s="205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">
      <c r="A259" s="180">
        <f>'Données projet'!A237</f>
        <v>0</v>
      </c>
      <c r="B259" s="181">
        <f>'Données projet'!D237</f>
        <v>0</v>
      </c>
      <c r="C259" s="193">
        <f>225*'Données projet'!E237+13.8*('Données projet'!F237+'Données projet'!G237)+10*'Données projet'!H237</f>
        <v>0</v>
      </c>
      <c r="D259" s="179">
        <f t="shared" si="13"/>
        <v>0</v>
      </c>
      <c r="E259" s="193"/>
      <c r="F259" s="231"/>
      <c r="G259" s="205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">
      <c r="A260" s="4"/>
      <c r="B260" s="4"/>
      <c r="C260" s="4"/>
      <c r="D260" s="4"/>
      <c r="E260" s="4"/>
      <c r="F260" s="229"/>
      <c r="G260" s="205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">
      <c r="A261" s="4"/>
      <c r="B261" s="4"/>
      <c r="C261" s="4"/>
      <c r="D261" s="4"/>
      <c r="E261" s="4"/>
      <c r="F261" s="229"/>
      <c r="G261" s="205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29"/>
      <c r="G262" s="205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">
      <c r="A263" s="46"/>
      <c r="B263" s="4"/>
      <c r="C263" s="4"/>
      <c r="D263" s="4"/>
      <c r="E263" s="4"/>
      <c r="F263" s="229"/>
      <c r="G263" s="205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ht="16" x14ac:dyDescent="0.2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0"/>
      <c r="G264" s="205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ht="16" x14ac:dyDescent="0.2">
      <c r="A265" s="49">
        <v>0</v>
      </c>
      <c r="B265" s="198" t="s">
        <v>132</v>
      </c>
      <c r="C265" s="197" t="s">
        <v>132</v>
      </c>
      <c r="D265" s="196" t="s">
        <v>132</v>
      </c>
      <c r="E265" s="193"/>
      <c r="F265" s="230"/>
      <c r="G265" s="205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ht="16" x14ac:dyDescent="0.2">
      <c r="A266" s="49">
        <v>1</v>
      </c>
      <c r="B266" s="198" t="s">
        <v>132</v>
      </c>
      <c r="C266" s="197" t="s">
        <v>132</v>
      </c>
      <c r="D266" s="196" t="s">
        <v>132</v>
      </c>
      <c r="E266" s="193"/>
      <c r="F266" s="230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ht="16" x14ac:dyDescent="0.2">
      <c r="A267" s="49">
        <v>2</v>
      </c>
      <c r="B267" s="198" t="s">
        <v>132</v>
      </c>
      <c r="C267" s="197" t="s">
        <v>132</v>
      </c>
      <c r="D267" s="196" t="s">
        <v>132</v>
      </c>
      <c r="E267" s="193"/>
      <c r="F267" s="230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ht="16" x14ac:dyDescent="0.2">
      <c r="A268" s="49">
        <v>3</v>
      </c>
      <c r="B268" s="198" t="s">
        <v>132</v>
      </c>
      <c r="C268" s="197" t="s">
        <v>132</v>
      </c>
      <c r="D268" s="196" t="s">
        <v>132</v>
      </c>
      <c r="E268" s="193"/>
      <c r="F268" s="230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ht="16" x14ac:dyDescent="0.2">
      <c r="A269" s="49">
        <v>4</v>
      </c>
      <c r="B269" s="198" t="s">
        <v>132</v>
      </c>
      <c r="C269" s="197" t="s">
        <v>132</v>
      </c>
      <c r="D269" s="196" t="s">
        <v>132</v>
      </c>
      <c r="E269" s="193"/>
      <c r="F269" s="230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ht="16" x14ac:dyDescent="0.2">
      <c r="A270" s="49">
        <v>5</v>
      </c>
      <c r="B270" s="198" t="s">
        <v>132</v>
      </c>
      <c r="C270" s="197" t="s">
        <v>132</v>
      </c>
      <c r="D270" s="196" t="s">
        <v>132</v>
      </c>
      <c r="E270" s="193"/>
      <c r="F270" s="230"/>
      <c r="G270" s="204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">
      <c r="A271" s="180">
        <f>'Données projet'!A244</f>
        <v>0</v>
      </c>
      <c r="B271" s="181">
        <f>'Données projet'!D244</f>
        <v>0</v>
      </c>
      <c r="C271" s="193">
        <f>225*'Données projet'!E244+13.8*('Données projet'!F244+'Données projet'!G244)+10*'Données projet'!H244</f>
        <v>0</v>
      </c>
      <c r="D271" s="179">
        <f>B271*C271</f>
        <v>0</v>
      </c>
      <c r="E271" s="193"/>
      <c r="F271" s="231"/>
      <c r="G271" s="204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">
      <c r="A272" s="180">
        <f>'Données projet'!A245</f>
        <v>0</v>
      </c>
      <c r="B272" s="181">
        <f>'Données projet'!D245</f>
        <v>0</v>
      </c>
      <c r="C272" s="193">
        <f>225*'Données projet'!E245+13.8*('Données projet'!F245+'Données projet'!G245)+10*'Données projet'!H245</f>
        <v>0</v>
      </c>
      <c r="D272" s="179">
        <f t="shared" ref="D272:D290" si="14">B272*C272</f>
        <v>0</v>
      </c>
      <c r="E272" s="193"/>
      <c r="F272" s="231"/>
      <c r="G272" s="204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">
      <c r="A273" s="180">
        <f>'Données projet'!A246</f>
        <v>0</v>
      </c>
      <c r="B273" s="181">
        <f>'Données projet'!D246</f>
        <v>0</v>
      </c>
      <c r="C273" s="193">
        <f>225*'Données projet'!E246+13.8*('Données projet'!F246+'Données projet'!G246)+10*'Données projet'!H246</f>
        <v>0</v>
      </c>
      <c r="D273" s="179">
        <f t="shared" si="14"/>
        <v>0</v>
      </c>
      <c r="E273" s="193"/>
      <c r="F273" s="231"/>
      <c r="G273" s="204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">
      <c r="A274" s="180">
        <f>'Données projet'!A247</f>
        <v>0</v>
      </c>
      <c r="B274" s="181">
        <f>'Données projet'!D247</f>
        <v>0</v>
      </c>
      <c r="C274" s="193">
        <f>225*'Données projet'!E247+13.8*('Données projet'!F247+'Données projet'!G247)+10*'Données projet'!H247</f>
        <v>0</v>
      </c>
      <c r="D274" s="179">
        <f t="shared" si="14"/>
        <v>0</v>
      </c>
      <c r="E274" s="193"/>
      <c r="F274" s="231"/>
      <c r="G274" s="204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">
      <c r="A275" s="180">
        <f>'Données projet'!A248</f>
        <v>0</v>
      </c>
      <c r="B275" s="181">
        <f>'Données projet'!D248</f>
        <v>0</v>
      </c>
      <c r="C275" s="193">
        <f>225*'Données projet'!E248+13.8*('Données projet'!F248+'Données projet'!G248)+10*'Données projet'!H248</f>
        <v>0</v>
      </c>
      <c r="D275" s="179">
        <f t="shared" si="14"/>
        <v>0</v>
      </c>
      <c r="E275" s="193"/>
      <c r="F275" s="231"/>
      <c r="G275" s="204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">
      <c r="A276" s="180">
        <f>'Données projet'!A249</f>
        <v>0</v>
      </c>
      <c r="B276" s="181">
        <f>'Données projet'!D249</f>
        <v>0</v>
      </c>
      <c r="C276" s="193">
        <f>225*'Données projet'!E249+13.8*('Données projet'!F249+'Données projet'!G249)+10*'Données projet'!H249</f>
        <v>0</v>
      </c>
      <c r="D276" s="179">
        <f t="shared" si="14"/>
        <v>0</v>
      </c>
      <c r="E276" s="193"/>
      <c r="F276" s="231"/>
      <c r="G276" s="204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">
      <c r="A277" s="180">
        <f>'Données projet'!A250</f>
        <v>0</v>
      </c>
      <c r="B277" s="181">
        <f>'Données projet'!D250</f>
        <v>0</v>
      </c>
      <c r="C277" s="193">
        <f>225*'Données projet'!E250+13.8*('Données projet'!F250+'Données projet'!G250)+10*'Données projet'!H250</f>
        <v>0</v>
      </c>
      <c r="D277" s="179">
        <f t="shared" si="14"/>
        <v>0</v>
      </c>
      <c r="E277" s="193"/>
      <c r="F277" s="231"/>
      <c r="G277" s="205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">
      <c r="A278" s="180">
        <f>'Données projet'!A251</f>
        <v>0</v>
      </c>
      <c r="B278" s="181">
        <f>'Données projet'!D251</f>
        <v>0</v>
      </c>
      <c r="C278" s="193">
        <f>225*'Données projet'!E251+13.8*('Données projet'!F251+'Données projet'!G251)+10*'Données projet'!H251</f>
        <v>0</v>
      </c>
      <c r="D278" s="179">
        <f t="shared" si="14"/>
        <v>0</v>
      </c>
      <c r="E278" s="193"/>
      <c r="F278" s="231"/>
      <c r="G278" s="205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">
      <c r="A279" s="180">
        <f>'Données projet'!A252</f>
        <v>0</v>
      </c>
      <c r="B279" s="181">
        <f>'Données projet'!D252</f>
        <v>0</v>
      </c>
      <c r="C279" s="193">
        <f>225*'Données projet'!E252+13.8*('Données projet'!F252+'Données projet'!G252)+10*'Données projet'!H252</f>
        <v>0</v>
      </c>
      <c r="D279" s="179">
        <f t="shared" si="14"/>
        <v>0</v>
      </c>
      <c r="E279" s="193"/>
      <c r="F279" s="231"/>
      <c r="G279" s="205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">
      <c r="A280" s="180">
        <f>'Données projet'!A253</f>
        <v>0</v>
      </c>
      <c r="B280" s="181">
        <f>'Données projet'!D253</f>
        <v>0</v>
      </c>
      <c r="C280" s="193">
        <f>225*'Données projet'!E253+13.8*('Données projet'!F253+'Données projet'!G253)+10*'Données projet'!H253</f>
        <v>0</v>
      </c>
      <c r="D280" s="179">
        <f t="shared" si="14"/>
        <v>0</v>
      </c>
      <c r="E280" s="193"/>
      <c r="F280" s="231"/>
      <c r="G280" s="205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">
      <c r="A281" s="180">
        <f>'Données projet'!A254</f>
        <v>0</v>
      </c>
      <c r="B281" s="181">
        <f>'Données projet'!D254</f>
        <v>0</v>
      </c>
      <c r="C281" s="193">
        <f>225*'Données projet'!E254+13.8*('Données projet'!F254+'Données projet'!G254)+10*'Données projet'!H254</f>
        <v>0</v>
      </c>
      <c r="D281" s="179">
        <f t="shared" si="14"/>
        <v>0</v>
      </c>
      <c r="E281" s="193"/>
      <c r="F281" s="231"/>
      <c r="G281" s="205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">
      <c r="A282" s="180">
        <f>'Données projet'!A255</f>
        <v>0</v>
      </c>
      <c r="B282" s="181">
        <f>'Données projet'!D255</f>
        <v>0</v>
      </c>
      <c r="C282" s="193">
        <f>225*'Données projet'!E255+13.8*('Données projet'!F255+'Données projet'!G255)+10*'Données projet'!H255</f>
        <v>0</v>
      </c>
      <c r="D282" s="179">
        <f t="shared" si="14"/>
        <v>0</v>
      </c>
      <c r="E282" s="193"/>
      <c r="F282" s="231"/>
      <c r="G282" s="205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">
      <c r="A283" s="180">
        <f>'Données projet'!A256</f>
        <v>0</v>
      </c>
      <c r="B283" s="181">
        <f>'Données projet'!D256</f>
        <v>0</v>
      </c>
      <c r="C283" s="193">
        <f>225*'Données projet'!E256+13.8*('Données projet'!F256+'Données projet'!G256)+10*'Données projet'!H256</f>
        <v>0</v>
      </c>
      <c r="D283" s="179">
        <f t="shared" si="14"/>
        <v>0</v>
      </c>
      <c r="E283" s="193"/>
      <c r="F283" s="231"/>
      <c r="G283" s="205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">
      <c r="A284" s="180">
        <f>'Données projet'!A257</f>
        <v>0</v>
      </c>
      <c r="B284" s="181">
        <f>'Données projet'!D257</f>
        <v>0</v>
      </c>
      <c r="C284" s="193">
        <f>225*'Données projet'!E257+13.8*('Données projet'!F257+'Données projet'!G257)+10*'Données projet'!H257</f>
        <v>0</v>
      </c>
      <c r="D284" s="179">
        <f t="shared" si="14"/>
        <v>0</v>
      </c>
      <c r="E284" s="193"/>
      <c r="F284" s="231"/>
      <c r="G284" s="205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">
      <c r="A285" s="180">
        <f>'Données projet'!A258</f>
        <v>0</v>
      </c>
      <c r="B285" s="181">
        <f>'Données projet'!D258</f>
        <v>0</v>
      </c>
      <c r="C285" s="193">
        <f>225*'Données projet'!E258+13.8*('Données projet'!F258+'Données projet'!G258)+10*'Données projet'!H258</f>
        <v>0</v>
      </c>
      <c r="D285" s="179">
        <f t="shared" si="14"/>
        <v>0</v>
      </c>
      <c r="E285" s="193"/>
      <c r="F285" s="231"/>
      <c r="G285" s="205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">
      <c r="A286" s="180">
        <f>'Données projet'!A259</f>
        <v>0</v>
      </c>
      <c r="B286" s="181">
        <f>'Données projet'!D259</f>
        <v>0</v>
      </c>
      <c r="C286" s="193">
        <f>225*'Données projet'!E259+13.8*('Données projet'!F259+'Données projet'!G259)+10*'Données projet'!H259</f>
        <v>0</v>
      </c>
      <c r="D286" s="179">
        <f t="shared" si="14"/>
        <v>0</v>
      </c>
      <c r="E286" s="193"/>
      <c r="F286" s="231"/>
      <c r="G286" s="205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">
      <c r="A287" s="180">
        <f>'Données projet'!A260</f>
        <v>0</v>
      </c>
      <c r="B287" s="181">
        <f>'Données projet'!D260</f>
        <v>0</v>
      </c>
      <c r="C287" s="193">
        <f>225*'Données projet'!E260+13.8*('Données projet'!F260+'Données projet'!G260)+10*'Données projet'!H260</f>
        <v>0</v>
      </c>
      <c r="D287" s="179">
        <f t="shared" si="14"/>
        <v>0</v>
      </c>
      <c r="E287" s="193"/>
      <c r="F287" s="231"/>
      <c r="G287" s="205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">
      <c r="A288" s="180">
        <f>'Données projet'!A261</f>
        <v>0</v>
      </c>
      <c r="B288" s="181">
        <f>'Données projet'!D261</f>
        <v>0</v>
      </c>
      <c r="C288" s="193">
        <f>225*'Données projet'!E261+13.8*('Données projet'!F261+'Données projet'!G261)+10*'Données projet'!H261</f>
        <v>0</v>
      </c>
      <c r="D288" s="179">
        <f t="shared" si="14"/>
        <v>0</v>
      </c>
      <c r="E288" s="193"/>
      <c r="F288" s="231"/>
      <c r="G288" s="205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">
      <c r="A289" s="180">
        <f>'Données projet'!A262</f>
        <v>0</v>
      </c>
      <c r="B289" s="181">
        <f>'Données projet'!D262</f>
        <v>0</v>
      </c>
      <c r="C289" s="193">
        <f>225*'Données projet'!E262+13.8*('Données projet'!F262+'Données projet'!G262)+10*'Données projet'!H262</f>
        <v>0</v>
      </c>
      <c r="D289" s="179">
        <f t="shared" si="14"/>
        <v>0</v>
      </c>
      <c r="E289" s="193"/>
      <c r="F289" s="231"/>
      <c r="G289" s="205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">
      <c r="A290" s="180">
        <f>'Données projet'!A263</f>
        <v>0</v>
      </c>
      <c r="B290" s="181">
        <f>'Données projet'!D263</f>
        <v>0</v>
      </c>
      <c r="C290" s="193">
        <f>225*'Données projet'!E263+13.8*('Données projet'!F263+'Données projet'!G263)+10*'Données projet'!H263</f>
        <v>0</v>
      </c>
      <c r="D290" s="179">
        <f t="shared" si="14"/>
        <v>0</v>
      </c>
      <c r="E290" s="193"/>
      <c r="F290" s="231"/>
      <c r="G290" s="205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">
      <c r="A291" s="4"/>
      <c r="B291" s="4"/>
      <c r="C291" s="4"/>
      <c r="D291" s="4"/>
      <c r="E291" s="4"/>
      <c r="F291" s="229"/>
      <c r="G291" s="205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">
      <c r="A292" s="4"/>
      <c r="B292" s="4"/>
      <c r="C292" s="4"/>
      <c r="D292" s="4"/>
      <c r="E292" s="4"/>
      <c r="F292" s="229"/>
      <c r="G292" s="205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29"/>
      <c r="G293" s="205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">
      <c r="A294" s="46"/>
      <c r="B294" s="4"/>
      <c r="C294" s="4"/>
      <c r="D294" s="4"/>
      <c r="E294" s="4"/>
      <c r="F294" s="229"/>
      <c r="G294" s="205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ht="16" x14ac:dyDescent="0.2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0"/>
      <c r="G295" s="205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ht="16" x14ac:dyDescent="0.2">
      <c r="A296" s="49">
        <v>0</v>
      </c>
      <c r="B296" s="198" t="s">
        <v>132</v>
      </c>
      <c r="C296" s="197" t="s">
        <v>132</v>
      </c>
      <c r="D296" s="196" t="s">
        <v>132</v>
      </c>
      <c r="E296" s="193"/>
      <c r="F296" s="230"/>
      <c r="G296" s="205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ht="16" x14ac:dyDescent="0.2">
      <c r="A297" s="49">
        <v>1</v>
      </c>
      <c r="B297" s="198" t="s">
        <v>132</v>
      </c>
      <c r="C297" s="197" t="s">
        <v>132</v>
      </c>
      <c r="D297" s="196" t="s">
        <v>132</v>
      </c>
      <c r="E297" s="193"/>
      <c r="F297" s="230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ht="16" x14ac:dyDescent="0.2">
      <c r="A298" s="49">
        <v>2</v>
      </c>
      <c r="B298" s="198" t="s">
        <v>132</v>
      </c>
      <c r="C298" s="197" t="s">
        <v>132</v>
      </c>
      <c r="D298" s="196" t="s">
        <v>132</v>
      </c>
      <c r="E298" s="193"/>
      <c r="F298" s="230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ht="16" x14ac:dyDescent="0.2">
      <c r="A299" s="49">
        <v>3</v>
      </c>
      <c r="B299" s="198" t="s">
        <v>132</v>
      </c>
      <c r="C299" s="197" t="s">
        <v>132</v>
      </c>
      <c r="D299" s="196" t="s">
        <v>132</v>
      </c>
      <c r="E299" s="193"/>
      <c r="F299" s="230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ht="16" x14ac:dyDescent="0.2">
      <c r="A300" s="49">
        <v>4</v>
      </c>
      <c r="B300" s="198" t="s">
        <v>132</v>
      </c>
      <c r="C300" s="197" t="s">
        <v>132</v>
      </c>
      <c r="D300" s="196" t="s">
        <v>132</v>
      </c>
      <c r="E300" s="193"/>
      <c r="F300" s="230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ht="16" x14ac:dyDescent="0.2">
      <c r="A301" s="49">
        <v>5</v>
      </c>
      <c r="B301" s="198" t="s">
        <v>132</v>
      </c>
      <c r="C301" s="197" t="s">
        <v>132</v>
      </c>
      <c r="D301" s="196" t="s">
        <v>132</v>
      </c>
      <c r="E301" s="193"/>
      <c r="F301" s="230"/>
      <c r="G301" s="204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">
      <c r="A302" s="180">
        <f>'Données projet'!A270</f>
        <v>0</v>
      </c>
      <c r="B302" s="181">
        <f>'Données projet'!D270</f>
        <v>0</v>
      </c>
      <c r="C302" s="191">
        <f>225*'Données projet'!E270+13.8*('Données projet'!F270+'Données projet'!G270)+10*'Données projet'!H270</f>
        <v>0</v>
      </c>
      <c r="D302" s="182">
        <f>B302*C302</f>
        <v>0</v>
      </c>
      <c r="E302" s="193"/>
      <c r="F302" s="232"/>
      <c r="G302" s="204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">
      <c r="A303" s="180">
        <f>'Données projet'!A271</f>
        <v>0</v>
      </c>
      <c r="B303" s="181">
        <f>'Données projet'!D271</f>
        <v>0</v>
      </c>
      <c r="C303" s="191">
        <f>225*'Données projet'!E271+13.8*('Données projet'!F271+'Données projet'!G271)+10*'Données projet'!H271</f>
        <v>0</v>
      </c>
      <c r="D303" s="182">
        <f t="shared" ref="D303:D321" si="15">B303*C303</f>
        <v>0</v>
      </c>
      <c r="E303" s="193"/>
      <c r="F303" s="232"/>
      <c r="G303" s="204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">
      <c r="A304" s="180">
        <f>'Données projet'!A272</f>
        <v>0</v>
      </c>
      <c r="B304" s="181">
        <f>'Données projet'!D272</f>
        <v>0</v>
      </c>
      <c r="C304" s="191">
        <f>225*'Données projet'!E272+13.8*('Données projet'!F272+'Données projet'!G272)+10*'Données projet'!H272</f>
        <v>0</v>
      </c>
      <c r="D304" s="182">
        <f t="shared" si="15"/>
        <v>0</v>
      </c>
      <c r="E304" s="193"/>
      <c r="F304" s="232"/>
      <c r="G304" s="204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">
      <c r="A305" s="180">
        <f>'Données projet'!A273</f>
        <v>0</v>
      </c>
      <c r="B305" s="181">
        <f>'Données projet'!D273</f>
        <v>0</v>
      </c>
      <c r="C305" s="191">
        <f>225*'Données projet'!E273+13.8*('Données projet'!F273+'Données projet'!G273)+10*'Données projet'!H273</f>
        <v>0</v>
      </c>
      <c r="D305" s="182">
        <f t="shared" si="15"/>
        <v>0</v>
      </c>
      <c r="E305" s="193"/>
      <c r="F305" s="232"/>
      <c r="G305" s="204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">
      <c r="A306" s="180">
        <f>'Données projet'!A274</f>
        <v>0</v>
      </c>
      <c r="B306" s="181">
        <f>'Données projet'!D274</f>
        <v>0</v>
      </c>
      <c r="C306" s="191">
        <f>225*'Données projet'!E274+13.8*('Données projet'!F274+'Données projet'!G274)+10*'Données projet'!H274</f>
        <v>0</v>
      </c>
      <c r="D306" s="182">
        <f t="shared" si="15"/>
        <v>0</v>
      </c>
      <c r="E306" s="193"/>
      <c r="F306" s="232"/>
      <c r="G306" s="204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">
      <c r="A307" s="180">
        <f>'Données projet'!A275</f>
        <v>0</v>
      </c>
      <c r="B307" s="181">
        <f>'Données projet'!D275</f>
        <v>0</v>
      </c>
      <c r="C307" s="191">
        <f>225*'Données projet'!E275+13.8*('Données projet'!F275+'Données projet'!G275)+10*'Données projet'!H275</f>
        <v>0</v>
      </c>
      <c r="D307" s="182">
        <f t="shared" si="15"/>
        <v>0</v>
      </c>
      <c r="E307" s="193"/>
      <c r="F307" s="232"/>
      <c r="G307" s="204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">
      <c r="A308" s="180">
        <f>'Données projet'!A276</f>
        <v>0</v>
      </c>
      <c r="B308" s="181">
        <f>'Données projet'!D276</f>
        <v>0</v>
      </c>
      <c r="C308" s="191">
        <f>225*'Données projet'!E276+13.8*('Données projet'!F276+'Données projet'!G276)+10*'Données projet'!H276</f>
        <v>0</v>
      </c>
      <c r="D308" s="182">
        <f t="shared" si="15"/>
        <v>0</v>
      </c>
      <c r="E308" s="193"/>
      <c r="F308" s="232"/>
      <c r="G308" s="202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">
      <c r="A309" s="180">
        <f>'Données projet'!A277</f>
        <v>0</v>
      </c>
      <c r="B309" s="181">
        <f>'Données projet'!D277</f>
        <v>0</v>
      </c>
      <c r="C309" s="191">
        <f>225*'Données projet'!E277+13.8*('Données projet'!F277+'Données projet'!G277)+10*'Données projet'!H277</f>
        <v>0</v>
      </c>
      <c r="D309" s="182">
        <f t="shared" si="15"/>
        <v>0</v>
      </c>
      <c r="E309" s="193"/>
      <c r="F309" s="232"/>
      <c r="G309" s="202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">
      <c r="A310" s="180">
        <f>'Données projet'!A278</f>
        <v>0</v>
      </c>
      <c r="B310" s="181">
        <f>'Données projet'!D278</f>
        <v>0</v>
      </c>
      <c r="C310" s="191">
        <f>225*'Données projet'!E278+13.8*('Données projet'!F278+'Données projet'!G278)+10*'Données projet'!H278</f>
        <v>0</v>
      </c>
      <c r="D310" s="182">
        <f t="shared" si="15"/>
        <v>0</v>
      </c>
      <c r="E310" s="193"/>
      <c r="F310" s="232"/>
      <c r="G310" s="202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">
      <c r="A311" s="180">
        <f>'Données projet'!A279</f>
        <v>0</v>
      </c>
      <c r="B311" s="181">
        <f>'Données projet'!D279</f>
        <v>0</v>
      </c>
      <c r="C311" s="191">
        <f>225*'Données projet'!E279+13.8*('Données projet'!F279+'Données projet'!G279)+10*'Données projet'!H279</f>
        <v>0</v>
      </c>
      <c r="D311" s="182">
        <f t="shared" si="15"/>
        <v>0</v>
      </c>
      <c r="E311" s="193"/>
      <c r="F311" s="232"/>
      <c r="G311" s="202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">
      <c r="A312" s="180">
        <f>'Données projet'!A280</f>
        <v>0</v>
      </c>
      <c r="B312" s="181">
        <f>'Données projet'!D280</f>
        <v>0</v>
      </c>
      <c r="C312" s="191">
        <f>225*'Données projet'!E280+13.8*('Données projet'!F280+'Données projet'!G280)+10*'Données projet'!H280</f>
        <v>0</v>
      </c>
      <c r="D312" s="182">
        <f t="shared" si="15"/>
        <v>0</v>
      </c>
      <c r="E312" s="193"/>
      <c r="F312" s="232"/>
      <c r="G312" s="202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">
      <c r="A313" s="180">
        <f>'Données projet'!A281</f>
        <v>0</v>
      </c>
      <c r="B313" s="181">
        <f>'Données projet'!D281</f>
        <v>0</v>
      </c>
      <c r="C313" s="191">
        <f>225*'Données projet'!E281+13.8*('Données projet'!F281+'Données projet'!G281)+10*'Données projet'!H281</f>
        <v>0</v>
      </c>
      <c r="D313" s="182">
        <f t="shared" si="15"/>
        <v>0</v>
      </c>
      <c r="E313" s="193"/>
      <c r="F313" s="232"/>
      <c r="G313" s="202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">
      <c r="A314" s="180">
        <f>'Données projet'!A282</f>
        <v>0</v>
      </c>
      <c r="B314" s="181">
        <f>'Données projet'!D282</f>
        <v>0</v>
      </c>
      <c r="C314" s="191">
        <f>225*'Données projet'!E282+13.8*('Données projet'!F282+'Données projet'!G282)+10*'Données projet'!H282</f>
        <v>0</v>
      </c>
      <c r="D314" s="182">
        <f t="shared" si="15"/>
        <v>0</v>
      </c>
      <c r="E314" s="193"/>
      <c r="F314" s="232"/>
      <c r="G314" s="202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">
      <c r="A315" s="180">
        <f>'Données projet'!A283</f>
        <v>0</v>
      </c>
      <c r="B315" s="181">
        <f>'Données projet'!D283</f>
        <v>0</v>
      </c>
      <c r="C315" s="191">
        <f>225*'Données projet'!E283+13.8*('Données projet'!F283+'Données projet'!G283)+10*'Données projet'!H283</f>
        <v>0</v>
      </c>
      <c r="D315" s="182">
        <f t="shared" si="15"/>
        <v>0</v>
      </c>
      <c r="E315" s="193"/>
      <c r="F315" s="232"/>
      <c r="G315" s="202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">
      <c r="A316" s="180">
        <f>'Données projet'!A284</f>
        <v>0</v>
      </c>
      <c r="B316" s="181">
        <f>'Données projet'!D284</f>
        <v>0</v>
      </c>
      <c r="C316" s="191">
        <f>225*'Données projet'!E284+13.8*('Données projet'!F284+'Données projet'!G284)+10*'Données projet'!H284</f>
        <v>0</v>
      </c>
      <c r="D316" s="182">
        <f t="shared" si="15"/>
        <v>0</v>
      </c>
      <c r="E316" s="193"/>
      <c r="F316" s="232"/>
      <c r="G316" s="202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">
      <c r="A317" s="180">
        <f>'Données projet'!A285</f>
        <v>0</v>
      </c>
      <c r="B317" s="181">
        <f>'Données projet'!D285</f>
        <v>0</v>
      </c>
      <c r="C317" s="191">
        <f>225*'Données projet'!E285+13.8*('Données projet'!F285+'Données projet'!G285)+10*'Données projet'!H285</f>
        <v>0</v>
      </c>
      <c r="D317" s="182">
        <f t="shared" si="15"/>
        <v>0</v>
      </c>
      <c r="E317" s="193"/>
      <c r="F317" s="232"/>
      <c r="G317" s="202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">
      <c r="A318" s="180">
        <f>'Données projet'!A286</f>
        <v>0</v>
      </c>
      <c r="B318" s="181">
        <f>'Données projet'!D286</f>
        <v>0</v>
      </c>
      <c r="C318" s="191">
        <f>225*'Données projet'!E286+13.8*('Données projet'!F286+'Données projet'!G286)+10*'Données projet'!H286</f>
        <v>0</v>
      </c>
      <c r="D318" s="182">
        <f t="shared" si="15"/>
        <v>0</v>
      </c>
      <c r="E318" s="193"/>
      <c r="F318" s="232"/>
      <c r="G318" s="202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">
      <c r="A319" s="180">
        <f>'Données projet'!A287</f>
        <v>0</v>
      </c>
      <c r="B319" s="181">
        <f>'Données projet'!D287</f>
        <v>0</v>
      </c>
      <c r="C319" s="191">
        <f>225*'Données projet'!E287+13.8*('Données projet'!F287+'Données projet'!G287)+10*'Données projet'!H287</f>
        <v>0</v>
      </c>
      <c r="D319" s="182">
        <f t="shared" si="15"/>
        <v>0</v>
      </c>
      <c r="E319" s="193"/>
      <c r="F319" s="232"/>
      <c r="G319" s="202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">
      <c r="A320" s="180">
        <f>'Données projet'!A288</f>
        <v>0</v>
      </c>
      <c r="B320" s="181">
        <f>'Données projet'!D288</f>
        <v>0</v>
      </c>
      <c r="C320" s="191">
        <f>225*'Données projet'!E288+13.8*('Données projet'!F288+'Données projet'!G288)+10*'Données projet'!H288</f>
        <v>0</v>
      </c>
      <c r="D320" s="182">
        <f t="shared" si="15"/>
        <v>0</v>
      </c>
      <c r="E320" s="193"/>
      <c r="F320" s="232"/>
      <c r="G320" s="202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">
      <c r="A321" s="180">
        <f>'Données projet'!A289</f>
        <v>0</v>
      </c>
      <c r="B321" s="181">
        <f>'Données projet'!D289</f>
        <v>0</v>
      </c>
      <c r="C321" s="191">
        <f>225*'Données projet'!E289+13.8*('Données projet'!F289+'Données projet'!G289)+10*'Données projet'!H289</f>
        <v>0</v>
      </c>
      <c r="D321" s="182">
        <f t="shared" si="15"/>
        <v>0</v>
      </c>
      <c r="E321" s="193"/>
      <c r="F321" s="232"/>
      <c r="G321" s="202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">
      <c r="G322" s="202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">
      <c r="G323" s="202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">
      <c r="G324" s="202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">
      <c r="G325" s="202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">
      <c r="G326" s="202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">
      <c r="G327" s="202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Microsoft Office User</cp:lastModifiedBy>
  <dcterms:created xsi:type="dcterms:W3CDTF">2021-02-01T08:22:39Z</dcterms:created>
  <dcterms:modified xsi:type="dcterms:W3CDTF">2024-12-11T15:28:12Z</dcterms:modified>
</cp:coreProperties>
</file>