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orestiersfransylva.sharepoint.com/sites/FransylvaServices/Shared Documents/Financements innovants/CLIENTS 2025-2026/FAUQUE (St Magne 1) - 19242211 LE/"/>
    </mc:Choice>
  </mc:AlternateContent>
  <xr:revisionPtr revIDLastSave="96" documentId="11_F1800A6F67543A9B2C3A3FA0CBE13DB2AF048754" xr6:coauthVersionLast="47" xr6:coauthVersionMax="47" xr10:uidLastSave="{F95D3320-838C-48E6-A5A9-302A24C70AFE}"/>
  <bookViews>
    <workbookView xWindow="-28905" yWindow="7635" windowWidth="14610" windowHeight="1558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A4" i="2" l="1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C5" i="2"/>
  <c r="EX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EB7" i="2" s="1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W7" i="2"/>
  <c r="EX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FS10" i="2"/>
  <c r="EB10" i="2"/>
  <c r="HG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FS18" i="2"/>
  <c r="EX18" i="2"/>
  <c r="HG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EW20" i="2" s="1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FS20" i="2"/>
  <c r="HG20" i="2"/>
  <c r="EC20" i="2"/>
  <c r="HH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B22" i="2" s="1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EW22" i="2"/>
  <c r="HH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C28" i="2"/>
  <c r="EB28" i="2"/>
  <c r="FS28" i="2"/>
  <c r="HI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B30" i="2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EW33" i="2" s="1"/>
  <c r="CH33" i="2"/>
  <c r="AS33" i="2"/>
  <c r="CI33" i="2"/>
  <c r="BM33" i="2"/>
  <c r="X33" i="2"/>
  <c r="ES33" i="2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B33" i="2" l="1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FQ35" i="2"/>
  <c r="HH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EW38" i="2"/>
  <c r="EA38" i="2"/>
  <c r="HH38" i="2"/>
  <c r="HG38" i="2"/>
  <c r="HI38" i="2"/>
  <c r="FS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HG42" i="2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HG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EC44" i="2"/>
  <c r="HH44" i="2"/>
  <c r="HG44" i="2"/>
  <c r="FS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B45" i="2" s="1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G45" i="2" l="1"/>
  <c r="EX45" i="2"/>
  <c r="HI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HI46" i="2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G48" i="2" l="1"/>
  <c r="EC48" i="2"/>
  <c r="HI48" i="2"/>
  <c r="HH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G50" i="2" l="1"/>
  <c r="HI50" i="2"/>
  <c r="EC50" i="2"/>
  <c r="FS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EA53" i="2" s="1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EB57" i="2"/>
  <c r="HH57" i="2"/>
  <c r="FS57" i="2"/>
  <c r="HI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C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C59" i="2"/>
  <c r="EA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H60" i="2" l="1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HI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X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EV64" i="2" s="1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G70" i="2" l="1"/>
  <c r="EB70" i="2"/>
  <c r="EW70" i="2"/>
  <c r="HI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G75" i="2"/>
  <c r="HH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FS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HI78" i="2"/>
  <c r="EW78" i="2"/>
  <c r="EV78" i="2"/>
  <c r="EB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H79" i="2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FS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W85" i="2" s="1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EC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X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HI98" i="2"/>
  <c r="FS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HI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V105" i="2"/>
  <c r="EA105" i="2"/>
  <c r="EB105" i="2"/>
  <c r="FS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C107" i="2"/>
  <c r="HG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FS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H110" i="2" l="1"/>
  <c r="HG110" i="2"/>
  <c r="EB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Q112" i="2" l="1"/>
  <c r="EX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W113" i="2" l="1"/>
  <c r="HI113" i="2"/>
  <c r="EC113" i="2"/>
  <c r="EB113" i="2"/>
  <c r="EX113" i="2"/>
  <c r="FS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H114" i="2"/>
  <c r="HG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EV116" i="2" s="1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FQ118" i="2" s="1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EC118" i="2"/>
  <c r="HH118" i="2"/>
  <c r="FS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EX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HI120" i="2"/>
  <c r="HH120" i="2"/>
  <c r="EX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FS122" i="2"/>
  <c r="EW122" i="2"/>
  <c r="HI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EW124" i="2"/>
  <c r="HH124" i="2"/>
  <c r="HG124" i="2"/>
  <c r="FS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B128" i="2"/>
  <c r="EX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HI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EW130" i="2" s="1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EX130" i="2"/>
  <c r="EB130" i="2"/>
  <c r="HI130" i="2"/>
  <c r="HG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FS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V134" i="2"/>
  <c r="EW134" i="2"/>
  <c r="HI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EW139" i="2" s="1"/>
  <c r="DY139" i="2"/>
  <c r="EB139" i="2" s="1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FS139" i="2"/>
  <c r="HH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C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B141" i="2"/>
  <c r="EA141" i="2"/>
  <c r="HH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H144" i="2" l="1"/>
  <c r="EB144" i="2"/>
  <c r="HG144" i="2"/>
  <c r="EX144" i="2"/>
  <c r="EA144" i="2"/>
  <c r="FR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G145" i="2"/>
  <c r="HH145" i="2"/>
  <c r="EB145" i="2"/>
  <c r="EA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EA146" i="2"/>
  <c r="FS146" i="2"/>
  <c r="FR146" i="2"/>
  <c r="HH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G150" i="2" l="1"/>
  <c r="EV150" i="2"/>
  <c r="HI150" i="2"/>
  <c r="HH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HI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Y154" i="2" s="1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DH156" i="2" l="1"/>
  <c r="EB156" i="2"/>
  <c r="HI156" i="2"/>
  <c r="AB156" i="2"/>
  <c r="FS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C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W158" i="2" l="1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ED158" i="2"/>
  <c r="HI159" i="2"/>
  <c r="EA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FS160" i="2"/>
  <c r="DG160" i="2"/>
  <c r="HI160" i="2"/>
  <c r="EY159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HG161" i="2" l="1"/>
  <c r="AB161" i="2"/>
  <c r="EA161" i="2"/>
  <c r="ED161" i="2" s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C162" i="2"/>
  <c r="HH162" i="2"/>
  <c r="EB162" i="2"/>
  <c r="HG162" i="2"/>
  <c r="FS162" i="2"/>
  <c r="AU162" i="2"/>
  <c r="EX162" i="2"/>
  <c r="EA162" i="2"/>
  <c r="ED162" i="2" s="1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HG163" i="2" l="1"/>
  <c r="HH163" i="2"/>
  <c r="HI163" i="2"/>
  <c r="EA163" i="2"/>
  <c r="ED163" i="2" s="1"/>
  <c r="EV163" i="2"/>
  <c r="EY163" i="2" s="1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V164" i="2" l="1"/>
  <c r="FR164" i="2"/>
  <c r="HH164" i="2"/>
  <c r="HG164" i="2"/>
  <c r="DH164" i="2"/>
  <c r="FS164" i="2"/>
  <c r="EX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EB165" i="2"/>
  <c r="EA165" i="2"/>
  <c r="ED165" i="2" s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EC166" i="2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FR167" i="2"/>
  <c r="EA167" i="2"/>
  <c r="EC167" i="2"/>
  <c r="EB167" i="2"/>
  <c r="HI167" i="2"/>
  <c r="DG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H168" i="2" l="1"/>
  <c r="HI168" i="2"/>
  <c r="EB168" i="2"/>
  <c r="DG168" i="2"/>
  <c r="EV168" i="2"/>
  <c r="EY168" i="2" s="1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 l="1"/>
  <c r="EA169" i="2"/>
  <c r="HH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HI172" i="2"/>
  <c r="EB172" i="2"/>
  <c r="HG172" i="2"/>
  <c r="EV172" i="2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HJ172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EW175" i="2" s="1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A175" i="2" l="1"/>
  <c r="HI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S178" i="2" l="1"/>
  <c r="HH178" i="2"/>
  <c r="EA178" i="2"/>
  <c r="ED178" i="2" s="1"/>
  <c r="EB178" i="2"/>
  <c r="HG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HH179" i="2" l="1"/>
  <c r="HG179" i="2"/>
  <c r="DF179" i="2"/>
  <c r="EV179" i="2"/>
  <c r="EY179" i="2" s="1"/>
  <c r="EA179" i="2"/>
  <c r="ED179" i="2" s="1"/>
  <c r="EB179" i="2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HI180" i="2" l="1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FS181" i="2" l="1"/>
  <c r="EW181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DG182" i="2"/>
  <c r="EA182" i="2"/>
  <c r="ED182" i="2" s="1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A183" i="2" l="1"/>
  <c r="FS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Y184" i="2" s="1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EW185" i="2" s="1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B185" i="2" l="1"/>
  <c r="HI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W186" i="2" l="1"/>
  <c r="EB186" i="2"/>
  <c r="HH186" i="2"/>
  <c r="EA186" i="2"/>
  <c r="HG186" i="2"/>
  <c r="FR186" i="2"/>
  <c r="ED185" i="2"/>
  <c r="FS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HH187" i="2"/>
  <c r="EB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AA189" i="2" l="1"/>
  <c r="EV189" i="2"/>
  <c r="HH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EW190" i="2" l="1"/>
  <c r="EB190" i="2"/>
  <c r="EV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I191" i="2" l="1"/>
  <c r="HH191" i="2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G192" i="2" l="1"/>
  <c r="EW192" i="2"/>
  <c r="EA192" i="2"/>
  <c r="ED192" i="2" s="1"/>
  <c r="HH192" i="2"/>
  <c r="EC192" i="2"/>
  <c r="HI192" i="2"/>
  <c r="EV192" i="2"/>
  <c r="EY192" i="2" s="1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B193" i="2" l="1"/>
  <c r="EA193" i="2"/>
  <c r="FQ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G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EA195" i="2" l="1"/>
  <c r="EB195" i="2"/>
  <c r="DH195" i="2"/>
  <c r="EX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A197" i="2"/>
  <c r="ED197" i="2" s="1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V198" i="2" l="1"/>
  <c r="HI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V199" i="2" l="1"/>
  <c r="FS199" i="2"/>
  <c r="HG199" i="2"/>
  <c r="EB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BX4" i="2" s="1" a="1"/>
  <c r="BX4" i="2" s="1"/>
  <c r="BY4" i="2" s="1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EI4" i="2" a="1"/>
  <c r="EI4" i="2" s="1"/>
  <c r="EJ4" i="2" s="1"/>
  <c r="AX198" i="2"/>
  <c r="DI200" i="2"/>
  <c r="EA201" i="2" l="1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FZ6" i="2" l="1"/>
  <c r="HI202" i="2"/>
  <c r="EW202" i="2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BC68" i="2" a="1"/>
  <c r="BC68" i="2" s="1"/>
  <c r="BC47" i="2" a="1"/>
  <c r="BC47" i="2" s="1"/>
  <c r="BC82" i="2" a="1"/>
  <c r="BC82" i="2" s="1"/>
  <c r="BC126" i="2" a="1"/>
  <c r="BC126" i="2" s="1"/>
  <c r="FD64" i="2" a="1"/>
  <c r="FD64" i="2" s="1"/>
  <c r="FD167" i="2" a="1"/>
  <c r="FD167" i="2" s="1"/>
  <c r="FD107" i="2" a="1"/>
  <c r="FD107" i="2" s="1"/>
  <c r="FD137" i="2" a="1"/>
  <c r="FD137" i="2" s="1"/>
  <c r="FD19" i="2" a="1"/>
  <c r="FD19" i="2" s="1"/>
  <c r="FD194" i="2" a="1"/>
  <c r="FD194" i="2" s="1"/>
  <c r="FD187" i="2" a="1"/>
  <c r="FD187" i="2" s="1"/>
  <c r="BC192" i="2" a="1"/>
  <c r="BC192" i="2" s="1"/>
  <c r="BC164" i="2" a="1"/>
  <c r="BC164" i="2" s="1"/>
  <c r="BC32" i="2" a="1"/>
  <c r="BC32" i="2" s="1"/>
  <c r="BC31" i="2" a="1"/>
  <c r="BC31" i="2" s="1"/>
  <c r="CS120" i="2" a="1"/>
  <c r="CS120" i="2" s="1"/>
  <c r="EI38" i="2" a="1"/>
  <c r="EI38" i="2" s="1"/>
  <c r="EI109" i="2" a="1"/>
  <c r="EI109" i="2" s="1"/>
  <c r="DN6" i="2" a="1"/>
  <c r="DN6" i="2" s="1"/>
  <c r="DO6" i="2" s="1"/>
  <c r="HJ202" i="2"/>
  <c r="EY202" i="2"/>
  <c r="AX200" i="2"/>
  <c r="BC38" i="2" l="1" a="1"/>
  <c r="BC38" i="2" s="1"/>
  <c r="BC7" i="2" a="1"/>
  <c r="BC7" i="2" s="1"/>
  <c r="BC185" i="2" a="1"/>
  <c r="BC185" i="2" s="1"/>
  <c r="BC65" i="2" a="1"/>
  <c r="BC65" i="2" s="1"/>
  <c r="BC18" i="2" a="1"/>
  <c r="BC18" i="2" s="1"/>
  <c r="BC83" i="2" a="1"/>
  <c r="BC83" i="2" s="1"/>
  <c r="BC151" i="2" a="1"/>
  <c r="BC151" i="2" s="1"/>
  <c r="BC181" i="2" a="1"/>
  <c r="BC181" i="2" s="1"/>
  <c r="BC143" i="2" a="1"/>
  <c r="BC143" i="2" s="1"/>
  <c r="BC114" i="2" a="1"/>
  <c r="BC114" i="2" s="1"/>
  <c r="BC55" i="2" a="1"/>
  <c r="BC55" i="2" s="1"/>
  <c r="BC58" i="2" a="1"/>
  <c r="BC58" i="2" s="1"/>
  <c r="BC130" i="2" a="1"/>
  <c r="BC130" i="2" s="1"/>
  <c r="BC34" i="2" a="1"/>
  <c r="BC34" i="2" s="1"/>
  <c r="FY196" i="2" a="1"/>
  <c r="FY196" i="2" s="1"/>
  <c r="FY82" i="2" a="1"/>
  <c r="FY82" i="2" s="1"/>
  <c r="FY115" i="2" a="1"/>
  <c r="FY115" i="2" s="1"/>
  <c r="FY174" i="2" a="1"/>
  <c r="FY174" i="2" s="1"/>
  <c r="CS134" i="2" a="1"/>
  <c r="CS134" i="2" s="1"/>
  <c r="FD82" i="2" a="1"/>
  <c r="FD82" i="2" s="1"/>
  <c r="CS72" i="2" a="1"/>
  <c r="CS72" i="2" s="1"/>
  <c r="CS38" i="2" a="1"/>
  <c r="CS38" i="2" s="1"/>
  <c r="CS105" i="2" a="1"/>
  <c r="CS105" i="2" s="1"/>
  <c r="CS24" i="2" a="1"/>
  <c r="CS24" i="2" s="1"/>
  <c r="CS161" i="2" a="1"/>
  <c r="CS161" i="2" s="1"/>
  <c r="FY111" i="2" a="1"/>
  <c r="FY111" i="2" s="1"/>
  <c r="FY58" i="2" a="1"/>
  <c r="FY58" i="2" s="1"/>
  <c r="CS116" i="2" a="1"/>
  <c r="CS116" i="2" s="1"/>
  <c r="FY73" i="2" a="1"/>
  <c r="FY73" i="2" s="1"/>
  <c r="FY99" i="2" a="1"/>
  <c r="FY99" i="2" s="1"/>
  <c r="FY116" i="2" a="1"/>
  <c r="FY116" i="2" s="1"/>
  <c r="FY92" i="2" a="1"/>
  <c r="FY92" i="2" s="1"/>
  <c r="CS185" i="2" a="1"/>
  <c r="CS185" i="2" s="1"/>
  <c r="EI142" i="2" a="1"/>
  <c r="EI142" i="2" s="1"/>
  <c r="FY152" i="2" a="1"/>
  <c r="FY152" i="2" s="1"/>
  <c r="FY143" i="2" a="1"/>
  <c r="FY143" i="2" s="1"/>
  <c r="FY104" i="2" a="1"/>
  <c r="FY104" i="2" s="1"/>
  <c r="EI106" i="2" a="1"/>
  <c r="EI106" i="2" s="1"/>
  <c r="FD188" i="2" a="1"/>
  <c r="FD188" i="2" s="1"/>
  <c r="FY71" i="2" a="1"/>
  <c r="FY71" i="2" s="1"/>
  <c r="FD60" i="2" a="1"/>
  <c r="FD60" i="2" s="1"/>
  <c r="EI166" i="2" a="1"/>
  <c r="EI166" i="2" s="1"/>
  <c r="FY149" i="2" a="1"/>
  <c r="FY149" i="2" s="1"/>
  <c r="FY18" i="2" a="1"/>
  <c r="FY18" i="2" s="1"/>
  <c r="FD14" i="2" a="1"/>
  <c r="FD14" i="2" s="1"/>
  <c r="FD48" i="2" a="1"/>
  <c r="FD48" i="2" s="1"/>
  <c r="EI37" i="2" a="1"/>
  <c r="EI37" i="2" s="1"/>
  <c r="FY120" i="2" a="1"/>
  <c r="FY120" i="2" s="1"/>
  <c r="EI35" i="2" a="1"/>
  <c r="EI35" i="2" s="1"/>
  <c r="EI153" i="2" a="1"/>
  <c r="EI153" i="2" s="1"/>
  <c r="FY164" i="2" a="1"/>
  <c r="FY164" i="2" s="1"/>
  <c r="EI139" i="2" a="1"/>
  <c r="EI139" i="2" s="1"/>
  <c r="EI113" i="2" a="1"/>
  <c r="EI113" i="2" s="1"/>
  <c r="FY121" i="2" a="1"/>
  <c r="FY121" i="2" s="1"/>
  <c r="EI198" i="2" a="1"/>
  <c r="EI198" i="2" s="1"/>
  <c r="FY24" i="2" a="1"/>
  <c r="FY24" i="2" s="1"/>
  <c r="FY133" i="2" a="1"/>
  <c r="FY133" i="2" s="1"/>
  <c r="FY34" i="2" a="1"/>
  <c r="FY34" i="2" s="1"/>
  <c r="FY167" i="2" a="1"/>
  <c r="FY167" i="2" s="1"/>
  <c r="GT115" i="2" a="1"/>
  <c r="GT115" i="2" s="1"/>
  <c r="FY124" i="2" a="1"/>
  <c r="FY124" i="2" s="1"/>
  <c r="FY140" i="2" a="1"/>
  <c r="FY140" i="2" s="1"/>
  <c r="FY66" i="2" a="1"/>
  <c r="FY66" i="2" s="1"/>
  <c r="FD44" i="2" a="1"/>
  <c r="FD44" i="2" s="1"/>
  <c r="EI57" i="2" a="1"/>
  <c r="EI57" i="2" s="1"/>
  <c r="EI36" i="2" a="1"/>
  <c r="EI36" i="2" s="1"/>
  <c r="FY80" i="2" a="1"/>
  <c r="FY80" i="2" s="1"/>
  <c r="DN56" i="2" a="1"/>
  <c r="DN56" i="2" s="1"/>
  <c r="FY169" i="2" a="1"/>
  <c r="FY169" i="2" s="1"/>
  <c r="FY29" i="2" a="1"/>
  <c r="FY29" i="2" s="1"/>
  <c r="EI87" i="2" a="1"/>
  <c r="EI87" i="2" s="1"/>
  <c r="FY42" i="2" a="1"/>
  <c r="FY42" i="2" s="1"/>
  <c r="FY178" i="2" a="1"/>
  <c r="FY178" i="2" s="1"/>
  <c r="FY32" i="2" a="1"/>
  <c r="FY32" i="2" s="1"/>
  <c r="BC84" i="2" a="1"/>
  <c r="BC84" i="2" s="1"/>
  <c r="BC117" i="2" a="1"/>
  <c r="BC117" i="2" s="1"/>
  <c r="FD160" i="2" a="1"/>
  <c r="FD160" i="2" s="1"/>
  <c r="FY142" i="2" a="1"/>
  <c r="FY142" i="2" s="1"/>
  <c r="DN66" i="2" a="1"/>
  <c r="DN66" i="2" s="1"/>
  <c r="FY62" i="2" a="1"/>
  <c r="FY62" i="2" s="1"/>
  <c r="FY186" i="2" a="1"/>
  <c r="FY186" i="2" s="1"/>
  <c r="FY35" i="2" a="1"/>
  <c r="FY35" i="2" s="1"/>
  <c r="DN192" i="2" a="1"/>
  <c r="DN192" i="2" s="1"/>
  <c r="CS129" i="2" a="1"/>
  <c r="CS129" i="2" s="1"/>
  <c r="FY190" i="2" a="1"/>
  <c r="FY190" i="2" s="1"/>
  <c r="FY173" i="2" a="1"/>
  <c r="FY173" i="2" s="1"/>
  <c r="FY165" i="2" a="1"/>
  <c r="FY165" i="2" s="1"/>
  <c r="CS114" i="2" a="1"/>
  <c r="CS114" i="2" s="1"/>
  <c r="CS56" i="2" a="1"/>
  <c r="CS56" i="2" s="1"/>
  <c r="FD159" i="2" a="1"/>
  <c r="FD159" i="2" s="1"/>
  <c r="FY30" i="2" a="1"/>
  <c r="FY30" i="2" s="1"/>
  <c r="CS52" i="2" a="1"/>
  <c r="CS52" i="2" s="1"/>
  <c r="FY72" i="2" a="1"/>
  <c r="FY72" i="2" s="1"/>
  <c r="FY159" i="2" a="1"/>
  <c r="FY159" i="2" s="1"/>
  <c r="FY146" i="2" a="1"/>
  <c r="FY146" i="2" s="1"/>
  <c r="FY55" i="2" a="1"/>
  <c r="FY55" i="2" s="1"/>
  <c r="FY191" i="2" a="1"/>
  <c r="FY191" i="2" s="1"/>
  <c r="FY22" i="2" a="1"/>
  <c r="FY22" i="2" s="1"/>
  <c r="DN168" i="2" a="1"/>
  <c r="DN168" i="2" s="1"/>
  <c r="FD131" i="2" a="1"/>
  <c r="FD131" i="2" s="1"/>
  <c r="FD59" i="2" a="1"/>
  <c r="FD59" i="2" s="1"/>
  <c r="FY126" i="2" a="1"/>
  <c r="FY126" i="2" s="1"/>
  <c r="FY110" i="2" a="1"/>
  <c r="FY110" i="2" s="1"/>
  <c r="FY57" i="2" a="1"/>
  <c r="FY57" i="2" s="1"/>
  <c r="DN150" i="2" a="1"/>
  <c r="DN150" i="2" s="1"/>
  <c r="FD43" i="2" a="1"/>
  <c r="FD43" i="2" s="1"/>
  <c r="FY182" i="2" a="1"/>
  <c r="FY182" i="2" s="1"/>
  <c r="FD144" i="2" a="1"/>
  <c r="FD144" i="2" s="1"/>
  <c r="FY188" i="2" a="1"/>
  <c r="FY188" i="2" s="1"/>
  <c r="FY153" i="2" a="1"/>
  <c r="FY153" i="2" s="1"/>
  <c r="FY54" i="2" a="1"/>
  <c r="FY54" i="2" s="1"/>
  <c r="FD21" i="2" a="1"/>
  <c r="FD21" i="2" s="1"/>
  <c r="FY28" i="2" a="1"/>
  <c r="FY28" i="2" s="1"/>
  <c r="FY102" i="2" a="1"/>
  <c r="FY102" i="2" s="1"/>
  <c r="FY50" i="2" a="1"/>
  <c r="FY50" i="2" s="1"/>
  <c r="FD189" i="2" a="1"/>
  <c r="FD189" i="2" s="1"/>
  <c r="FY86" i="2" a="1"/>
  <c r="FY86" i="2" s="1"/>
  <c r="GT102" i="2" a="1"/>
  <c r="GT102" i="2" s="1"/>
  <c r="FY172" i="2" a="1"/>
  <c r="FY172" i="2" s="1"/>
  <c r="FY78" i="2" a="1"/>
  <c r="FY78" i="2" s="1"/>
  <c r="FY69" i="2" a="1"/>
  <c r="FY69" i="2" s="1"/>
  <c r="FY109" i="2" a="1"/>
  <c r="FY109" i="2" s="1"/>
  <c r="HG203" i="2"/>
  <c r="DN190" i="2" a="1"/>
  <c r="DN190" i="2" s="1"/>
  <c r="DN29" i="2" a="1"/>
  <c r="DN29" i="2" s="1"/>
  <c r="DN176" i="2" a="1"/>
  <c r="DN176" i="2" s="1"/>
  <c r="DN133" i="2" a="1"/>
  <c r="DN133" i="2" s="1"/>
  <c r="GT15" i="2" a="1"/>
  <c r="GT15" i="2" s="1"/>
  <c r="GT198" i="2" a="1"/>
  <c r="GT198" i="2" s="1"/>
  <c r="GT21" i="2" a="1"/>
  <c r="GT21" i="2" s="1"/>
  <c r="FY90" i="2" a="1"/>
  <c r="FY90" i="2" s="1"/>
  <c r="DN43" i="2" a="1"/>
  <c r="DN43" i="2" s="1"/>
  <c r="DN186" i="2" a="1"/>
  <c r="DN186" i="2" s="1"/>
  <c r="DN65" i="2" a="1"/>
  <c r="DN65" i="2" s="1"/>
  <c r="GT12" i="2" a="1"/>
  <c r="GT12" i="2" s="1"/>
  <c r="AH163" i="2" a="1"/>
  <c r="AH163" i="2" s="1"/>
  <c r="DN41" i="2" a="1"/>
  <c r="DN41" i="2" s="1"/>
  <c r="DN80" i="2" a="1"/>
  <c r="DN80" i="2" s="1"/>
  <c r="AH62" i="2" a="1"/>
  <c r="AH62" i="2" s="1"/>
  <c r="GT11" i="2" a="1"/>
  <c r="GT11" i="2" s="1"/>
  <c r="DN188" i="2" a="1"/>
  <c r="DN188" i="2" s="1"/>
  <c r="GT147" i="2" a="1"/>
  <c r="GT147" i="2" s="1"/>
  <c r="DN31" i="2" a="1"/>
  <c r="DN31" i="2" s="1"/>
  <c r="GT107" i="2" a="1"/>
  <c r="GT107" i="2" s="1"/>
  <c r="AH19" i="2" a="1"/>
  <c r="AH19" i="2" s="1"/>
  <c r="DN124" i="2" a="1"/>
  <c r="DN124" i="2" s="1"/>
  <c r="DN167" i="2" a="1"/>
  <c r="DN167" i="2" s="1"/>
  <c r="EI170" i="2" a="1"/>
  <c r="EI170" i="2" s="1"/>
  <c r="GT174" i="2" a="1"/>
  <c r="GT174" i="2" s="1"/>
  <c r="AH90" i="2" a="1"/>
  <c r="AH90" i="2" s="1"/>
  <c r="DN153" i="2" a="1"/>
  <c r="DN153" i="2" s="1"/>
  <c r="CS66" i="2" a="1"/>
  <c r="CS66" i="2" s="1"/>
  <c r="GT33" i="2" a="1"/>
  <c r="GT33" i="2" s="1"/>
  <c r="DN63" i="2" a="1"/>
  <c r="DN63" i="2" s="1"/>
  <c r="GT138" i="2" a="1"/>
  <c r="GT138" i="2" s="1"/>
  <c r="BX107" i="2" a="1"/>
  <c r="BX107" i="2" s="1"/>
  <c r="EI67" i="2" a="1"/>
  <c r="EI67" i="2" s="1"/>
  <c r="DN115" i="2" a="1"/>
  <c r="DN115" i="2" s="1"/>
  <c r="GT152" i="2" a="1"/>
  <c r="GT152" i="2" s="1"/>
  <c r="DN45" i="2" a="1"/>
  <c r="DN45" i="2" s="1"/>
  <c r="DN16" i="2" a="1"/>
  <c r="DN16" i="2" s="1"/>
  <c r="EI16" i="2" a="1"/>
  <c r="EI16" i="2" s="1"/>
  <c r="GT190" i="2" a="1"/>
  <c r="GT190" i="2" s="1"/>
  <c r="CS77" i="2" a="1"/>
  <c r="CS77" i="2" s="1"/>
  <c r="DN170" i="2" a="1"/>
  <c r="DN170" i="2" s="1"/>
  <c r="DN155" i="2" a="1"/>
  <c r="DN155" i="2" s="1"/>
  <c r="GT133" i="2" a="1"/>
  <c r="GT133" i="2" s="1"/>
  <c r="DN137" i="2" a="1"/>
  <c r="DN137" i="2" s="1"/>
  <c r="DN187" i="2" a="1"/>
  <c r="DN187" i="2" s="1"/>
  <c r="DN86" i="2" a="1"/>
  <c r="DN86" i="2" s="1"/>
  <c r="DN177" i="2" a="1"/>
  <c r="DN177" i="2" s="1"/>
  <c r="DN162" i="2" a="1"/>
  <c r="DN162" i="2" s="1"/>
  <c r="GT191" i="2" a="1"/>
  <c r="GT191" i="2" s="1"/>
  <c r="DN114" i="2" a="1"/>
  <c r="DN114" i="2" s="1"/>
  <c r="GT121" i="2" a="1"/>
  <c r="GT121" i="2" s="1"/>
  <c r="GT38" i="2" a="1"/>
  <c r="GT38" i="2" s="1"/>
  <c r="DN103" i="2" a="1"/>
  <c r="DN103" i="2" s="1"/>
  <c r="DN50" i="2" a="1"/>
  <c r="DN50" i="2" s="1"/>
  <c r="FS203" i="2"/>
  <c r="DN132" i="2" a="1"/>
  <c r="DN132" i="2" s="1"/>
  <c r="EI20" i="2" a="1"/>
  <c r="EI20" i="2" s="1"/>
  <c r="GT126" i="2" a="1"/>
  <c r="GT126" i="2" s="1"/>
  <c r="DN113" i="2" a="1"/>
  <c r="DN113" i="2" s="1"/>
  <c r="EI145" i="2" a="1"/>
  <c r="EI145" i="2" s="1"/>
  <c r="GT51" i="2" a="1"/>
  <c r="GT51" i="2" s="1"/>
  <c r="DN30" i="2" a="1"/>
  <c r="DN30" i="2" s="1"/>
  <c r="DN135" i="2" a="1"/>
  <c r="DN135" i="2" s="1"/>
  <c r="EI34" i="2" a="1"/>
  <c r="EI34" i="2" s="1"/>
  <c r="GT74" i="2" a="1"/>
  <c r="GT74" i="2" s="1"/>
  <c r="CS137" i="2" a="1"/>
  <c r="CS137" i="2" s="1"/>
  <c r="DN25" i="2" a="1"/>
  <c r="DN25" i="2" s="1"/>
  <c r="EI162" i="2" a="1"/>
  <c r="EI162" i="2" s="1"/>
  <c r="GT68" i="2" a="1"/>
  <c r="GT68" i="2" s="1"/>
  <c r="DN129" i="2" a="1"/>
  <c r="DN129" i="2" s="1"/>
  <c r="AH92" i="2" a="1"/>
  <c r="AH92" i="2" s="1"/>
  <c r="EI128" i="2" a="1"/>
  <c r="EI128" i="2" s="1"/>
  <c r="GT122" i="2" a="1"/>
  <c r="GT122" i="2" s="1"/>
  <c r="DN164" i="2" a="1"/>
  <c r="DN164" i="2" s="1"/>
  <c r="AH151" i="2" a="1"/>
  <c r="AH151" i="2" s="1"/>
  <c r="DN46" i="2" a="1"/>
  <c r="DN46" i="2" s="1"/>
  <c r="DN38" i="2" a="1"/>
  <c r="DN38" i="2" s="1"/>
  <c r="EI165" i="2" a="1"/>
  <c r="EI165" i="2" s="1"/>
  <c r="GT178" i="2" a="1"/>
  <c r="GT178" i="2" s="1"/>
  <c r="DN123" i="2" a="1"/>
  <c r="DN123" i="2" s="1"/>
  <c r="DN184" i="2" a="1"/>
  <c r="DN184" i="2" s="1"/>
  <c r="EI150" i="2" a="1"/>
  <c r="EI150" i="2" s="1"/>
  <c r="GT181" i="2" a="1"/>
  <c r="GT181" i="2" s="1"/>
  <c r="DN70" i="2" a="1"/>
  <c r="DN70" i="2" s="1"/>
  <c r="DN55" i="2" a="1"/>
  <c r="DN55" i="2" s="1"/>
  <c r="AH199" i="2" a="1"/>
  <c r="AH199" i="2" s="1"/>
  <c r="DN110" i="2" a="1"/>
  <c r="DN110" i="2" s="1"/>
  <c r="AH166" i="2" a="1"/>
  <c r="AH166" i="2" s="1"/>
  <c r="DN49" i="2" a="1"/>
  <c r="DN49" i="2" s="1"/>
  <c r="EI178" i="2" a="1"/>
  <c r="EI178" i="2" s="1"/>
  <c r="EI71" i="2" a="1"/>
  <c r="EI71" i="2" s="1"/>
  <c r="GT189" i="2" a="1"/>
  <c r="GT189" i="2" s="1"/>
  <c r="EI195" i="2" a="1"/>
  <c r="EI195" i="2" s="1"/>
  <c r="DN152" i="2" a="1"/>
  <c r="DN152" i="2" s="1"/>
  <c r="EI29" i="2" a="1"/>
  <c r="EI29" i="2" s="1"/>
  <c r="GT184" i="2" a="1"/>
  <c r="GT184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ED203" i="2" s="1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8" i="2" l="1"/>
  <c r="FZ9" i="2" s="1"/>
  <c r="FZ10" i="2" s="1"/>
  <c r="FZ11" i="2" s="1"/>
  <c r="CN203" i="2"/>
  <c r="FZ12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AN83" i="2" l="1"/>
  <c r="AN120" i="2"/>
  <c r="AN85" i="2"/>
  <c r="AN194" i="2"/>
  <c r="AN115" i="2"/>
  <c r="AN191" i="2"/>
  <c r="AN197" i="2"/>
  <c r="AN175" i="2"/>
  <c r="AN123" i="2"/>
  <c r="AN132" i="2"/>
  <c r="AN46" i="2"/>
  <c r="AN47" i="2"/>
  <c r="AN68" i="2"/>
  <c r="AN94" i="2"/>
  <c r="AN3" i="2"/>
  <c r="C7" i="4" s="1"/>
  <c r="E7" i="4" s="1"/>
  <c r="F7" i="4" s="1"/>
  <c r="G7" i="4" s="1"/>
  <c r="L7" i="4" s="1"/>
  <c r="AN49" i="2"/>
  <c r="AN36" i="2"/>
  <c r="AN136" i="2"/>
  <c r="AN198" i="2"/>
  <c r="AN22" i="2"/>
  <c r="AN142" i="2"/>
  <c r="AN45" i="2"/>
  <c r="AN164" i="2"/>
  <c r="AN15" i="2"/>
  <c r="AN122" i="2"/>
  <c r="AN59" i="2"/>
  <c r="AN91" i="2"/>
  <c r="AN110" i="2"/>
  <c r="AN118" i="2"/>
  <c r="AN34" i="2"/>
  <c r="AN53" i="2"/>
  <c r="AN124" i="2"/>
  <c r="AN41" i="2"/>
  <c r="AN106" i="2"/>
  <c r="AN183" i="2"/>
  <c r="AN203" i="2"/>
  <c r="AN60" i="2"/>
  <c r="AN70" i="2"/>
  <c r="AN38" i="2"/>
  <c r="AN76" i="2"/>
  <c r="AN174" i="2"/>
  <c r="AN111" i="2"/>
  <c r="AN117" i="2"/>
  <c r="AN141" i="2"/>
  <c r="AN66" i="2"/>
  <c r="AN202" i="2"/>
  <c r="AN30" i="2"/>
  <c r="AN153" i="2"/>
  <c r="AN4" i="2"/>
  <c r="AN201" i="2"/>
  <c r="AN17" i="2"/>
  <c r="AN104" i="2"/>
  <c r="AN75" i="2"/>
  <c r="AN147" i="2"/>
  <c r="AN20" i="2"/>
  <c r="AN5" i="2"/>
  <c r="AN169" i="2"/>
  <c r="AN9" i="2"/>
  <c r="AN65" i="2"/>
  <c r="AN27" i="2"/>
  <c r="AN102" i="2"/>
  <c r="AN58" i="2"/>
  <c r="AN184" i="2"/>
  <c r="AN179" i="2"/>
  <c r="AN28" i="2"/>
  <c r="AN150" i="2"/>
  <c r="AN139" i="2"/>
  <c r="AN6" i="2"/>
  <c r="AN89" i="2"/>
  <c r="AN61" i="2"/>
  <c r="AN39" i="2"/>
  <c r="AN92" i="2"/>
  <c r="AN107" i="2"/>
  <c r="AN11" i="2"/>
  <c r="AN190" i="2"/>
  <c r="AN165" i="2"/>
  <c r="AN90" i="2"/>
  <c r="AN125" i="2"/>
  <c r="AN21" i="2"/>
  <c r="AN157" i="2"/>
  <c r="AN29" i="2"/>
  <c r="AN128" i="2"/>
  <c r="AN105" i="2"/>
  <c r="AN156" i="2"/>
  <c r="AN57" i="2"/>
  <c r="AN71" i="2"/>
  <c r="AN84" i="2"/>
  <c r="AN62" i="2"/>
  <c r="AN180" i="2"/>
  <c r="AN43" i="2"/>
  <c r="AN54" i="2"/>
  <c r="AN108" i="2"/>
  <c r="AN81" i="2"/>
  <c r="AN116" i="2"/>
  <c r="AN140" i="2"/>
  <c r="AN64" i="2"/>
  <c r="AN18" i="2"/>
  <c r="AN170" i="2"/>
  <c r="AN13" i="2"/>
  <c r="AN176" i="2"/>
  <c r="AN101" i="2"/>
  <c r="AN96" i="2"/>
  <c r="AN126" i="2"/>
  <c r="AN100" i="2"/>
  <c r="AN193" i="2"/>
  <c r="AN37" i="2"/>
  <c r="AN172" i="2"/>
  <c r="AN154" i="2"/>
  <c r="AN19" i="2"/>
  <c r="AN200" i="2"/>
  <c r="AN177" i="2"/>
  <c r="AN166" i="2"/>
  <c r="AN8" i="2"/>
  <c r="AN87" i="2"/>
  <c r="AN50" i="2"/>
  <c r="AN195" i="2"/>
  <c r="FE195" i="2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AN109" i="2" s="1"/>
  <c r="BF107" i="2"/>
  <c r="BG107" i="2" s="1"/>
  <c r="BH107" i="2" s="1"/>
  <c r="BS106" i="2"/>
  <c r="BE108" i="2"/>
  <c r="AN112" i="2" l="1"/>
  <c r="AN103" i="2"/>
  <c r="AN23" i="2"/>
  <c r="AN69" i="2"/>
  <c r="AN74" i="2"/>
  <c r="AN185" i="2"/>
  <c r="AN148" i="2"/>
  <c r="AN119" i="2"/>
  <c r="AN159" i="2"/>
  <c r="AN137" i="2"/>
  <c r="AN129" i="2"/>
  <c r="AN79" i="2"/>
  <c r="AN187" i="2"/>
  <c r="AN63" i="2"/>
  <c r="AN73" i="2"/>
  <c r="AN33" i="2"/>
  <c r="AN143" i="2"/>
  <c r="AN146" i="2"/>
  <c r="AN152" i="2"/>
  <c r="AN171" i="2"/>
  <c r="AN121" i="2"/>
  <c r="AN88" i="2"/>
  <c r="AN186" i="2"/>
  <c r="AN161" i="2"/>
  <c r="AN40" i="2"/>
  <c r="AN167" i="2"/>
  <c r="AN95" i="2"/>
  <c r="AN10" i="2"/>
  <c r="AN86" i="2"/>
  <c r="AN12" i="2"/>
  <c r="AN160" i="2"/>
  <c r="AN32" i="2"/>
  <c r="AN130" i="2"/>
  <c r="AN114" i="2"/>
  <c r="AN189" i="2"/>
  <c r="AN182" i="2"/>
  <c r="AN67" i="2"/>
  <c r="AN113" i="2"/>
  <c r="AN173" i="2"/>
  <c r="AN145" i="2"/>
  <c r="AN199" i="2"/>
  <c r="AN78" i="2"/>
  <c r="AN82" i="2"/>
  <c r="AN196" i="2"/>
  <c r="AN7" i="2"/>
  <c r="AN181" i="2"/>
  <c r="AN14" i="2"/>
  <c r="AN44" i="2"/>
  <c r="AN25" i="2"/>
  <c r="AN77" i="2"/>
  <c r="AN26" i="2"/>
  <c r="AN155" i="2"/>
  <c r="AN127" i="2"/>
  <c r="AN168" i="2"/>
  <c r="AN192" i="2"/>
  <c r="AN31" i="2"/>
  <c r="AN52" i="2"/>
  <c r="AN97" i="2"/>
  <c r="AN93" i="2"/>
  <c r="AN133" i="2"/>
  <c r="AN163" i="2"/>
  <c r="AN178" i="2"/>
  <c r="AN149" i="2"/>
  <c r="AN134" i="2"/>
  <c r="AN72" i="2"/>
  <c r="AN158" i="2"/>
  <c r="AN42" i="2"/>
  <c r="AN35" i="2"/>
  <c r="AN98" i="2"/>
  <c r="AN151" i="2"/>
  <c r="AN188" i="2"/>
  <c r="AN24" i="2"/>
  <c r="AN80" i="2"/>
  <c r="AN55" i="2"/>
  <c r="AN51" i="2"/>
  <c r="AN99" i="2"/>
  <c r="AN48" i="2"/>
  <c r="AN56" i="2"/>
  <c r="AN144" i="2"/>
  <c r="AN135" i="2"/>
  <c r="AN16" i="2"/>
  <c r="AN162" i="2"/>
  <c r="AN138" i="2"/>
  <c r="AN131" i="2"/>
  <c r="FE196" i="2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<sst xmlns="http://schemas.openxmlformats.org/spreadsheetml/2006/main" count="1177" uniqueCount="328">
  <si>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</si>
  <si>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</si>
  <si>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</si>
  <si>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</si>
  <si>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</si>
  <si>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</si>
  <si>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</si>
  <si>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</si>
  <si>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</si>
  <si>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</si>
  <si>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</si>
  <si>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</si>
  <si>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</si>
  <si>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</si>
  <si>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</si>
  <si>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</si>
  <si>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</si>
  <si>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</si>
  <si>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</si>
  <si>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</si>
  <si>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</si>
  <si>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</si>
  <si>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</si>
  <si>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</si>
  <si>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</si>
  <si>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</si>
  <si>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</si>
  <si>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</si>
  <si>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</si>
  <si>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</si>
  <si>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</si>
  <si>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</si>
  <si>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</si>
  <si>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</si>
  <si>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</si>
  <si>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</si>
  <si>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</si>
  <si>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</si>
  <si>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</si>
  <si>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</si>
  <si>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</si>
  <si>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</si>
  <si>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</si>
  <si>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</si>
  <si>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</si>
  <si>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</si>
  <si>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</si>
  <si>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</si>
  <si>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</si>
  <si>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</si>
  <si>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</si>
  <si>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</si>
  <si>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</si>
  <si>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</si>
  <si>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</si>
  <si>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</si>
  <si>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</si>
  <si>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</si>
  <si>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</si>
  <si>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</si>
  <si>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</si>
  <si>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</si>
  <si>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</si>
  <si>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</si>
  <si>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</si>
  <si>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</si>
  <si>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</si>
  <si>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</si>
  <si>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</si>
  <si>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</si>
  <si>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</si>
  <si>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</si>
  <si>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</si>
  <si>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</si>
  <si>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</si>
  <si>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</si>
  <si>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</si>
  <si>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</si>
  <si>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</si>
  <si>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</si>
  <si>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</si>
  <si>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</si>
  <si>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</si>
  <si>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</si>
  <si>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</si>
  <si>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</si>
  <si>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</si>
  <si>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</si>
  <si>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</si>
  <si>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</si>
  <si>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</si>
  <si>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</si>
  <si>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</si>
  <si>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</si>
  <si>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</si>
  <si>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</si>
  <si>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</si>
  <si>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</si>
  <si>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</si>
  <si>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</si>
  <si>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</si>
  <si>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</si>
  <si>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</si>
  <si>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</si>
  <si>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</si>
  <si>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</si>
  <si>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</si>
  <si>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</si>
  <si>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</si>
  <si>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</si>
  <si>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</si>
  <si>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</si>
  <si>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</si>
  <si>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</si>
  <si>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</si>
  <si>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</si>
  <si>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</si>
  <si>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</si>
  <si>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</si>
  <si>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</si>
  <si>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</si>
  <si>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</si>
  <si>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</si>
  <si>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</si>
  <si>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</si>
  <si>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</si>
  <si>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</si>
  <si>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</si>
  <si>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</si>
  <si>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</si>
  <si>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</si>
  <si>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</si>
  <si>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</si>
  <si>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</si>
  <si>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</si>
  <si>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</si>
  <si>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</si>
  <si>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</si>
  <si>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</si>
  <si>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</si>
  <si>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</si>
  <si>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</si>
  <si>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</si>
  <si>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</si>
  <si>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</si>
  <si>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</si>
  <si>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</si>
  <si>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</si>
  <si>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</si>
  <si>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</si>
  <si>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</si>
  <si>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</si>
  <si>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</si>
  <si>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</si>
  <si>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</si>
  <si>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</si>
  <si>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</si>
  <si>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</si>
  <si>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</si>
  <si>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</si>
  <si>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</si>
  <si>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</si>
  <si>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</si>
  <si>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</si>
  <si>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</si>
  <si>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</si>
  <si>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</si>
  <si>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</si>
  <si>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</si>
  <si>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</si>
  <si>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</si>
  <si>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</si>
  <si>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</si>
  <si>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</si>
  <si>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</si>
  <si>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</si>
  <si>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</si>
  <si>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</si>
  <si>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</si>
  <si>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</si>
  <si>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</si>
  <si>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</si>
  <si>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</si>
  <si>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</si>
  <si>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</si>
  <si>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</si>
  <si>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</si>
  <si>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</si>
  <si>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</si>
  <si>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</si>
  <si>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</si>
  <si>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</si>
  <si>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</si>
  <si>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</si>
  <si>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</si>
  <si>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</si>
  <si>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</si>
  <si>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</si>
  <si>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</si>
  <si>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</si>
  <si>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</si>
  <si>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</si>
  <si>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</si>
  <si>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</si>
  <si>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</si>
  <si>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</si>
  <si>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</si>
  <si>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</si>
  <si>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</si>
  <si>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</si>
  <si>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</si>
  <si>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</si>
  <si>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</si>
  <si>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</si>
  <si>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</si>
  <si>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</si>
  <si>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</si>
  <si>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</si>
  <si>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</si>
  <si>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</si>
  <si>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</si>
  <si>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</si>
  <si>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</si>
  <si>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</si>
  <si>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</si>
  <si>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</si>
  <si>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</si>
  <si>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</si>
  <si>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</si>
  <si>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</si>
  <si>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</si>
  <si>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</si>
  <si>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</si>
  <si>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</si>
  <si>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</si>
  <si>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</si>
  <si>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</si>
  <si>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</si>
  <si>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</si>
  <si>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</si>
  <si>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</si>
  <si>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</si>
  <si>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</si>
  <si>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</si>
  <si>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</si>
  <si>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</si>
  <si>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</si>
  <si>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</si>
  <si>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</si>
  <si>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</si>
  <si>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</si>
  <si>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</si>
  <si>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</si>
  <si>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</si>
  <si>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</si>
  <si>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</si>
  <si>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</si>
  <si>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</si>
  <si>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</si>
  <si>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</si>
  <si>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</si>
  <si>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</si>
  <si>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</si>
  <si>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</si>
  <si>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</si>
  <si>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</si>
  <si>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</si>
  <si>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</si>
  <si>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</si>
  <si>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</si>
  <si>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</si>
  <si>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</si>
  <si>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</si>
  <si>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</si>
  <si>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</si>
  <si>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</si>
  <si>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</si>
  <si>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</si>
  <si>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</si>
  <si>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</si>
  <si>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</si>
  <si>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</si>
  <si>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</si>
  <si>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</si>
  <si>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</si>
  <si>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</si>
  <si>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</si>
  <si>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</si>
  <si>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</si>
  <si>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</si>
  <si>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</si>
  <si>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</si>
  <si>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</si>
  <si>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</si>
  <si>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</si>
  <si>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</si>
  <si>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</si>
  <si>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</si>
  <si>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</si>
  <si>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</si>
  <si>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</si>
  <si>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</si>
  <si>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</si>
  <si>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</si>
  <si>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</si>
  <si>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</si>
  <si>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</si>
  <si>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</si>
  <si>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</si>
  <si>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</si>
  <si>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</si>
  <si>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</si>
  <si>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</si>
  <si>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</si>
  <si>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</si>
  <si>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</si>
  <si>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</si>
  <si>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</si>
  <si>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</si>
  <si>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</si>
  <si>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</si>
  <si>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</si>
  <si>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</si>
  <si>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</si>
  <si>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ONF_F3_Landes de G.</t>
  </si>
  <si>
    <t>J.J. JANSEN_CHR_F6</t>
  </si>
  <si>
    <t>ONF_F2_Loire Bassin</t>
  </si>
  <si>
    <t>J.J JANSEN_F4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</si>
</sst>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2.1416434310515382</c:v>
                </c:pt>
                <c:pt idx="2">
                  <c:v>2.9580129373723616</c:v>
                </c:pt>
                <c:pt idx="3">
                  <c:v>4.0869077051621163</c:v>
                </c:pt>
                <c:pt idx="4">
                  <c:v>5.6484505638871312</c:v>
                </c:pt>
                <c:pt idx="5">
                  <c:v>7.809107505764648</c:v>
                </c:pt>
                <c:pt idx="6">
                  <c:v>10.799628432012431</c:v>
                </c:pt>
                <c:pt idx="7">
                  <c:v>14.939955211180235</c:v>
                </c:pt>
                <c:pt idx="8">
                  <c:v>20.673810598621799</c:v>
                </c:pt>
                <c:pt idx="9">
                  <c:v>28.616741161090516</c:v>
                </c:pt>
                <c:pt idx="10">
                  <c:v>39.622861669955249</c:v>
                </c:pt>
                <c:pt idx="11">
                  <c:v>54.877600134912541</c:v>
                </c:pt>
                <c:pt idx="12">
                  <c:v>76.02659833196752</c:v>
                </c:pt>
                <c:pt idx="13">
                  <c:v>105.35489799991581</c:v>
                </c:pt>
                <c:pt idx="14">
                  <c:v>146.03607766207264</c:v>
                </c:pt>
                <c:pt idx="15">
                  <c:v>129.68830923015966</c:v>
                </c:pt>
                <c:pt idx="16">
                  <c:v>158.44465318251287</c:v>
                </c:pt>
                <c:pt idx="17">
                  <c:v>187.07687460885518</c:v>
                </c:pt>
                <c:pt idx="18">
                  <c:v>215.60668425135472</c:v>
                </c:pt>
                <c:pt idx="19">
                  <c:v>244.04955096332387</c:v>
                </c:pt>
                <c:pt idx="20">
                  <c:v>194.50862964921609</c:v>
                </c:pt>
                <c:pt idx="21">
                  <c:v>222.26793217656484</c:v>
                </c:pt>
                <c:pt idx="22">
                  <c:v>249.94764684689224</c:v>
                </c:pt>
                <c:pt idx="23">
                  <c:v>277.5578261052076</c:v>
                </c:pt>
                <c:pt idx="24">
                  <c:v>305.10635653646926</c:v>
                </c:pt>
                <c:pt idx="25">
                  <c:v>332.59958334894071</c:v>
                </c:pt>
                <c:pt idx="26">
                  <c:v>280.58168299499727</c:v>
                </c:pt>
                <c:pt idx="27">
                  <c:v>307.03855070333964</c:v>
                </c:pt>
                <c:pt idx="28">
                  <c:v>333.44476634931965</c:v>
                </c:pt>
                <c:pt idx="29">
                  <c:v>359.80490191760168</c:v>
                </c:pt>
                <c:pt idx="30">
                  <c:v>386.12280494708375</c:v>
                </c:pt>
                <c:pt idx="31">
                  <c:v>412.40175590638597</c:v>
                </c:pt>
                <c:pt idx="32">
                  <c:v>438.64458332619597</c:v>
                </c:pt>
                <c:pt idx="33">
                  <c:v>365.01936580094872</c:v>
                </c:pt>
                <c:pt idx="34">
                  <c:v>389.06239152396802</c:v>
                </c:pt>
                <c:pt idx="35">
                  <c:v>413.07317887434687</c:v>
                </c:pt>
                <c:pt idx="36">
                  <c:v>437.05386363599115</c:v>
                </c:pt>
                <c:pt idx="37">
                  <c:v>461.00632825670687</c:v>
                </c:pt>
                <c:pt idx="38">
                  <c:v>484.93224376628842</c:v>
                </c:pt>
                <c:pt idx="39">
                  <c:v>508.8331029914703</c:v>
                </c:pt>
                <c:pt idx="40">
                  <c:v>532.71024720660841</c:v>
                </c:pt>
                <c:pt idx="41">
                  <c:v>556.56488775917694</c:v>
                </c:pt>
                <c:pt idx="42">
                  <c:v>580.39812379655757</c:v>
                </c:pt>
                <c:pt idx="43">
                  <c:v>604.21095693131508</c:v>
                </c:pt>
                <c:pt idx="44">
                  <c:v>628.0043034758429</c:v>
                </c:pt>
                <c:pt idx="45">
                  <c:v>651.77900472783369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9.0050020993719304</c:v>
                </c:pt>
                <c:pt idx="2">
                  <c:v>17.614224179099281</c:v>
                </c:pt>
                <c:pt idx="3">
                  <c:v>26.095629179395626</c:v>
                </c:pt>
                <c:pt idx="4">
                  <c:v>34.49824475795532</c:v>
                </c:pt>
                <c:pt idx="5">
                  <c:v>42.84429185647835</c:v>
                </c:pt>
                <c:pt idx="6">
                  <c:v>51.146446227860601</c:v>
                </c:pt>
                <c:pt idx="7">
                  <c:v>59.412879439878935</c:v>
                </c:pt>
                <c:pt idx="8">
                  <c:v>67.649283312103222</c:v>
                </c:pt>
                <c:pt idx="9">
                  <c:v>75.85984140432312</c:v>
                </c:pt>
                <c:pt idx="10">
                  <c:v>84.04775305657931</c:v>
                </c:pt>
                <c:pt idx="11">
                  <c:v>92.215540713452924</c:v>
                </c:pt>
                <c:pt idx="12">
                  <c:v>100.36524188794243</c:v>
                </c:pt>
                <c:pt idx="13">
                  <c:v>108.4985351429486</c:v>
                </c:pt>
                <c:pt idx="14">
                  <c:v>116.61682613120678</c:v>
                </c:pt>
                <c:pt idx="15">
                  <c:v>124.72130831921697</c:v>
                </c:pt>
                <c:pt idx="16">
                  <c:v>132.81300704195772</c:v>
                </c:pt>
                <c:pt idx="17">
                  <c:v>140.89281222352039</c:v>
                </c:pt>
                <c:pt idx="18">
                  <c:v>148.96150317663719</c:v>
                </c:pt>
                <c:pt idx="19">
                  <c:v>157.01976773320771</c:v>
                </c:pt>
                <c:pt idx="20">
                  <c:v>165.06821723245113</c:v>
                </c:pt>
                <c:pt idx="21">
                  <c:v>173.10739842624028</c:v>
                </c:pt>
                <c:pt idx="22">
                  <c:v>181.13780305250211</c:v>
                </c:pt>
                <c:pt idx="23">
                  <c:v>189.15987561879626</c:v>
                </c:pt>
                <c:pt idx="24">
                  <c:v>197.17401979403192</c:v>
                </c:pt>
                <c:pt idx="25">
                  <c:v>205.18060370488044</c:v>
                </c:pt>
                <c:pt idx="26">
                  <c:v>213.1799643609078</c:v>
                </c:pt>
                <c:pt idx="27">
                  <c:v>221.17241137976885</c:v>
                </c:pt>
                <c:pt idx="28">
                  <c:v>229.15823014500677</c:v>
                </c:pt>
                <c:pt idx="29">
                  <c:v>237.13768450006134</c:v>
                </c:pt>
                <c:pt idx="30">
                  <c:v>245.11101906025024</c:v>
                </c:pt>
                <c:pt idx="31">
                  <c:v>253.07846120782642</c:v>
                </c:pt>
                <c:pt idx="32">
                  <c:v>261.04022282237821</c:v>
                </c:pt>
                <c:pt idx="33">
                  <c:v>268.99650178885196</c:v>
                </c:pt>
                <c:pt idx="34">
                  <c:v>276.94748331764885</c:v>
                </c:pt>
                <c:pt idx="35">
                  <c:v>284.89334110505234</c:v>
                </c:pt>
                <c:pt idx="36">
                  <c:v>292.83423835730713</c:v>
                </c:pt>
                <c:pt idx="37">
                  <c:v>300.77032869771307</c:v>
                </c:pt>
                <c:pt idx="38">
                  <c:v>308.70175697289704</c:v>
                </c:pt>
                <c:pt idx="39">
                  <c:v>316.62865997182678</c:v>
                </c:pt>
                <c:pt idx="40">
                  <c:v>324.55116706900372</c:v>
                </c:pt>
                <c:pt idx="41">
                  <c:v>332.46940080152797</c:v>
                </c:pt>
                <c:pt idx="42">
                  <c:v>340.3834773882773</c:v>
                </c:pt>
                <c:pt idx="43">
                  <c:v>273.75218029395825</c:v>
                </c:pt>
                <c:pt idx="44">
                  <c:v>293.36881382704775</c:v>
                </c:pt>
                <c:pt idx="45">
                  <c:v>312.95617609403075</c:v>
                </c:pt>
                <c:pt idx="46">
                  <c:v>332.51635617745427</c:v>
                </c:pt>
                <c:pt idx="47">
                  <c:v>352.05117734371078</c:v>
                </c:pt>
                <c:pt idx="48">
                  <c:v>371.56224404609662</c:v>
                </c:pt>
                <c:pt idx="49">
                  <c:v>391.0509785343383</c:v>
                </c:pt>
                <c:pt idx="50">
                  <c:v>410.51864978264985</c:v>
                </c:pt>
                <c:pt idx="51">
                  <c:v>358.14000932688845</c:v>
                </c:pt>
                <c:pt idx="52">
                  <c:v>378.133205362853</c:v>
                </c:pt>
                <c:pt idx="53">
                  <c:v>398.10339955589421</c:v>
                </c:pt>
                <c:pt idx="54">
                  <c:v>418.05190742655623</c:v>
                </c:pt>
                <c:pt idx="55">
                  <c:v>437.97990876559203</c:v>
                </c:pt>
                <c:pt idx="56">
                  <c:v>457.88846730300457</c:v>
                </c:pt>
                <c:pt idx="57">
                  <c:v>477.7785467783458</c:v>
                </c:pt>
                <c:pt idx="58">
                  <c:v>497.651024196067</c:v>
                </c:pt>
                <c:pt idx="59">
                  <c:v>425.3081979788314</c:v>
                </c:pt>
                <c:pt idx="60">
                  <c:v>444.73668447776726</c:v>
                </c:pt>
                <c:pt idx="61">
                  <c:v>464.14699911725734</c:v>
                </c:pt>
                <c:pt idx="62">
                  <c:v>483.54000828600118</c:v>
                </c:pt>
                <c:pt idx="63">
                  <c:v>502.91650325255364</c:v>
                </c:pt>
                <c:pt idx="64">
                  <c:v>522.27720938092455</c:v>
                </c:pt>
                <c:pt idx="65">
                  <c:v>541.62279390908645</c:v>
                </c:pt>
                <c:pt idx="66">
                  <c:v>560.95387255882349</c:v>
                </c:pt>
                <c:pt idx="67">
                  <c:v>476.79537882809342</c:v>
                </c:pt>
                <c:pt idx="68">
                  <c:v>495.46111981441936</c:v>
                </c:pt>
                <c:pt idx="69">
                  <c:v>514.11196622588784</c:v>
                </c:pt>
                <c:pt idx="70">
                  <c:v>532.74853410341427</c:v>
                </c:pt>
                <c:pt idx="71">
                  <c:v>551.37139290172445</c:v>
                </c:pt>
                <c:pt idx="72">
                  <c:v>569.98107049885277</c:v>
                </c:pt>
                <c:pt idx="73">
                  <c:v>588.57805751771946</c:v>
                </c:pt>
                <c:pt idx="74">
                  <c:v>607.16281107343082</c:v>
                </c:pt>
                <c:pt idx="75">
                  <c:v>527.27795667733812</c:v>
                </c:pt>
                <c:pt idx="76">
                  <c:v>545.54754028313835</c:v>
                </c:pt>
                <c:pt idx="77">
                  <c:v>563.80428892622592</c:v>
                </c:pt>
                <c:pt idx="78">
                  <c:v>582.04867643370324</c:v>
                </c:pt>
                <c:pt idx="79">
                  <c:v>600.28114452830425</c:v>
                </c:pt>
                <c:pt idx="80">
                  <c:v>618.50210593255088</c:v>
                </c:pt>
                <c:pt idx="81">
                  <c:v>636.71194708833502</c:v>
                </c:pt>
                <c:pt idx="82">
                  <c:v>654.91103054942675</c:v>
                </c:pt>
                <c:pt idx="83">
                  <c:v>673.09969709441123</c:v>
                </c:pt>
                <c:pt idx="84">
                  <c:v>691.27826759955133</c:v>
                </c:pt>
                <c:pt idx="85">
                  <c:v>581.59973453568659</c:v>
                </c:pt>
                <c:pt idx="86">
                  <c:v>599.11844918899601</c:v>
                </c:pt>
                <c:pt idx="87">
                  <c:v>616.62651763378562</c:v>
                </c:pt>
                <c:pt idx="88">
                  <c:v>634.12428449003357</c:v>
                </c:pt>
                <c:pt idx="89">
                  <c:v>651.61207382332452</c:v>
                </c:pt>
                <c:pt idx="90">
                  <c:v>669.09019090077402</c:v>
                </c:pt>
                <c:pt idx="91">
                  <c:v>686.55892375407859</c:v>
                </c:pt>
                <c:pt idx="92">
                  <c:v>704.01854457534034</c:v>
                </c:pt>
                <c:pt idx="93">
                  <c:v>721.46931096734397</c:v>
                </c:pt>
                <c:pt idx="94">
                  <c:v>738.91146706668712</c:v>
                </c:pt>
                <c:pt idx="95">
                  <c:v>627.697086725389</c:v>
                </c:pt>
                <c:pt idx="96">
                  <c:v>644.74814711906788</c:v>
                </c:pt>
                <c:pt idx="97">
                  <c:v>661.78990449197136</c:v>
                </c:pt>
                <c:pt idx="98">
                  <c:v>678.82263195520943</c:v>
                </c:pt>
                <c:pt idx="99">
                  <c:v>695.84658780820121</c:v>
                </c:pt>
                <c:pt idx="100">
                  <c:v>712.86201669207321</c:v>
                </c:pt>
                <c:pt idx="101">
                  <c:v>729.86915062730213</c:v>
                </c:pt>
                <c:pt idx="102">
                  <c:v>746.86820994969855</c:v>
                </c:pt>
                <c:pt idx="103">
                  <c:v>763.85940415682887</c:v>
                </c:pt>
                <c:pt idx="104">
                  <c:v>780.84293267527562</c:v>
                </c:pt>
                <c:pt idx="105">
                  <c:v>671.97975155410234</c:v>
                </c:pt>
                <c:pt idx="106">
                  <c:v>688.82254008714096</c:v>
                </c:pt>
                <c:pt idx="107">
                  <c:v>705.65688844321483</c:v>
                </c:pt>
                <c:pt idx="108">
                  <c:v>722.4830261622709</c:v>
                </c:pt>
                <c:pt idx="109">
                  <c:v>739.30117123035416</c:v>
                </c:pt>
                <c:pt idx="110">
                  <c:v>756.11153091614267</c:v>
                </c:pt>
                <c:pt idx="111">
                  <c:v>772.91430252928774</c:v>
                </c:pt>
                <c:pt idx="112">
                  <c:v>789.70967410944593</c:v>
                </c:pt>
                <c:pt idx="113">
                  <c:v>806.49782505370615</c:v>
                </c:pt>
                <c:pt idx="114">
                  <c:v>823.27892668911102</c:v>
                </c:pt>
                <c:pt idx="115">
                  <c:v>722.72266190929292</c:v>
                </c:pt>
                <c:pt idx="116">
                  <c:v>739.67566348659057</c:v>
                </c:pt>
                <c:pt idx="117">
                  <c:v>756.62075875063954</c:v>
                </c:pt>
                <c:pt idx="118">
                  <c:v>773.55814954391769</c:v>
                </c:pt>
                <c:pt idx="119">
                  <c:v>790.48802815801503</c:v>
                </c:pt>
                <c:pt idx="120">
                  <c:v>807.41057798460258</c:v>
                </c:pt>
                <c:pt idx="121">
                  <c:v>824.32597410904464</c:v>
                </c:pt>
                <c:pt idx="122">
                  <c:v>841.23438385280679</c:v>
                </c:pt>
                <c:pt idx="123">
                  <c:v>858.13596727003414</c:v>
                </c:pt>
                <c:pt idx="124">
                  <c:v>875.03087760302014</c:v>
                </c:pt>
                <c:pt idx="125">
                  <c:v>782.50061686170341</c:v>
                </c:pt>
                <c:pt idx="126">
                  <c:v>799.62968518227046</c:v>
                </c:pt>
                <c:pt idx="127">
                  <c:v>816.75134561555353</c:v>
                </c:pt>
                <c:pt idx="128">
                  <c:v>833.86577516673162</c:v>
                </c:pt>
                <c:pt idx="129">
                  <c:v>850.97314299064567</c:v>
                </c:pt>
                <c:pt idx="130">
                  <c:v>868.07361089398819</c:v>
                </c:pt>
                <c:pt idx="131">
                  <c:v>885.16733379591051</c:v>
                </c:pt>
                <c:pt idx="132">
                  <c:v>902.2544601512418</c:v>
                </c:pt>
                <c:pt idx="133">
                  <c:v>919.33513234002146</c:v>
                </c:pt>
                <c:pt idx="134">
                  <c:v>936.40948702661092</c:v>
                </c:pt>
                <c:pt idx="135">
                  <c:v>838.6102011221443</c:v>
                </c:pt>
                <c:pt idx="136">
                  <c:v>855.94497971688827</c:v>
                </c:pt>
                <c:pt idx="137">
                  <c:v>873.27271903682515</c:v>
                </c:pt>
                <c:pt idx="138">
                  <c:v>890.5935782737007</c:v>
                </c:pt>
                <c:pt idx="139">
                  <c:v>907.90770992953412</c:v>
                </c:pt>
                <c:pt idx="140">
                  <c:v>925.21526022253431</c:v>
                </c:pt>
                <c:pt idx="141">
                  <c:v>942.51636946110614</c:v>
                </c:pt>
                <c:pt idx="142">
                  <c:v>959.81117238899981</c:v>
                </c:pt>
                <c:pt idx="143">
                  <c:v>977.0997985043233</c:v>
                </c:pt>
                <c:pt idx="144">
                  <c:v>994.38237235483496</c:v>
                </c:pt>
                <c:pt idx="145">
                  <c:v>895.13672120800663</c:v>
                </c:pt>
                <c:pt idx="146">
                  <c:v>912.81066349155742</c:v>
                </c:pt>
                <c:pt idx="147">
                  <c:v>930.4777886047126</c:v>
                </c:pt>
                <c:pt idx="148">
                  <c:v>948.13824405935259</c:v>
                </c:pt>
                <c:pt idx="149">
                  <c:v>965.79217143106382</c:v>
                </c:pt>
                <c:pt idx="150">
                  <c:v>983.43970670436431</c:v>
                </c:pt>
                <c:pt idx="151">
                  <c:v>1001.0809805918944</c:v>
                </c:pt>
                <c:pt idx="152">
                  <c:v>1018.71611882997</c:v>
                </c:pt>
                <c:pt idx="153">
                  <c:v>1036.3452424526342</c:v>
                </c:pt>
                <c:pt idx="154">
                  <c:v>1053.9684680461214</c:v>
                </c:pt>
                <c:pt idx="155">
                  <c:v>956.55090506127237</c:v>
                </c:pt>
                <c:pt idx="156">
                  <c:v>974.49101342927031</c:v>
                </c:pt>
                <c:pt idx="157">
                  <c:v>992.4245856504881</c:v>
                </c:pt>
                <c:pt idx="158">
                  <c:v>1010.3517563163817</c:v>
                </c:pt>
                <c:pt idx="159">
                  <c:v>1028.272654859283</c:v>
                </c:pt>
                <c:pt idx="160">
                  <c:v>1046.1874058384321</c:v>
                </c:pt>
                <c:pt idx="161">
                  <c:v>1064.0961292054305</c:v>
                </c:pt>
                <c:pt idx="162">
                  <c:v>1081.9989405509189</c:v>
                </c:pt>
                <c:pt idx="163">
                  <c:v>1099.8959513341035</c:v>
                </c:pt>
                <c:pt idx="164">
                  <c:v>1117.7872690965953</c:v>
                </c:pt>
                <c:pt idx="165">
                  <c:v>1011.3529825308154</c:v>
                </c:pt>
                <c:pt idx="166">
                  <c:v>1029.5265839652609</c:v>
                </c:pt>
                <c:pt idx="167">
                  <c:v>1047.6938717377543</c:v>
                </c:pt>
                <c:pt idx="168">
                  <c:v>1065.8549705958526</c:v>
                </c:pt>
                <c:pt idx="169">
                  <c:v>1084.0100006955302</c:v>
                </c:pt>
                <c:pt idx="170">
                  <c:v>1102.1590778457946</c:v>
                </c:pt>
                <c:pt idx="171">
                  <c:v>1120.3023137363737</c:v>
                </c:pt>
                <c:pt idx="172">
                  <c:v>1138.4398161499098</c:v>
                </c:pt>
                <c:pt idx="173">
                  <c:v>1156.5716891599543</c:v>
                </c:pt>
                <c:pt idx="174">
                  <c:v>1174.698033315914</c:v>
                </c:pt>
                <c:pt idx="175">
                  <c:v>732.31437435591215</c:v>
                </c:pt>
                <c:pt idx="176">
                  <c:v>743.98679945215974</c:v>
                </c:pt>
                <c:pt idx="177">
                  <c:v>755.65550007785635</c:v>
                </c:pt>
                <c:pt idx="178">
                  <c:v>517.46121739591933</c:v>
                </c:pt>
                <c:pt idx="179">
                  <c:v>524.66092206348958</c:v>
                </c:pt>
                <c:pt idx="180">
                  <c:v>531.85854549909652</c:v>
                </c:pt>
                <c:pt idx="181">
                  <c:v>369.1961442433323</c:v>
                </c:pt>
                <c:pt idx="182">
                  <c:v>373.61945496476648</c:v>
                </c:pt>
                <c:pt idx="183">
                  <c:v>378.04162441819318</c:v>
                </c:pt>
                <c:pt idx="184">
                  <c:v>1.6226126790761848E-11</c:v>
                </c:pt>
                <c:pt idx="185">
                  <c:v>1.6226126790761848E-11</c:v>
                </c:pt>
                <c:pt idx="186">
                  <c:v>1.6226126790761848E-11</c:v>
                </c:pt>
                <c:pt idx="187">
                  <c:v>1.6226126790761848E-11</c:v>
                </c:pt>
                <c:pt idx="188">
                  <c:v>1.6226126790761848E-11</c:v>
                </c:pt>
                <c:pt idx="189">
                  <c:v>1.6226126790761848E-11</c:v>
                </c:pt>
                <c:pt idx="190">
                  <c:v>1.6226126790761848E-11</c:v>
                </c:pt>
                <c:pt idx="191">
                  <c:v>1.6226126790761848E-11</c:v>
                </c:pt>
                <c:pt idx="192">
                  <c:v>1.6226126790761848E-11</c:v>
                </c:pt>
                <c:pt idx="193">
                  <c:v>1.6226126790761848E-11</c:v>
                </c:pt>
                <c:pt idx="194">
                  <c:v>1.6226126790761848E-11</c:v>
                </c:pt>
                <c:pt idx="195">
                  <c:v>1.6226126790761848E-11</c:v>
                </c:pt>
                <c:pt idx="196">
                  <c:v>1.6226126790761848E-11</c:v>
                </c:pt>
                <c:pt idx="197">
                  <c:v>1.6226126790761848E-11</c:v>
                </c:pt>
                <c:pt idx="198">
                  <c:v>1.6226126790761848E-11</c:v>
                </c:pt>
                <c:pt idx="199">
                  <c:v>1.6226126790761848E-11</c:v>
                </c:pt>
                <c:pt idx="200">
                  <c:v>1.6226126790761848E-11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3.2226573739216029</c:v>
                </c:pt>
                <c:pt idx="2">
                  <c:v>3.9121469311148274</c:v>
                </c:pt>
                <c:pt idx="3">
                  <c:v>4.7497039726721182</c:v>
                </c:pt>
                <c:pt idx="4">
                  <c:v>5.7672373613078918</c:v>
                </c:pt>
                <c:pt idx="5">
                  <c:v>7.0035548596091806</c:v>
                </c:pt>
                <c:pt idx="6">
                  <c:v>8.5058592308825336</c:v>
                </c:pt>
                <c:pt idx="7">
                  <c:v>10.331569689685564</c:v>
                </c:pt>
                <c:pt idx="8">
                  <c:v>12.550539634737264</c:v>
                </c:pt>
                <c:pt idx="9">
                  <c:v>15.247757097574288</c:v>
                </c:pt>
                <c:pt idx="10">
                  <c:v>18.526633235438158</c:v>
                </c:pt>
                <c:pt idx="11">
                  <c:v>22.513007231193217</c:v>
                </c:pt>
                <c:pt idx="12">
                  <c:v>27.360024045021486</c:v>
                </c:pt>
                <c:pt idx="13">
                  <c:v>33.254075700361206</c:v>
                </c:pt>
                <c:pt idx="14">
                  <c:v>40.422038531874939</c:v>
                </c:pt>
                <c:pt idx="15">
                  <c:v>49.140089725316905</c:v>
                </c:pt>
                <c:pt idx="16">
                  <c:v>59.74444855002762</c:v>
                </c:pt>
                <c:pt idx="17">
                  <c:v>72.644463379210734</c:v>
                </c:pt>
                <c:pt idx="18">
                  <c:v>88.338557906302768</c:v>
                </c:pt>
                <c:pt idx="19">
                  <c:v>107.4336625522679</c:v>
                </c:pt>
                <c:pt idx="20">
                  <c:v>130.66889437805222</c:v>
                </c:pt>
                <c:pt idx="21">
                  <c:v>99.850701125907918</c:v>
                </c:pt>
                <c:pt idx="22">
                  <c:v>111.61512570313762</c:v>
                </c:pt>
                <c:pt idx="23">
                  <c:v>123.3491121177467</c:v>
                </c:pt>
                <c:pt idx="24">
                  <c:v>135.05596788582679</c:v>
                </c:pt>
                <c:pt idx="25">
                  <c:v>146.73837885160424</c:v>
                </c:pt>
                <c:pt idx="26">
                  <c:v>130.66889437805222</c:v>
                </c:pt>
                <c:pt idx="27">
                  <c:v>142.36018960459293</c:v>
                </c:pt>
                <c:pt idx="28">
                  <c:v>154.02847557165754</c:v>
                </c:pt>
                <c:pt idx="29">
                  <c:v>165.67574259607392</c:v>
                </c:pt>
                <c:pt idx="30">
                  <c:v>177.30367784131451</c:v>
                </c:pt>
                <c:pt idx="31">
                  <c:v>158.68980415698181</c:v>
                </c:pt>
                <c:pt idx="32">
                  <c:v>169.16608298395562</c:v>
                </c:pt>
                <c:pt idx="33">
                  <c:v>179.6270761000917</c:v>
                </c:pt>
                <c:pt idx="34">
                  <c:v>190.07380002073512</c:v>
                </c:pt>
                <c:pt idx="35">
                  <c:v>200.50715025518218</c:v>
                </c:pt>
                <c:pt idx="36">
                  <c:v>181.65947157363232</c:v>
                </c:pt>
                <c:pt idx="37">
                  <c:v>191.81359784117481</c:v>
                </c:pt>
                <c:pt idx="38">
                  <c:v>201.95521485937351</c:v>
                </c:pt>
                <c:pt idx="39">
                  <c:v>212.08503993201165</c:v>
                </c:pt>
                <c:pt idx="40">
                  <c:v>222.20371616988231</c:v>
                </c:pt>
                <c:pt idx="41">
                  <c:v>202.53437324255788</c:v>
                </c:pt>
                <c:pt idx="42">
                  <c:v>211.79577397903063</c:v>
                </c:pt>
                <c:pt idx="43">
                  <c:v>221.0478413399793</c:v>
                </c:pt>
                <c:pt idx="44">
                  <c:v>230.29102145171439</c:v>
                </c:pt>
                <c:pt idx="45">
                  <c:v>239.52572166460229</c:v>
                </c:pt>
                <c:pt idx="46">
                  <c:v>220.75885097534115</c:v>
                </c:pt>
                <c:pt idx="47">
                  <c:v>229.42483959070213</c:v>
                </c:pt>
                <c:pt idx="48">
                  <c:v>238.08334323928764</c:v>
                </c:pt>
                <c:pt idx="49">
                  <c:v>246.73467280489569</c:v>
                </c:pt>
                <c:pt idx="50">
                  <c:v>255.37911556611797</c:v>
                </c:pt>
                <c:pt idx="51">
                  <c:v>236.9292971220211</c:v>
                </c:pt>
                <c:pt idx="52">
                  <c:v>244.42833642786533</c:v>
                </c:pt>
                <c:pt idx="53">
                  <c:v>251.92214739536891</c:v>
                </c:pt>
                <c:pt idx="54">
                  <c:v>259.41090767814842</c:v>
                </c:pt>
                <c:pt idx="55">
                  <c:v>266.89478382272023</c:v>
                </c:pt>
                <c:pt idx="56">
                  <c:v>249.61690536823653</c:v>
                </c:pt>
                <c:pt idx="57">
                  <c:v>256.81920545571325</c:v>
                </c:pt>
                <c:pt idx="58">
                  <c:v>264.01693774461648</c:v>
                </c:pt>
                <c:pt idx="59">
                  <c:v>271.21024448496547</c:v>
                </c:pt>
                <c:pt idx="60">
                  <c:v>278.39925975574312</c:v>
                </c:pt>
                <c:pt idx="61">
                  <c:v>261.71415155067558</c:v>
                </c:pt>
                <c:pt idx="62">
                  <c:v>268.04572597702139</c:v>
                </c:pt>
                <c:pt idx="63">
                  <c:v>274.37393226183303</c:v>
                </c:pt>
                <c:pt idx="64">
                  <c:v>280.69885915498264</c:v>
                </c:pt>
                <c:pt idx="65">
                  <c:v>287.02059107494557</c:v>
                </c:pt>
                <c:pt idx="66">
                  <c:v>271.49788662587997</c:v>
                </c:pt>
                <c:pt idx="67">
                  <c:v>277.53680025840248</c:v>
                </c:pt>
                <c:pt idx="68">
                  <c:v>283.5727648129357</c:v>
                </c:pt>
                <c:pt idx="69">
                  <c:v>289.605852005727</c:v>
                </c:pt>
                <c:pt idx="70">
                  <c:v>295.63613031709252</c:v>
                </c:pt>
                <c:pt idx="71">
                  <c:v>280.41143241335368</c:v>
                </c:pt>
                <c:pt idx="72">
                  <c:v>285.29679456567914</c:v>
                </c:pt>
                <c:pt idx="73">
                  <c:v>290.18028419185146</c:v>
                </c:pt>
                <c:pt idx="74">
                  <c:v>295.06193730222373</c:v>
                </c:pt>
                <c:pt idx="75">
                  <c:v>299.94178861650352</c:v>
                </c:pt>
                <c:pt idx="76">
                  <c:v>287.30786792948942</c:v>
                </c:pt>
                <c:pt idx="77">
                  <c:v>291.90342847509879</c:v>
                </c:pt>
                <c:pt idx="78">
                  <c:v>296.49737320370468</c:v>
                </c:pt>
                <c:pt idx="79">
                  <c:v>301.08973072459509</c:v>
                </c:pt>
                <c:pt idx="80">
                  <c:v>305.68052870172897</c:v>
                </c:pt>
                <c:pt idx="81">
                  <c:v>293.91347640596678</c:v>
                </c:pt>
                <c:pt idx="82">
                  <c:v>297.93265411137128</c:v>
                </c:pt>
                <c:pt idx="83">
                  <c:v>301.95062331967574</c:v>
                </c:pt>
                <c:pt idx="84">
                  <c:v>305.96740240919087</c:v>
                </c:pt>
                <c:pt idx="85">
                  <c:v>309.98300923549431</c:v>
                </c:pt>
                <c:pt idx="86">
                  <c:v>299.65478781030816</c:v>
                </c:pt>
                <c:pt idx="87">
                  <c:v>303.67224474828663</c:v>
                </c:pt>
                <c:pt idx="88">
                  <c:v>307.68851928258727</c:v>
                </c:pt>
                <c:pt idx="89">
                  <c:v>311.70362905144191</c:v>
                </c:pt>
                <c:pt idx="90">
                  <c:v>315.71759120085159</c:v>
                </c:pt>
                <c:pt idx="91">
                  <c:v>305.39364900712383</c:v>
                </c:pt>
                <c:pt idx="92">
                  <c:v>309.4094222256216</c:v>
                </c:pt>
                <c:pt idx="93">
                  <c:v>313.42403808604359</c:v>
                </c:pt>
                <c:pt idx="94">
                  <c:v>317.43751352960925</c:v>
                </c:pt>
                <c:pt idx="95">
                  <c:v>321.44986503349952</c:v>
                </c:pt>
                <c:pt idx="96">
                  <c:v>309.98300923549442</c:v>
                </c:pt>
                <c:pt idx="97">
                  <c:v>314.2841639743362</c:v>
                </c:pt>
                <c:pt idx="98">
                  <c:v>318.58401365201161</c:v>
                </c:pt>
                <c:pt idx="99">
                  <c:v>322.88257839605905</c:v>
                </c:pt>
                <c:pt idx="100">
                  <c:v>327.17987775354362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2.5251641427447038</c:v>
                </c:pt>
                <c:pt idx="2">
                  <c:v>3.0659836900111501</c:v>
                </c:pt>
                <c:pt idx="3">
                  <c:v>3.72306978401474</c:v>
                </c:pt>
                <c:pt idx="4">
                  <c:v>4.5215065574389657</c:v>
                </c:pt>
                <c:pt idx="5">
                  <c:v>5.4918079349600406</c:v>
                </c:pt>
                <c:pt idx="6">
                  <c:v>6.6710966034603709</c:v>
                </c:pt>
                <c:pt idx="7">
                  <c:v>8.1045396986996359</c:v>
                </c:pt>
                <c:pt idx="8">
                  <c:v>9.847097252976555</c:v>
                </c:pt>
                <c:pt idx="9">
                  <c:v>11.965651712594722</c:v>
                </c:pt>
                <c:pt idx="10">
                  <c:v>14.541601787809954</c:v>
                </c:pt>
                <c:pt idx="11">
                  <c:v>17.674022132363714</c:v>
                </c:pt>
                <c:pt idx="12">
                  <c:v>21.483512585759296</c:v>
                </c:pt>
                <c:pt idx="13">
                  <c:v>26.116887828937664</c:v>
                </c:pt>
                <c:pt idx="14">
                  <c:v>31.752891376550057</c:v>
                </c:pt>
                <c:pt idx="15">
                  <c:v>38.609158166707701</c:v>
                </c:pt>
                <c:pt idx="16">
                  <c:v>43.754910153152025</c:v>
                </c:pt>
                <c:pt idx="17">
                  <c:v>48.884401649460102</c:v>
                </c:pt>
                <c:pt idx="18">
                  <c:v>53.999586130991638</c:v>
                </c:pt>
                <c:pt idx="19">
                  <c:v>59.102014803832958</c:v>
                </c:pt>
                <c:pt idx="20">
                  <c:v>64.192947903636622</c:v>
                </c:pt>
                <c:pt idx="21">
                  <c:v>59.102014803832951</c:v>
                </c:pt>
                <c:pt idx="22">
                  <c:v>64.424098420473612</c:v>
                </c:pt>
                <c:pt idx="23">
                  <c:v>69.734803600053766</c:v>
                </c:pt>
                <c:pt idx="24">
                  <c:v>75.035121697679017</c:v>
                </c:pt>
                <c:pt idx="25">
                  <c:v>80.325892057250982</c:v>
                </c:pt>
                <c:pt idx="26">
                  <c:v>76.646331669997508</c:v>
                </c:pt>
                <c:pt idx="27">
                  <c:v>82.164057018091412</c:v>
                </c:pt>
                <c:pt idx="28">
                  <c:v>87.672415653160456</c:v>
                </c:pt>
                <c:pt idx="29">
                  <c:v>93.172080657101844</c:v>
                </c:pt>
                <c:pt idx="30">
                  <c:v>98.663638916304237</c:v>
                </c:pt>
                <c:pt idx="31">
                  <c:v>93.858957567836981</c:v>
                </c:pt>
                <c:pt idx="32">
                  <c:v>99.349540078518643</c:v>
                </c:pt>
                <c:pt idx="33">
                  <c:v>104.83259201464182</c:v>
                </c:pt>
                <c:pt idx="34">
                  <c:v>110.30856380243615</c:v>
                </c:pt>
                <c:pt idx="35">
                  <c:v>115.77785737197435</c:v>
                </c:pt>
                <c:pt idx="36">
                  <c:v>109.85249314434161</c:v>
                </c:pt>
                <c:pt idx="37">
                  <c:v>115.32232892790154</c:v>
                </c:pt>
                <c:pt idx="38">
                  <c:v>120.78581860368736</c:v>
                </c:pt>
                <c:pt idx="39">
                  <c:v>126.24329041370743</c:v>
                </c:pt>
                <c:pt idx="40">
                  <c:v>131.69504183024623</c:v>
                </c:pt>
                <c:pt idx="41">
                  <c:v>125.7887234996597</c:v>
                </c:pt>
                <c:pt idx="42">
                  <c:v>131.24094092949005</c:v>
                </c:pt>
                <c:pt idx="43">
                  <c:v>136.68768710570427</c:v>
                </c:pt>
                <c:pt idx="44">
                  <c:v>142.12921131181261</c:v>
                </c:pt>
                <c:pt idx="45">
                  <c:v>147.56574213893074</c:v>
                </c:pt>
                <c:pt idx="46">
                  <c:v>140.3159356207652</c:v>
                </c:pt>
                <c:pt idx="47">
                  <c:v>145.52761451594594</c:v>
                </c:pt>
                <c:pt idx="48">
                  <c:v>150.73483015282747</c:v>
                </c:pt>
                <c:pt idx="49">
                  <c:v>155.93775882820455</c:v>
                </c:pt>
                <c:pt idx="50">
                  <c:v>161.13656408640864</c:v>
                </c:pt>
                <c:pt idx="51">
                  <c:v>153.67613191785088</c:v>
                </c:pt>
                <c:pt idx="52">
                  <c:v>158.65068353627368</c:v>
                </c:pt>
                <c:pt idx="53">
                  <c:v>163.62153641581833</c:v>
                </c:pt>
                <c:pt idx="54">
                  <c:v>168.58881903979511</c:v>
                </c:pt>
                <c:pt idx="55">
                  <c:v>173.55265168473863</c:v>
                </c:pt>
                <c:pt idx="56">
                  <c:v>165.87982733683168</c:v>
                </c:pt>
                <c:pt idx="57">
                  <c:v>170.61988827467206</c:v>
                </c:pt>
                <c:pt idx="58">
                  <c:v>175.35684862651081</c:v>
                </c:pt>
                <c:pt idx="59">
                  <c:v>180.09080416161893</c:v>
                </c:pt>
                <c:pt idx="60">
                  <c:v>184.82184519189613</c:v>
                </c:pt>
                <c:pt idx="61">
                  <c:v>176.93516310576447</c:v>
                </c:pt>
                <c:pt idx="62">
                  <c:v>181.44282374804376</c:v>
                </c:pt>
                <c:pt idx="63">
                  <c:v>185.9478634358592</c:v>
                </c:pt>
                <c:pt idx="64">
                  <c:v>190.45035477579154</c:v>
                </c:pt>
                <c:pt idx="65">
                  <c:v>194.95036665337298</c:v>
                </c:pt>
                <c:pt idx="66">
                  <c:v>187.07372242622981</c:v>
                </c:pt>
                <c:pt idx="67">
                  <c:v>191.57558758167247</c:v>
                </c:pt>
                <c:pt idx="68">
                  <c:v>196.07498994746314</c:v>
                </c:pt>
                <c:pt idx="69">
                  <c:v>200.57199414028253</c:v>
                </c:pt>
                <c:pt idx="70">
                  <c:v>205.06666163639463</c:v>
                </c:pt>
                <c:pt idx="71">
                  <c:v>196.74969192320927</c:v>
                </c:pt>
                <c:pt idx="72">
                  <c:v>200.79678251340351</c:v>
                </c:pt>
                <c:pt idx="73">
                  <c:v>204.84198284284162</c:v>
                </c:pt>
                <c:pt idx="74">
                  <c:v>208.88533559507187</c:v>
                </c:pt>
                <c:pt idx="75">
                  <c:v>212.92688166259384</c:v>
                </c:pt>
                <c:pt idx="76">
                  <c:v>204.61729834734868</c:v>
                </c:pt>
                <c:pt idx="77">
                  <c:v>208.66075265393101</c:v>
                </c:pt>
                <c:pt idx="78">
                  <c:v>212.70239804910179</c:v>
                </c:pt>
                <c:pt idx="79">
                  <c:v>216.74227383360707</c:v>
                </c:pt>
                <c:pt idx="80">
                  <c:v>220.78041772031693</c:v>
                </c:pt>
                <c:pt idx="81">
                  <c:v>212.02891441405961</c:v>
                </c:pt>
                <c:pt idx="82">
                  <c:v>215.62026142299865</c:v>
                </c:pt>
                <c:pt idx="83">
                  <c:v>219.21023188421313</c:v>
                </c:pt>
                <c:pt idx="84">
                  <c:v>222.79885157604664</c:v>
                </c:pt>
                <c:pt idx="85">
                  <c:v>226.3861453767432</c:v>
                </c:pt>
                <c:pt idx="86">
                  <c:v>218.53721607804448</c:v>
                </c:pt>
                <c:pt idx="87">
                  <c:v>221.90182191224508</c:v>
                </c:pt>
                <c:pt idx="88">
                  <c:v>225.2652570256333</c:v>
                </c:pt>
                <c:pt idx="89">
                  <c:v>228.62754140696123</c:v>
                </c:pt>
                <c:pt idx="90">
                  <c:v>231.98869440771659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25" x14ac:dyDescent="0.45"/>
  <cols>
    <col min="1" max="1" width="6.73046875" customWidth="1"/>
    <col min="2" max="13" width="15.86328125" customWidth="1"/>
  </cols>
  <sheetData>
    <row r="12" spans="2:13" ht="15" customHeight="1" x14ac:dyDescent="0.4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4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4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4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4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4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4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4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4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4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4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4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4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4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4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4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4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4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4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C6" sqref="C6"/>
    </sheetView>
  </sheetViews>
  <sheetFormatPr baseColWidth="10" defaultColWidth="11.3984375" defaultRowHeight="14.25" x14ac:dyDescent="0.45"/>
  <cols>
    <col min="1" max="1" width="13.73046875" style="23" customWidth="1"/>
    <col min="2" max="2" width="36.1328125" style="23" customWidth="1"/>
    <col min="3" max="3" width="14.86328125" style="23" bestFit="1" customWidth="1"/>
    <col min="4" max="4" width="16.3984375" style="23" customWidth="1"/>
    <col min="5" max="5" width="23.265625" style="23" customWidth="1"/>
    <col min="6" max="6" width="28.86328125" style="23" bestFit="1" customWidth="1"/>
    <col min="7" max="8" width="14.73046875" style="23" customWidth="1"/>
    <col min="9" max="9" width="17" style="23" customWidth="1"/>
    <col min="10" max="10" width="13.86328125" style="23" customWidth="1"/>
    <col min="11" max="16384" width="11.3984375" style="23"/>
  </cols>
  <sheetData>
    <row r="1" spans="1:38" x14ac:dyDescent="0.45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4.65" thickBot="1" x14ac:dyDescent="0.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5.9" thickBot="1" x14ac:dyDescent="0.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5" x14ac:dyDescent="0.4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5" x14ac:dyDescent="0.45">
      <c r="A5" s="268" t="s">
        <v>231</v>
      </c>
      <c r="B5" s="268"/>
      <c r="C5" s="24">
        <v>11.96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4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5" x14ac:dyDescent="0.4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4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45">
      <c r="A9" s="30" t="s">
        <v>165</v>
      </c>
      <c r="B9" s="31" t="s">
        <v>36</v>
      </c>
      <c r="C9" s="32">
        <v>0.92476677700872689</v>
      </c>
      <c r="D9" s="33">
        <f t="shared" ref="D9:D18" si="0">C9*$C$5</f>
        <v>11.060210653024374</v>
      </c>
      <c r="E9" s="34">
        <v>45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45">
      <c r="A10" s="30" t="s">
        <v>166</v>
      </c>
      <c r="B10" s="31" t="s">
        <v>14</v>
      </c>
      <c r="C10" s="32">
        <v>2.5077740997090984E-2</v>
      </c>
      <c r="D10" s="33">
        <f t="shared" si="0"/>
        <v>0.29992978232520817</v>
      </c>
      <c r="E10" s="34">
        <v>183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45">
      <c r="A11" s="30" t="s">
        <v>167</v>
      </c>
      <c r="B11" s="31" t="s">
        <v>9</v>
      </c>
      <c r="C11" s="32">
        <v>2.5077740997090984E-2</v>
      </c>
      <c r="D11" s="33">
        <f t="shared" si="0"/>
        <v>0.29992978232520817</v>
      </c>
      <c r="E11" s="34">
        <v>100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45">
      <c r="A12" s="30" t="s">
        <v>168</v>
      </c>
      <c r="B12" s="31" t="s">
        <v>5</v>
      </c>
      <c r="C12" s="32">
        <v>2.5077740997090984E-2</v>
      </c>
      <c r="D12" s="33">
        <f t="shared" si="0"/>
        <v>0.29992978232520817</v>
      </c>
      <c r="E12" s="34">
        <v>90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4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4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4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4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4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4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45">
      <c r="A19" s="78"/>
      <c r="B19" s="36" t="s">
        <v>175</v>
      </c>
      <c r="C19" s="37">
        <f>SUM(C9:C18)</f>
        <v>1</v>
      </c>
      <c r="D19" s="38">
        <f>SUM(D9:D18)</f>
        <v>11.959999999999997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4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4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6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4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4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4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45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4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4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4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4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45">
      <c r="A31" s="4"/>
      <c r="B31" s="4"/>
      <c r="C31" s="23" t="s">
        <v>324</v>
      </c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45">
      <c r="A32" s="46" t="s">
        <v>165</v>
      </c>
      <c r="B32" s="47" t="str">
        <f>IF(B9="","",B9)</f>
        <v>Pin maritime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4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45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28.5" x14ac:dyDescent="0.4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45">
      <c r="A36" s="50">
        <v>14</v>
      </c>
      <c r="B36" s="60">
        <v>109.26</v>
      </c>
      <c r="C36" s="60">
        <v>1</v>
      </c>
      <c r="D36" s="60">
        <v>34.61</v>
      </c>
      <c r="E36" s="51">
        <v>0</v>
      </c>
      <c r="F36" s="51">
        <v>0.5</v>
      </c>
      <c r="G36" s="51">
        <v>0.5</v>
      </c>
      <c r="H36" s="51">
        <v>0</v>
      </c>
      <c r="I36" s="49">
        <f>IFERROR(B36/A36,"")</f>
        <v>7.8042857142857143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45">
      <c r="A37" s="50">
        <v>19</v>
      </c>
      <c r="B37" s="60">
        <v>185.02</v>
      </c>
      <c r="C37" s="60">
        <v>2</v>
      </c>
      <c r="D37" s="60">
        <v>59.900000000000006</v>
      </c>
      <c r="E37" s="51">
        <v>0.25</v>
      </c>
      <c r="F37" s="51">
        <v>0.37</v>
      </c>
      <c r="G37" s="51">
        <v>0.38</v>
      </c>
      <c r="H37" s="51">
        <v>0</v>
      </c>
      <c r="I37" s="53">
        <f t="shared" ref="I37:I52" si="1">IF(A37&lt;&gt;0,(B37-(B36-D36))/(A37-A36),"")</f>
        <v>22.074000000000002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45">
      <c r="A38" s="50">
        <v>25</v>
      </c>
      <c r="B38" s="60">
        <v>254.09</v>
      </c>
      <c r="C38" s="60">
        <v>3</v>
      </c>
      <c r="D38" s="60">
        <v>61.28</v>
      </c>
      <c r="E38" s="51">
        <v>0.6</v>
      </c>
      <c r="F38" s="51">
        <v>0.2</v>
      </c>
      <c r="G38" s="51">
        <v>0.2</v>
      </c>
      <c r="H38" s="51">
        <v>0</v>
      </c>
      <c r="I38" s="53">
        <f t="shared" si="1"/>
        <v>21.495000000000001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45">
      <c r="A39" s="50">
        <v>32</v>
      </c>
      <c r="B39" s="60">
        <v>337.34</v>
      </c>
      <c r="C39" s="60">
        <v>4</v>
      </c>
      <c r="D39" s="60">
        <v>76.71999999999997</v>
      </c>
      <c r="E39" s="51">
        <v>0.6</v>
      </c>
      <c r="F39" s="51">
        <v>0.2</v>
      </c>
      <c r="G39" s="51">
        <v>0.2</v>
      </c>
      <c r="H39" s="51">
        <v>0</v>
      </c>
      <c r="I39" s="49">
        <f t="shared" si="1"/>
        <v>20.647142857142853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45">
      <c r="A40" s="50">
        <v>45</v>
      </c>
      <c r="B40" s="60">
        <v>505.89</v>
      </c>
      <c r="C40" s="60">
        <v>5</v>
      </c>
      <c r="D40" s="60">
        <v>505.89</v>
      </c>
      <c r="E40" s="51">
        <v>0.6</v>
      </c>
      <c r="F40" s="51">
        <v>0.2</v>
      </c>
      <c r="G40" s="51">
        <v>0.2</v>
      </c>
      <c r="H40" s="51">
        <v>0</v>
      </c>
      <c r="I40" s="49">
        <f t="shared" si="1"/>
        <v>18.866923076923076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45">
      <c r="A41" s="50"/>
      <c r="B41" s="60"/>
      <c r="C41" s="60"/>
      <c r="D41" s="60"/>
      <c r="E41" s="51"/>
      <c r="F41" s="51"/>
      <c r="G41" s="51"/>
      <c r="H41" s="51"/>
      <c r="I41" s="53" t="str">
        <f t="shared" si="1"/>
        <v/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45">
      <c r="A42" s="50"/>
      <c r="B42" s="60"/>
      <c r="C42" s="60"/>
      <c r="D42" s="60"/>
      <c r="E42" s="51"/>
      <c r="F42" s="51"/>
      <c r="G42" s="51"/>
      <c r="H42" s="51"/>
      <c r="I42" s="53" t="str">
        <f t="shared" si="1"/>
        <v/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45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4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4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4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4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4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4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4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4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4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45">
      <c r="A53" s="50"/>
      <c r="B53" s="50"/>
      <c r="C53" s="50"/>
      <c r="D53" s="50"/>
      <c r="E53" s="51"/>
      <c r="F53" s="51"/>
      <c r="G53" s="51"/>
      <c r="H53" s="51"/>
      <c r="I53" s="49" t="str">
        <f t="shared" ref="I53:I55" si="2">IF(A53&lt;&gt;0,(B53-(B52-D52))/(A53-A52),"")</f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45">
      <c r="A54" s="50"/>
      <c r="B54" s="50"/>
      <c r="C54" s="50"/>
      <c r="D54" s="50"/>
      <c r="E54" s="51"/>
      <c r="F54" s="51"/>
      <c r="G54" s="51"/>
      <c r="H54" s="51"/>
      <c r="I54" s="49" t="str">
        <f t="shared" si="2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45">
      <c r="A55" s="50"/>
      <c r="B55" s="50"/>
      <c r="C55" s="50"/>
      <c r="D55" s="50"/>
      <c r="E55" s="51"/>
      <c r="F55" s="51"/>
      <c r="G55" s="51"/>
      <c r="H55" s="51"/>
      <c r="I55" s="49" t="str">
        <f t="shared" si="2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4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45">
      <c r="A57" s="4"/>
      <c r="B57" s="4"/>
      <c r="C57" s="23" t="s">
        <v>326</v>
      </c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45">
      <c r="A58" s="46" t="s">
        <v>166</v>
      </c>
      <c r="B58" s="52" t="str">
        <f>IF(B10="","",B10)</f>
        <v>Chêne sessile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4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45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28.5" x14ac:dyDescent="0.4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45">
      <c r="A62" s="50">
        <v>42</v>
      </c>
      <c r="B62" s="60">
        <v>171.96</v>
      </c>
      <c r="C62" s="60">
        <v>1</v>
      </c>
      <c r="D62" s="60">
        <v>44.510000000000005</v>
      </c>
      <c r="E62" s="51">
        <v>0</v>
      </c>
      <c r="F62" s="51">
        <v>0.8</v>
      </c>
      <c r="G62" s="51">
        <v>0.2</v>
      </c>
      <c r="H62" s="51">
        <v>0</v>
      </c>
      <c r="I62" s="53">
        <f>IFERROR(B62/A62,"")</f>
        <v>4.0942857142857143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45">
      <c r="A63" s="50">
        <v>50</v>
      </c>
      <c r="B63" s="60">
        <v>208.33</v>
      </c>
      <c r="C63" s="60">
        <v>2</v>
      </c>
      <c r="D63" s="60">
        <v>37.54000000000002</v>
      </c>
      <c r="E63" s="51">
        <v>0</v>
      </c>
      <c r="F63" s="51">
        <v>0.8</v>
      </c>
      <c r="G63" s="51">
        <v>0.2</v>
      </c>
      <c r="H63" s="51">
        <v>0</v>
      </c>
      <c r="I63" s="49">
        <f>IF(A63&lt;&gt;0,(B63-(B62-D62))/(A63-A62),"")</f>
        <v>10.110000000000001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45">
      <c r="A64" s="50">
        <v>58</v>
      </c>
      <c r="B64" s="60">
        <v>253.7</v>
      </c>
      <c r="C64" s="60">
        <v>3</v>
      </c>
      <c r="D64" s="60">
        <v>47.789999999999992</v>
      </c>
      <c r="E64" s="51">
        <v>0</v>
      </c>
      <c r="F64" s="51">
        <v>0.8</v>
      </c>
      <c r="G64" s="51">
        <v>0.2</v>
      </c>
      <c r="H64" s="51">
        <v>0</v>
      </c>
      <c r="I64" s="49">
        <f>IF(A64&lt;&gt;0,(B64-(B63-D63))/(A64-A63),"")</f>
        <v>10.36375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45">
      <c r="A65" s="50">
        <v>66</v>
      </c>
      <c r="B65" s="60">
        <v>286.77</v>
      </c>
      <c r="C65" s="60">
        <v>4</v>
      </c>
      <c r="D65" s="60">
        <v>53.679999999999978</v>
      </c>
      <c r="E65" s="51">
        <v>0.35</v>
      </c>
      <c r="F65" s="51">
        <v>0.2</v>
      </c>
      <c r="G65" s="51">
        <v>0.1</v>
      </c>
      <c r="H65" s="51">
        <v>0.35</v>
      </c>
      <c r="I65" s="49">
        <f>IF(A65&lt;&gt;0,(B65-(B64-D64))/(A65-A64),"")</f>
        <v>10.107499999999998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45">
      <c r="A66" s="50">
        <v>74</v>
      </c>
      <c r="B66" s="60">
        <v>310.95999999999998</v>
      </c>
      <c r="C66" s="60">
        <v>5</v>
      </c>
      <c r="D66" s="60">
        <v>51.339999999999975</v>
      </c>
      <c r="E66" s="51">
        <v>0.35</v>
      </c>
      <c r="F66" s="51">
        <v>0.2</v>
      </c>
      <c r="G66" s="51">
        <v>0.1</v>
      </c>
      <c r="H66" s="51">
        <v>0.35</v>
      </c>
      <c r="I66" s="49">
        <f t="shared" ref="I66:I81" si="3">IF(A66&lt;&gt;0,(B66-(B65-D65))/(A66-A65),"")</f>
        <v>9.733749999999997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45">
      <c r="A67" s="50">
        <v>84</v>
      </c>
      <c r="B67" s="60">
        <v>355.09</v>
      </c>
      <c r="C67" s="60">
        <v>6</v>
      </c>
      <c r="D67" s="60">
        <v>66.69</v>
      </c>
      <c r="E67" s="51">
        <v>0.35</v>
      </c>
      <c r="F67" s="51">
        <v>0.2</v>
      </c>
      <c r="G67" s="51">
        <v>0.1</v>
      </c>
      <c r="H67" s="51">
        <v>0.35</v>
      </c>
      <c r="I67" s="49">
        <f t="shared" si="3"/>
        <v>9.546999999999997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45">
      <c r="A68" s="50">
        <v>94</v>
      </c>
      <c r="B68" s="60">
        <v>380.13</v>
      </c>
      <c r="C68" s="60">
        <v>7</v>
      </c>
      <c r="D68" s="60">
        <v>67.350000000000023</v>
      </c>
      <c r="E68" s="51">
        <v>0.35</v>
      </c>
      <c r="F68" s="51">
        <v>0.2</v>
      </c>
      <c r="G68" s="51">
        <v>0.1</v>
      </c>
      <c r="H68" s="51">
        <v>0.35</v>
      </c>
      <c r="I68" s="49">
        <f t="shared" si="3"/>
        <v>9.1730000000000018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45">
      <c r="A69" s="50">
        <v>104</v>
      </c>
      <c r="B69" s="50">
        <v>402.2</v>
      </c>
      <c r="C69" s="50">
        <v>8</v>
      </c>
      <c r="D69" s="50">
        <v>66.089999999999975</v>
      </c>
      <c r="E69" s="51">
        <v>0.35</v>
      </c>
      <c r="F69" s="51">
        <v>0.2</v>
      </c>
      <c r="G69" s="51">
        <v>0.1</v>
      </c>
      <c r="H69" s="51">
        <v>0.35</v>
      </c>
      <c r="I69" s="49">
        <f t="shared" si="3"/>
        <v>8.9420000000000019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45">
      <c r="A70" s="50">
        <v>114</v>
      </c>
      <c r="B70" s="50">
        <v>424.56</v>
      </c>
      <c r="C70" s="50">
        <v>9</v>
      </c>
      <c r="D70" s="50">
        <v>61.860000000000014</v>
      </c>
      <c r="E70" s="51">
        <v>0.35</v>
      </c>
      <c r="F70" s="51">
        <v>0.2</v>
      </c>
      <c r="G70" s="51">
        <v>0.1</v>
      </c>
      <c r="H70" s="51">
        <v>0.35</v>
      </c>
      <c r="I70" s="49">
        <f t="shared" si="3"/>
        <v>8.8449999999999989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45">
      <c r="A71" s="50">
        <v>124</v>
      </c>
      <c r="B71" s="50">
        <v>451.86</v>
      </c>
      <c r="C71" s="50">
        <v>10</v>
      </c>
      <c r="D71" s="50">
        <v>57.81</v>
      </c>
      <c r="E71" s="51">
        <v>0.35</v>
      </c>
      <c r="F71" s="51">
        <v>0.2</v>
      </c>
      <c r="G71" s="51">
        <v>0.1</v>
      </c>
      <c r="H71" s="51">
        <v>0.35</v>
      </c>
      <c r="I71" s="49">
        <f t="shared" si="3"/>
        <v>8.9160000000000021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45">
      <c r="A72" s="50">
        <v>134</v>
      </c>
      <c r="B72" s="50">
        <v>484.28</v>
      </c>
      <c r="C72" s="50">
        <v>11</v>
      </c>
      <c r="D72" s="50">
        <v>60.779999999999973</v>
      </c>
      <c r="E72" s="51">
        <v>0.5</v>
      </c>
      <c r="F72" s="51">
        <v>0.2</v>
      </c>
      <c r="G72" s="51">
        <v>0</v>
      </c>
      <c r="H72" s="51">
        <v>0.3</v>
      </c>
      <c r="I72" s="49">
        <f t="shared" si="3"/>
        <v>9.0229999999999961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45">
      <c r="A73" s="50">
        <v>144</v>
      </c>
      <c r="B73" s="50">
        <v>514.94000000000005</v>
      </c>
      <c r="C73" s="50">
        <v>12</v>
      </c>
      <c r="D73" s="50">
        <v>61.800000000000068</v>
      </c>
      <c r="E73" s="51">
        <v>0.5</v>
      </c>
      <c r="F73" s="51">
        <v>0.2</v>
      </c>
      <c r="G73" s="51">
        <v>0</v>
      </c>
      <c r="H73" s="51">
        <v>0.3</v>
      </c>
      <c r="I73" s="49">
        <f t="shared" si="3"/>
        <v>9.1440000000000055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45">
      <c r="A74" s="50">
        <v>154</v>
      </c>
      <c r="B74" s="50">
        <v>546.49</v>
      </c>
      <c r="C74" s="50">
        <v>13</v>
      </c>
      <c r="D74" s="50">
        <v>61.050000000000011</v>
      </c>
      <c r="E74" s="51">
        <v>0.5</v>
      </c>
      <c r="F74" s="51">
        <v>0.2</v>
      </c>
      <c r="G74" s="51">
        <v>0</v>
      </c>
      <c r="H74" s="51">
        <v>0.3</v>
      </c>
      <c r="I74" s="49">
        <f t="shared" si="3"/>
        <v>9.3350000000000026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45">
      <c r="A75" s="50">
        <v>164</v>
      </c>
      <c r="B75" s="50">
        <v>580.32000000000005</v>
      </c>
      <c r="C75" s="50">
        <v>14</v>
      </c>
      <c r="D75" s="50">
        <v>66.020000000000095</v>
      </c>
      <c r="E75" s="51">
        <v>0.5</v>
      </c>
      <c r="F75" s="51">
        <v>0.2</v>
      </c>
      <c r="G75" s="51">
        <v>0</v>
      </c>
      <c r="H75" s="51">
        <v>0.3</v>
      </c>
      <c r="I75" s="49">
        <f t="shared" si="3"/>
        <v>9.4880000000000049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45">
      <c r="A76" s="50">
        <v>174</v>
      </c>
      <c r="B76" s="50">
        <v>610.52</v>
      </c>
      <c r="C76" s="50">
        <v>15</v>
      </c>
      <c r="D76" s="50">
        <v>240</v>
      </c>
      <c r="E76" s="51">
        <v>0.45</v>
      </c>
      <c r="F76" s="51">
        <v>0.05</v>
      </c>
      <c r="G76" s="51">
        <v>0.05</v>
      </c>
      <c r="H76" s="51">
        <v>0.45</v>
      </c>
      <c r="I76" s="49">
        <f t="shared" si="3"/>
        <v>9.6220000000000034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45">
      <c r="A77" s="50">
        <v>177</v>
      </c>
      <c r="B77" s="50">
        <v>388.94</v>
      </c>
      <c r="C77" s="50">
        <v>16</v>
      </c>
      <c r="D77" s="50">
        <v>128.66000000000003</v>
      </c>
      <c r="E77" s="51">
        <v>0.45</v>
      </c>
      <c r="F77" s="51">
        <v>0.05</v>
      </c>
      <c r="G77" s="51">
        <v>0.05</v>
      </c>
      <c r="H77" s="51">
        <v>0.45</v>
      </c>
      <c r="I77" s="49">
        <f t="shared" si="3"/>
        <v>6.140000000000005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45">
      <c r="A78" s="50">
        <v>180</v>
      </c>
      <c r="B78" s="50">
        <v>271.56</v>
      </c>
      <c r="C78" s="50">
        <v>17</v>
      </c>
      <c r="D78" s="50">
        <v>86.97</v>
      </c>
      <c r="E78" s="51">
        <v>0.45</v>
      </c>
      <c r="F78" s="51">
        <v>0.05</v>
      </c>
      <c r="G78" s="51">
        <v>0.05</v>
      </c>
      <c r="H78" s="51">
        <v>0.45</v>
      </c>
      <c r="I78" s="49">
        <f t="shared" si="3"/>
        <v>3.76000000000001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45">
      <c r="A79" s="50">
        <v>183</v>
      </c>
      <c r="B79" s="50">
        <v>191.47</v>
      </c>
      <c r="C79" s="50">
        <v>18</v>
      </c>
      <c r="D79" s="50">
        <v>191.47</v>
      </c>
      <c r="E79" s="51">
        <v>0.45</v>
      </c>
      <c r="F79" s="51">
        <v>0.05</v>
      </c>
      <c r="G79" s="51">
        <v>0.05</v>
      </c>
      <c r="H79" s="51">
        <v>0.45</v>
      </c>
      <c r="I79" s="49">
        <f t="shared" si="3"/>
        <v>2.2933333333333317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45">
      <c r="A80" s="50"/>
      <c r="B80" s="50"/>
      <c r="C80" s="50"/>
      <c r="D80" s="50"/>
      <c r="E80" s="51"/>
      <c r="F80" s="51"/>
      <c r="G80" s="51"/>
      <c r="H80" s="51"/>
      <c r="I80" s="49" t="str">
        <f t="shared" si="3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45">
      <c r="A81" s="50"/>
      <c r="B81" s="50"/>
      <c r="C81" s="50"/>
      <c r="D81" s="50"/>
      <c r="E81" s="51"/>
      <c r="F81" s="51"/>
      <c r="G81" s="51"/>
      <c r="H81" s="51"/>
      <c r="I81" s="49" t="str">
        <f t="shared" si="3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4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45">
      <c r="A83" s="4"/>
      <c r="B83" s="4"/>
      <c r="C83" s="23" t="s">
        <v>325</v>
      </c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45">
      <c r="A84" s="46" t="s">
        <v>167</v>
      </c>
      <c r="B84" s="52" t="str">
        <f>IF(B11="","",B11)</f>
        <v>Chêne chevelu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4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45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28.5" x14ac:dyDescent="0.4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45">
      <c r="A88" s="50">
        <v>20</v>
      </c>
      <c r="B88" s="60">
        <v>55.769230769230759</v>
      </c>
      <c r="C88" s="60">
        <v>1</v>
      </c>
      <c r="D88" s="60">
        <v>18.589743589743588</v>
      </c>
      <c r="E88" s="51">
        <v>0</v>
      </c>
      <c r="F88" s="51">
        <v>0.5</v>
      </c>
      <c r="G88" s="51">
        <v>0</v>
      </c>
      <c r="H88" s="87">
        <v>0.5</v>
      </c>
      <c r="I88" s="53">
        <f>IFERROR(B88/A88,"")</f>
        <v>2.7884615384615379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45">
      <c r="A89" s="50">
        <v>25</v>
      </c>
      <c r="B89" s="60">
        <v>62.820512820512818</v>
      </c>
      <c r="C89" s="60">
        <v>2</v>
      </c>
      <c r="D89" s="60">
        <v>12.179487179487179</v>
      </c>
      <c r="E89" s="51">
        <v>0</v>
      </c>
      <c r="F89" s="51">
        <v>0.5</v>
      </c>
      <c r="G89" s="51">
        <v>0</v>
      </c>
      <c r="H89" s="87">
        <v>0.5</v>
      </c>
      <c r="I89" s="53">
        <f t="shared" ref="I89:I104" si="4">IF(A89&lt;&gt;0,(B89-(B88-D88))/(A89-A88),"")</f>
        <v>5.1282051282051295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45">
      <c r="A90" s="50">
        <v>30</v>
      </c>
      <c r="B90" s="60">
        <v>76.282051282051285</v>
      </c>
      <c r="C90" s="60">
        <v>3</v>
      </c>
      <c r="D90" s="60">
        <v>12.820512820512819</v>
      </c>
      <c r="E90" s="87">
        <v>0</v>
      </c>
      <c r="F90" s="87">
        <v>0.5</v>
      </c>
      <c r="G90" s="87">
        <v>0</v>
      </c>
      <c r="H90" s="87">
        <v>0.5</v>
      </c>
      <c r="I90" s="53">
        <f t="shared" si="4"/>
        <v>5.1282051282051295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45">
      <c r="A91" s="50">
        <v>35</v>
      </c>
      <c r="B91" s="60">
        <v>86.538461538461533</v>
      </c>
      <c r="C91" s="60">
        <v>4</v>
      </c>
      <c r="D91" s="60">
        <v>12.820512820512819</v>
      </c>
      <c r="E91" s="87">
        <v>0</v>
      </c>
      <c r="F91" s="87">
        <v>0.5</v>
      </c>
      <c r="G91" s="87">
        <v>0</v>
      </c>
      <c r="H91" s="87">
        <v>0.5</v>
      </c>
      <c r="I91" s="53">
        <f t="shared" si="4"/>
        <v>4.6153846153846132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45">
      <c r="A92" s="50">
        <v>40</v>
      </c>
      <c r="B92" s="60">
        <v>96.153846153846146</v>
      </c>
      <c r="C92" s="60">
        <v>5</v>
      </c>
      <c r="D92" s="60">
        <v>12.820512820512819</v>
      </c>
      <c r="E92" s="87">
        <v>0</v>
      </c>
      <c r="F92" s="87">
        <v>0.5</v>
      </c>
      <c r="G92" s="87">
        <v>0</v>
      </c>
      <c r="H92" s="87">
        <v>0.5</v>
      </c>
      <c r="I92" s="53">
        <f t="shared" si="4"/>
        <v>4.4871794871794863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45">
      <c r="A93" s="50">
        <v>45</v>
      </c>
      <c r="B93" s="60">
        <v>103.84615384615384</v>
      </c>
      <c r="C93" s="60">
        <v>6</v>
      </c>
      <c r="D93" s="60">
        <v>12.179487179487179</v>
      </c>
      <c r="E93" s="87">
        <v>0</v>
      </c>
      <c r="F93" s="87">
        <v>0.5</v>
      </c>
      <c r="G93" s="87">
        <v>0</v>
      </c>
      <c r="H93" s="87">
        <v>0.5</v>
      </c>
      <c r="I93" s="53">
        <f t="shared" si="4"/>
        <v>4.1025641025641022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45">
      <c r="A94" s="50">
        <v>50</v>
      </c>
      <c r="B94" s="60">
        <v>110.89743589743588</v>
      </c>
      <c r="C94" s="60">
        <v>7</v>
      </c>
      <c r="D94" s="60">
        <v>11.538461538461538</v>
      </c>
      <c r="E94" s="87">
        <v>0</v>
      </c>
      <c r="F94" s="87">
        <v>0.5</v>
      </c>
      <c r="G94" s="87">
        <v>0</v>
      </c>
      <c r="H94" s="87">
        <v>0.5</v>
      </c>
      <c r="I94" s="53">
        <f t="shared" si="4"/>
        <v>3.8461538461538454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45">
      <c r="A95" s="60">
        <v>55</v>
      </c>
      <c r="B95" s="60">
        <v>116.02564102564102</v>
      </c>
      <c r="C95" s="60">
        <v>8</v>
      </c>
      <c r="D95" s="60">
        <v>10.897435897435898</v>
      </c>
      <c r="E95" s="87">
        <v>0</v>
      </c>
      <c r="F95" s="87">
        <v>0.5</v>
      </c>
      <c r="G95" s="87">
        <v>0</v>
      </c>
      <c r="H95" s="87">
        <v>0.5</v>
      </c>
      <c r="I95" s="53">
        <f t="shared" si="4"/>
        <v>3.3333333333333344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45">
      <c r="A96" s="60">
        <v>60</v>
      </c>
      <c r="B96" s="60">
        <v>121.15384615384616</v>
      </c>
      <c r="C96" s="60">
        <v>9</v>
      </c>
      <c r="D96" s="60">
        <v>10.256410256410255</v>
      </c>
      <c r="E96" s="87">
        <v>0</v>
      </c>
      <c r="F96" s="87">
        <v>0.5</v>
      </c>
      <c r="G96" s="87">
        <v>0</v>
      </c>
      <c r="H96" s="87">
        <v>0.5</v>
      </c>
      <c r="I96" s="53">
        <f t="shared" si="4"/>
        <v>3.2051282051282071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45">
      <c r="A97" s="60">
        <v>65</v>
      </c>
      <c r="B97" s="60">
        <v>125</v>
      </c>
      <c r="C97" s="60">
        <v>10</v>
      </c>
      <c r="D97" s="60">
        <v>9.615384615384615</v>
      </c>
      <c r="E97" s="87">
        <v>0.1</v>
      </c>
      <c r="F97" s="87">
        <v>0.5</v>
      </c>
      <c r="G97" s="87">
        <v>0</v>
      </c>
      <c r="H97" s="87">
        <v>0.4</v>
      </c>
      <c r="I97" s="53">
        <f t="shared" si="4"/>
        <v>2.8205128205128176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45">
      <c r="A98" s="60">
        <v>70</v>
      </c>
      <c r="B98" s="60">
        <v>128.84615384615384</v>
      </c>
      <c r="C98" s="60">
        <v>11</v>
      </c>
      <c r="D98" s="60">
        <v>8.9743589743589745</v>
      </c>
      <c r="E98" s="87">
        <v>0.1</v>
      </c>
      <c r="F98" s="87">
        <v>0.5</v>
      </c>
      <c r="G98" s="87">
        <v>0</v>
      </c>
      <c r="H98" s="87">
        <v>0.4</v>
      </c>
      <c r="I98" s="53">
        <f t="shared" si="4"/>
        <v>2.6923076923076907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45">
      <c r="A99" s="60">
        <v>75</v>
      </c>
      <c r="B99" s="60">
        <v>130.76923076923075</v>
      </c>
      <c r="C99" s="60">
        <v>12</v>
      </c>
      <c r="D99" s="60">
        <v>7.6923076923076916</v>
      </c>
      <c r="E99" s="87">
        <v>0.1</v>
      </c>
      <c r="F99" s="87">
        <v>0.5</v>
      </c>
      <c r="G99" s="87">
        <v>0</v>
      </c>
      <c r="H99" s="87">
        <v>0.4</v>
      </c>
      <c r="I99" s="53">
        <f t="shared" si="4"/>
        <v>2.1794871794871766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45">
      <c r="A100" s="60">
        <v>80</v>
      </c>
      <c r="B100" s="60">
        <v>133.33333333333334</v>
      </c>
      <c r="C100" s="60">
        <v>13</v>
      </c>
      <c r="D100" s="60">
        <v>7.0512820512820511</v>
      </c>
      <c r="E100" s="65">
        <v>0.1</v>
      </c>
      <c r="F100" s="65">
        <v>0.5</v>
      </c>
      <c r="G100" s="65">
        <v>0</v>
      </c>
      <c r="H100" s="65">
        <v>0.4</v>
      </c>
      <c r="I100" s="53">
        <f t="shared" si="4"/>
        <v>2.0512820512820582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45">
      <c r="A101" s="60">
        <v>85</v>
      </c>
      <c r="B101" s="60">
        <v>135.25641025641025</v>
      </c>
      <c r="C101" s="60">
        <v>14</v>
      </c>
      <c r="D101" s="60">
        <v>6.4102564102564097</v>
      </c>
      <c r="E101" s="65">
        <v>0.1</v>
      </c>
      <c r="F101" s="65">
        <v>0.5</v>
      </c>
      <c r="G101" s="65">
        <v>0</v>
      </c>
      <c r="H101" s="65">
        <v>0.4</v>
      </c>
      <c r="I101" s="53">
        <f t="shared" si="4"/>
        <v>1.7948717948717898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45">
      <c r="A102" s="60">
        <v>90</v>
      </c>
      <c r="B102" s="50">
        <v>137.82051282051282</v>
      </c>
      <c r="C102" s="60">
        <v>15</v>
      </c>
      <c r="D102" s="50">
        <v>6.4102564102564097</v>
      </c>
      <c r="E102" s="54">
        <v>0.1</v>
      </c>
      <c r="F102" s="54">
        <v>0.5</v>
      </c>
      <c r="G102" s="54">
        <v>0</v>
      </c>
      <c r="H102" s="54">
        <v>0.4</v>
      </c>
      <c r="I102" s="53">
        <f t="shared" si="4"/>
        <v>1.7948717948717956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45">
      <c r="A103" s="60">
        <v>95</v>
      </c>
      <c r="B103" s="50">
        <v>140.38461538461539</v>
      </c>
      <c r="C103" s="60">
        <v>16</v>
      </c>
      <c r="D103" s="50">
        <v>7.0512820512820511</v>
      </c>
      <c r="E103" s="54">
        <v>0.1</v>
      </c>
      <c r="F103" s="54">
        <v>0.5</v>
      </c>
      <c r="G103" s="54">
        <v>0</v>
      </c>
      <c r="H103" s="54">
        <v>0.4</v>
      </c>
      <c r="I103" s="53">
        <f t="shared" si="4"/>
        <v>1.7948717948717956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45">
      <c r="A104" s="60">
        <v>100</v>
      </c>
      <c r="B104" s="50">
        <v>142.94871794871796</v>
      </c>
      <c r="C104" s="60">
        <v>17</v>
      </c>
      <c r="D104" s="50">
        <v>142.94871794871796</v>
      </c>
      <c r="E104" s="54">
        <v>0.1</v>
      </c>
      <c r="F104" s="54">
        <v>0.5</v>
      </c>
      <c r="G104" s="54">
        <v>0</v>
      </c>
      <c r="H104" s="54">
        <v>0.4</v>
      </c>
      <c r="I104" s="53">
        <f t="shared" si="4"/>
        <v>1.9230769230769227</v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45">
      <c r="A105" s="50"/>
      <c r="B105" s="50"/>
      <c r="C105" s="50"/>
      <c r="D105" s="50"/>
      <c r="E105" s="54"/>
      <c r="F105" s="54"/>
      <c r="G105" s="54"/>
      <c r="H105" s="54"/>
      <c r="I105" s="53" t="str">
        <f t="shared" ref="I105:I107" si="5">IF(A105&lt;&gt;0,(B105-(B104-D104))/(A105-A104),"")</f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4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5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4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5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4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45">
      <c r="A109" s="4"/>
      <c r="B109" s="4"/>
      <c r="C109" s="23" t="s">
        <v>327</v>
      </c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45">
      <c r="A110" s="46" t="s">
        <v>168</v>
      </c>
      <c r="B110" s="52" t="str">
        <f>IF(B12="","",B12)</f>
        <v>Bouleau verruqueux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4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45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28.5" x14ac:dyDescent="0.4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45">
      <c r="A114" s="50">
        <v>15</v>
      </c>
      <c r="B114" s="60">
        <v>20.512820512820511</v>
      </c>
      <c r="C114" s="50">
        <v>1</v>
      </c>
      <c r="D114" s="60">
        <v>0</v>
      </c>
      <c r="E114" s="51">
        <v>0</v>
      </c>
      <c r="F114" s="51">
        <v>0.25</v>
      </c>
      <c r="G114" s="51">
        <v>0.25</v>
      </c>
      <c r="H114" s="51">
        <v>0.5</v>
      </c>
      <c r="I114" s="53">
        <f>IFERROR(B114/A114,"")</f>
        <v>1.3675213675213673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45">
      <c r="A115" s="50">
        <v>20</v>
      </c>
      <c r="B115" s="60">
        <v>34.615384615384613</v>
      </c>
      <c r="C115" s="50">
        <v>2</v>
      </c>
      <c r="D115" s="60">
        <v>5.7692307692307692</v>
      </c>
      <c r="E115" s="51">
        <v>0</v>
      </c>
      <c r="F115" s="51">
        <v>0.25</v>
      </c>
      <c r="G115" s="51">
        <v>0.25</v>
      </c>
      <c r="H115" s="51">
        <v>0.5</v>
      </c>
      <c r="I115" s="53">
        <f t="shared" ref="I115:I130" si="6">IF(A115&lt;&gt;0,(B115-(B114-D114))/(A115-A114),"")</f>
        <v>2.8205128205128203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45">
      <c r="A116" s="50">
        <v>25</v>
      </c>
      <c r="B116" s="60">
        <v>43.589743589743591</v>
      </c>
      <c r="C116" s="50">
        <v>3</v>
      </c>
      <c r="D116" s="60">
        <v>5.1282051282051277</v>
      </c>
      <c r="E116" s="51">
        <v>0</v>
      </c>
      <c r="F116" s="51">
        <v>0.25</v>
      </c>
      <c r="G116" s="51">
        <v>0.25</v>
      </c>
      <c r="H116" s="51">
        <v>0.5</v>
      </c>
      <c r="I116" s="53">
        <f t="shared" si="6"/>
        <v>2.9487179487179498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45">
      <c r="A117" s="50">
        <v>30</v>
      </c>
      <c r="B117" s="60">
        <v>53.84615384615384</v>
      </c>
      <c r="C117" s="50">
        <v>4</v>
      </c>
      <c r="D117" s="60">
        <v>5.7692307692307692</v>
      </c>
      <c r="E117" s="51">
        <v>0</v>
      </c>
      <c r="F117" s="51">
        <v>0.25</v>
      </c>
      <c r="G117" s="51">
        <v>0.25</v>
      </c>
      <c r="H117" s="51">
        <v>0.5</v>
      </c>
      <c r="I117" s="53">
        <f t="shared" si="6"/>
        <v>3.0769230769230744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45">
      <c r="A118" s="50">
        <v>35</v>
      </c>
      <c r="B118" s="60">
        <v>63.46153846153846</v>
      </c>
      <c r="C118" s="50">
        <v>5</v>
      </c>
      <c r="D118" s="60">
        <v>6.4102564102564097</v>
      </c>
      <c r="E118" s="51">
        <v>0</v>
      </c>
      <c r="F118" s="51">
        <v>0.25</v>
      </c>
      <c r="G118" s="51">
        <v>0.25</v>
      </c>
      <c r="H118" s="51">
        <v>0.5</v>
      </c>
      <c r="I118" s="53">
        <f t="shared" si="6"/>
        <v>3.0769230769230775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45">
      <c r="A119" s="50">
        <v>40</v>
      </c>
      <c r="B119" s="60">
        <v>72.435897435897431</v>
      </c>
      <c r="C119" s="50">
        <v>6</v>
      </c>
      <c r="D119" s="60">
        <v>6.4102564102564097</v>
      </c>
      <c r="E119" s="51">
        <v>0</v>
      </c>
      <c r="F119" s="51">
        <v>0.25</v>
      </c>
      <c r="G119" s="51">
        <v>0.25</v>
      </c>
      <c r="H119" s="51">
        <v>0.5</v>
      </c>
      <c r="I119" s="53">
        <f t="shared" si="6"/>
        <v>3.0769230769230758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45">
      <c r="A120" s="60">
        <v>45</v>
      </c>
      <c r="B120" s="60">
        <v>81.410256410256409</v>
      </c>
      <c r="C120" s="60">
        <v>7</v>
      </c>
      <c r="D120" s="60">
        <v>7.0512820512820511</v>
      </c>
      <c r="E120" s="87">
        <v>0</v>
      </c>
      <c r="F120" s="87">
        <v>0.25</v>
      </c>
      <c r="G120" s="87">
        <v>0.25</v>
      </c>
      <c r="H120" s="87">
        <v>0.5</v>
      </c>
      <c r="I120" s="53">
        <f t="shared" si="6"/>
        <v>3.0769230769230775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45">
      <c r="A121" s="60">
        <v>50</v>
      </c>
      <c r="B121" s="60">
        <v>89.102564102564088</v>
      </c>
      <c r="C121" s="60">
        <v>8</v>
      </c>
      <c r="D121" s="60">
        <v>7.0512820512820511</v>
      </c>
      <c r="E121" s="87">
        <v>0</v>
      </c>
      <c r="F121" s="87">
        <v>0.25</v>
      </c>
      <c r="G121" s="87">
        <v>0.25</v>
      </c>
      <c r="H121" s="87">
        <v>0.5</v>
      </c>
      <c r="I121" s="53">
        <f t="shared" si="6"/>
        <v>2.9487179487179445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45">
      <c r="A122" s="60">
        <v>55</v>
      </c>
      <c r="B122" s="60">
        <v>96.15384615384616</v>
      </c>
      <c r="C122" s="60">
        <v>9</v>
      </c>
      <c r="D122" s="60">
        <v>7.0512820512820511</v>
      </c>
      <c r="E122" s="87">
        <v>0</v>
      </c>
      <c r="F122" s="87">
        <v>0.25</v>
      </c>
      <c r="G122" s="87">
        <v>0.25</v>
      </c>
      <c r="H122" s="87">
        <v>0.5</v>
      </c>
      <c r="I122" s="53">
        <f t="shared" si="6"/>
        <v>2.8205128205128234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45">
      <c r="A123" s="60">
        <v>60</v>
      </c>
      <c r="B123" s="60">
        <v>102.56410256410257</v>
      </c>
      <c r="C123" s="60">
        <v>10</v>
      </c>
      <c r="D123" s="60">
        <v>7.0512820512820511</v>
      </c>
      <c r="E123" s="87">
        <v>0</v>
      </c>
      <c r="F123" s="87">
        <v>0.25</v>
      </c>
      <c r="G123" s="87">
        <v>0.25</v>
      </c>
      <c r="H123" s="87">
        <v>0.5</v>
      </c>
      <c r="I123" s="53">
        <f t="shared" si="6"/>
        <v>2.6923076923076907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45">
      <c r="A124" s="60">
        <v>65</v>
      </c>
      <c r="B124" s="60">
        <v>108.33333333333334</v>
      </c>
      <c r="C124" s="60">
        <v>11</v>
      </c>
      <c r="D124" s="60">
        <v>7.0512820512820511</v>
      </c>
      <c r="E124" s="87">
        <v>0</v>
      </c>
      <c r="F124" s="87">
        <v>0.25</v>
      </c>
      <c r="G124" s="87">
        <v>0.25</v>
      </c>
      <c r="H124" s="87">
        <v>0.5</v>
      </c>
      <c r="I124" s="53">
        <f t="shared" si="6"/>
        <v>2.5641025641025634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45">
      <c r="A125" s="60">
        <v>70</v>
      </c>
      <c r="B125" s="60">
        <v>114.10256410256409</v>
      </c>
      <c r="C125" s="60">
        <v>12</v>
      </c>
      <c r="D125" s="60">
        <v>7.0512820512820511</v>
      </c>
      <c r="E125" s="87">
        <v>0</v>
      </c>
      <c r="F125" s="87">
        <v>0.25</v>
      </c>
      <c r="G125" s="87">
        <v>0.25</v>
      </c>
      <c r="H125" s="87">
        <v>0.5</v>
      </c>
      <c r="I125" s="53">
        <f t="shared" si="6"/>
        <v>2.5641025641025577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45">
      <c r="A126" s="60">
        <v>75</v>
      </c>
      <c r="B126" s="60">
        <v>118.58974358974359</v>
      </c>
      <c r="C126" s="60">
        <v>13</v>
      </c>
      <c r="D126" s="60">
        <v>7.0512820512820511</v>
      </c>
      <c r="E126" s="65">
        <v>0</v>
      </c>
      <c r="F126" s="65">
        <v>0.25</v>
      </c>
      <c r="G126" s="65">
        <v>0.25</v>
      </c>
      <c r="H126" s="65">
        <v>0.5</v>
      </c>
      <c r="I126" s="53">
        <f t="shared" si="6"/>
        <v>2.3076923076923093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45">
      <c r="A127" s="60">
        <v>80</v>
      </c>
      <c r="B127" s="60">
        <v>123.07692307692307</v>
      </c>
      <c r="C127" s="60">
        <v>14</v>
      </c>
      <c r="D127" s="60">
        <v>7.0512820512820511</v>
      </c>
      <c r="E127" s="65">
        <v>0</v>
      </c>
      <c r="F127" s="65">
        <v>0.25</v>
      </c>
      <c r="G127" s="65">
        <v>0.25</v>
      </c>
      <c r="H127" s="65">
        <v>0.5</v>
      </c>
      <c r="I127" s="53">
        <f t="shared" si="6"/>
        <v>2.3076923076923039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45">
      <c r="A128" s="50">
        <v>85</v>
      </c>
      <c r="B128" s="50">
        <v>126.28205128205127</v>
      </c>
      <c r="C128" s="50">
        <v>15</v>
      </c>
      <c r="D128" s="50">
        <v>6.4102564102564097</v>
      </c>
      <c r="E128" s="54">
        <v>0</v>
      </c>
      <c r="F128" s="54">
        <v>0.25</v>
      </c>
      <c r="G128" s="54">
        <v>0.25</v>
      </c>
      <c r="H128" s="54">
        <v>0.5</v>
      </c>
      <c r="I128" s="53">
        <f t="shared" si="6"/>
        <v>2.0512820512820498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45">
      <c r="A129" s="50">
        <v>90</v>
      </c>
      <c r="B129" s="50">
        <v>129.48717948717947</v>
      </c>
      <c r="C129" s="50">
        <v>16</v>
      </c>
      <c r="D129" s="50">
        <v>129.48717948717947</v>
      </c>
      <c r="E129" s="54">
        <v>0</v>
      </c>
      <c r="F129" s="54">
        <v>0.25</v>
      </c>
      <c r="G129" s="54">
        <v>0.25</v>
      </c>
      <c r="H129" s="54">
        <v>0.5</v>
      </c>
      <c r="I129" s="53">
        <f t="shared" si="6"/>
        <v>1.9230769230769227</v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4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6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45">
      <c r="A131" s="50"/>
      <c r="B131" s="50"/>
      <c r="C131" s="50"/>
      <c r="D131" s="50"/>
      <c r="E131" s="54"/>
      <c r="F131" s="54"/>
      <c r="G131" s="54"/>
      <c r="H131" s="54"/>
      <c r="I131" s="53" t="str">
        <f t="shared" ref="I131:I133" si="7">IF(A131&lt;&gt;0,(B131-(B130-D130))/(A131-A130),"")</f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4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7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4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7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4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4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4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4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45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28.5" x14ac:dyDescent="0.4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4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4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8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4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8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4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8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4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8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4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8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4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8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4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4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8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4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8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4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8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4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8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4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8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4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8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4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8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4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8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4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8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4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8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4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8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4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8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4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4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4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4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45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28.5" x14ac:dyDescent="0.4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4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4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9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4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9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4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9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4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9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4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9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4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9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4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9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4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9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4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9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4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9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4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9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4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9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4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9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4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9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4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9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4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9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4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9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4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9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4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9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4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4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4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4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45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28.5" x14ac:dyDescent="0.4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4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4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10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4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10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4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10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4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10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4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10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4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10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4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10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4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10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4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10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4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10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4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10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4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10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4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10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4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10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4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10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4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10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4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10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4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10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4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10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4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4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4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4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45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28.5" x14ac:dyDescent="0.4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4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4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11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4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11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4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11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4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11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4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11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4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11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4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11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4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11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4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11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4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11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4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11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4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11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4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11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4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11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4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11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4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11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4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11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4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11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4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11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4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4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4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4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45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28.5" x14ac:dyDescent="0.4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4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4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4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4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12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4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12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4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12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4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12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4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12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4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12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4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12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4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12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4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12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4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12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4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12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4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12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4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12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4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12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4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12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4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12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4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12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4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4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4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4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45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28.5" x14ac:dyDescent="0.4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4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4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4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3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4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3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4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3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4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3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4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3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4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3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4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3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4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3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4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3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4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3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4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3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4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3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4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3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4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3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4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3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4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3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4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3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4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3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4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4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4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4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4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4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4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4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4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4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4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4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4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4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4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4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4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4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4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4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4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4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4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4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4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4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4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4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4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4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4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4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4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4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4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4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4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4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4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4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4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4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4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4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4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4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4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4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4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4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4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4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4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4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4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4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4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4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4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4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4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4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4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4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4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4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4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4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4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4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4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4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4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4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4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4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4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4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4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4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4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4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4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4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4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4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4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4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4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4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4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4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4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4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4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4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4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4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4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4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4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4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4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4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4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4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4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4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4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4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4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4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4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4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4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4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4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4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4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4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4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4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4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4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4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4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4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4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4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4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4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4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4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4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4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4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4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4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B1" zoomScaleNormal="100" workbookViewId="0">
      <selection activeCell="F9" sqref="F9"/>
    </sheetView>
  </sheetViews>
  <sheetFormatPr baseColWidth="10" defaultColWidth="11.3984375" defaultRowHeight="14.25" x14ac:dyDescent="0.45"/>
  <cols>
    <col min="1" max="1" width="5.86328125" style="1" customWidth="1"/>
    <col min="2" max="2" width="14.1328125" style="1" customWidth="1"/>
    <col min="3" max="3" width="62.1328125" style="1" customWidth="1"/>
    <col min="4" max="5" width="4.265625" style="1" customWidth="1"/>
    <col min="6" max="6" width="14.265625" style="1" customWidth="1"/>
    <col min="7" max="7" width="73.265625" style="1" bestFit="1" customWidth="1"/>
    <col min="8" max="10" width="11.3984375" style="1"/>
    <col min="11" max="11" width="12.59765625" style="1" customWidth="1"/>
    <col min="12" max="16384" width="11.3984375" style="1"/>
  </cols>
  <sheetData>
    <row r="1" spans="1:38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5.9" thickBot="1" x14ac:dyDescent="0.8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4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4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4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4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4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4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4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4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4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4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4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4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4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4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4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4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4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4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4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4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4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4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4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4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4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4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4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4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4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4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4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4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4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4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4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4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4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4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4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4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4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4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4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4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4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4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4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4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4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4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4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4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4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4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4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4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4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4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4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4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4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4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4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4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4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4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4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4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4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4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4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4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4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4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4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4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4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4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4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4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4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4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4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4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4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4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4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4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4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4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4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4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4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4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4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4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4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4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4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4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45">
      <c r="C104" s="4"/>
      <c r="F104" s="4"/>
    </row>
    <row r="105" spans="3:35" x14ac:dyDescent="0.45">
      <c r="C105" s="4"/>
      <c r="F105" s="4"/>
    </row>
    <row r="106" spans="3:35" x14ac:dyDescent="0.45">
      <c r="C106" s="4"/>
      <c r="F106" s="4"/>
    </row>
    <row r="107" spans="3:35" x14ac:dyDescent="0.45">
      <c r="C107" s="4"/>
      <c r="F107" s="4"/>
    </row>
    <row r="108" spans="3:35" x14ac:dyDescent="0.45">
      <c r="C108" s="4"/>
      <c r="F108" s="4"/>
    </row>
    <row r="109" spans="3:35" x14ac:dyDescent="0.45">
      <c r="C109" s="4"/>
      <c r="F109" s="4"/>
    </row>
    <row r="110" spans="3:35" x14ac:dyDescent="0.45">
      <c r="C110" s="4"/>
      <c r="F110" s="4"/>
    </row>
    <row r="111" spans="3:35" x14ac:dyDescent="0.45">
      <c r="C111" s="4"/>
      <c r="F111" s="4"/>
    </row>
    <row r="112" spans="3:35" x14ac:dyDescent="0.45">
      <c r="C112" s="4"/>
      <c r="F112" s="4"/>
    </row>
    <row r="113" spans="3:6" x14ac:dyDescent="0.45">
      <c r="C113" s="4"/>
      <c r="F113" s="4"/>
    </row>
    <row r="114" spans="3:6" x14ac:dyDescent="0.45">
      <c r="C114" s="4"/>
      <c r="F114" s="4"/>
    </row>
    <row r="115" spans="3:6" x14ac:dyDescent="0.45">
      <c r="C115" s="4"/>
      <c r="F115" s="4"/>
    </row>
    <row r="116" spans="3:6" x14ac:dyDescent="0.45">
      <c r="C116" s="4"/>
      <c r="F116" s="4"/>
    </row>
    <row r="117" spans="3:6" x14ac:dyDescent="0.45">
      <c r="C117" s="4"/>
      <c r="F117" s="4"/>
    </row>
    <row r="118" spans="3:6" x14ac:dyDescent="0.45">
      <c r="C118" s="4"/>
      <c r="F118" s="4"/>
    </row>
    <row r="119" spans="3:6" x14ac:dyDescent="0.45">
      <c r="C119" s="4"/>
      <c r="F119" s="4"/>
    </row>
    <row r="120" spans="3:6" x14ac:dyDescent="0.45">
      <c r="C120" s="4"/>
      <c r="F120" s="4"/>
    </row>
    <row r="121" spans="3:6" x14ac:dyDescent="0.45">
      <c r="C121" s="4"/>
      <c r="F121" s="4"/>
    </row>
    <row r="122" spans="3:6" x14ac:dyDescent="0.45">
      <c r="C122" s="4"/>
      <c r="F122" s="4"/>
    </row>
    <row r="123" spans="3:6" x14ac:dyDescent="0.45">
      <c r="C123" s="4"/>
      <c r="F123" s="4"/>
    </row>
    <row r="124" spans="3:6" x14ac:dyDescent="0.45">
      <c r="C124" s="4"/>
      <c r="F124" s="4"/>
    </row>
    <row r="125" spans="3:6" x14ac:dyDescent="0.45">
      <c r="C125" s="4"/>
      <c r="F125" s="4"/>
    </row>
    <row r="126" spans="3:6" x14ac:dyDescent="0.45">
      <c r="C126" s="4"/>
      <c r="F126" s="4"/>
    </row>
    <row r="127" spans="3:6" x14ac:dyDescent="0.45">
      <c r="C127" s="4"/>
      <c r="F127" s="4"/>
    </row>
    <row r="128" spans="3:6" x14ac:dyDescent="0.45">
      <c r="C128" s="4"/>
      <c r="F128" s="4"/>
    </row>
    <row r="129" spans="3:6" x14ac:dyDescent="0.45">
      <c r="C129" s="4"/>
      <c r="F129" s="4"/>
    </row>
    <row r="130" spans="3:6" x14ac:dyDescent="0.45">
      <c r="C130" s="4"/>
      <c r="F130" s="4"/>
    </row>
    <row r="131" spans="3:6" x14ac:dyDescent="0.45">
      <c r="C131" s="4"/>
      <c r="F131" s="4"/>
    </row>
    <row r="132" spans="3:6" x14ac:dyDescent="0.45">
      <c r="F132" s="4"/>
    </row>
    <row r="133" spans="3:6" x14ac:dyDescent="0.45">
      <c r="F133" s="4"/>
    </row>
    <row r="134" spans="3:6" x14ac:dyDescent="0.45">
      <c r="F134" s="4"/>
    </row>
    <row r="135" spans="3:6" x14ac:dyDescent="0.45">
      <c r="F135" s="4"/>
    </row>
    <row r="136" spans="3:6" x14ac:dyDescent="0.45">
      <c r="F136" s="4"/>
    </row>
    <row r="137" spans="3:6" x14ac:dyDescent="0.45">
      <c r="F137" s="4"/>
    </row>
    <row r="138" spans="3:6" x14ac:dyDescent="0.45">
      <c r="F138" s="4"/>
    </row>
    <row r="139" spans="3:6" x14ac:dyDescent="0.45">
      <c r="F139" s="4"/>
    </row>
    <row r="140" spans="3:6" x14ac:dyDescent="0.45">
      <c r="F140" s="4"/>
    </row>
    <row r="141" spans="3:6" x14ac:dyDescent="0.45">
      <c r="F141" s="4"/>
    </row>
    <row r="142" spans="3:6" x14ac:dyDescent="0.45">
      <c r="F142" s="4"/>
    </row>
    <row r="143" spans="3:6" x14ac:dyDescent="0.45">
      <c r="F143" s="4"/>
    </row>
    <row r="144" spans="3:6" x14ac:dyDescent="0.45">
      <c r="F144" s="4"/>
    </row>
    <row r="145" spans="6:6" x14ac:dyDescent="0.45">
      <c r="F145" s="4"/>
    </row>
    <row r="146" spans="6:6" x14ac:dyDescent="0.45">
      <c r="F146" s="4"/>
    </row>
    <row r="147" spans="6:6" x14ac:dyDescent="0.45">
      <c r="F147" s="4"/>
    </row>
    <row r="148" spans="6:6" x14ac:dyDescent="0.45">
      <c r="F148" s="4"/>
    </row>
    <row r="149" spans="6:6" x14ac:dyDescent="0.45">
      <c r="F149" s="4"/>
    </row>
    <row r="150" spans="6:6" x14ac:dyDescent="0.45">
      <c r="F150" s="4"/>
    </row>
    <row r="151" spans="6:6" x14ac:dyDescent="0.45">
      <c r="F151" s="4"/>
    </row>
    <row r="152" spans="6:6" x14ac:dyDescent="0.45">
      <c r="F152" s="4"/>
    </row>
    <row r="153" spans="6:6" x14ac:dyDescent="0.45">
      <c r="F153" s="4"/>
    </row>
    <row r="154" spans="6:6" x14ac:dyDescent="0.45">
      <c r="F154" s="4"/>
    </row>
    <row r="155" spans="6:6" x14ac:dyDescent="0.45">
      <c r="F155" s="4"/>
    </row>
    <row r="156" spans="6:6" x14ac:dyDescent="0.45">
      <c r="F156" s="4"/>
    </row>
    <row r="157" spans="6:6" x14ac:dyDescent="0.45">
      <c r="F157" s="4"/>
    </row>
    <row r="158" spans="6:6" x14ac:dyDescent="0.45">
      <c r="F158" s="4"/>
    </row>
    <row r="159" spans="6:6" x14ac:dyDescent="0.45">
      <c r="F159" s="4"/>
    </row>
    <row r="160" spans="6:6" x14ac:dyDescent="0.45">
      <c r="F160" s="4"/>
    </row>
    <row r="161" spans="6:6" x14ac:dyDescent="0.45">
      <c r="F161" s="4"/>
    </row>
    <row r="162" spans="6:6" x14ac:dyDescent="0.45">
      <c r="F162" s="4"/>
    </row>
    <row r="163" spans="6:6" x14ac:dyDescent="0.4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3984375" defaultRowHeight="14.25" x14ac:dyDescent="0.45"/>
  <cols>
    <col min="1" max="1" width="6.86328125" style="4" bestFit="1" customWidth="1"/>
    <col min="2" max="4" width="11.3984375" style="4"/>
    <col min="5" max="5" width="9.59765625" style="4" customWidth="1"/>
    <col min="6" max="7" width="11.3984375" style="4"/>
    <col min="8" max="8" width="10.73046875" style="4" customWidth="1"/>
    <col min="9" max="9" width="9.3984375" style="4" customWidth="1"/>
    <col min="10" max="11" width="10.59765625" style="4" bestFit="1" customWidth="1"/>
    <col min="12" max="12" width="14" style="4" bestFit="1" customWidth="1"/>
    <col min="13" max="13" width="14" style="4" customWidth="1"/>
    <col min="14" max="23" width="11.3984375" style="4"/>
    <col min="24" max="24" width="11.73046875" style="4" bestFit="1" customWidth="1"/>
    <col min="25" max="25" width="14.59765625" style="4" bestFit="1" customWidth="1"/>
    <col min="26" max="26" width="12.3984375" style="4" bestFit="1" customWidth="1"/>
    <col min="27" max="27" width="9.73046875" style="4" bestFit="1" customWidth="1"/>
    <col min="28" max="28" width="11" style="4" bestFit="1" customWidth="1"/>
    <col min="29" max="29" width="9.3984375" style="4" bestFit="1" customWidth="1"/>
    <col min="30" max="31" width="9.3984375" style="4" customWidth="1"/>
    <col min="32" max="32" width="11.3984375" style="4"/>
    <col min="33" max="34" width="14" style="4" bestFit="1" customWidth="1"/>
    <col min="35" max="35" width="10.59765625" style="4" bestFit="1" customWidth="1"/>
    <col min="36" max="36" width="9.3984375" style="4" bestFit="1" customWidth="1"/>
    <col min="37" max="38" width="10.59765625" style="4" bestFit="1" customWidth="1"/>
    <col min="39" max="41" width="10.59765625" style="4" customWidth="1"/>
    <col min="42" max="42" width="9" style="4" bestFit="1" customWidth="1"/>
    <col min="43" max="43" width="10.59765625" style="4" bestFit="1" customWidth="1"/>
    <col min="44" max="44" width="9.265625" style="4" bestFit="1" customWidth="1"/>
    <col min="45" max="45" width="11.73046875" style="4" bestFit="1" customWidth="1"/>
    <col min="46" max="46" width="8.3984375" style="4" bestFit="1" customWidth="1"/>
    <col min="47" max="47" width="9.3984375" style="4" bestFit="1" customWidth="1"/>
    <col min="48" max="48" width="9.73046875" style="4" bestFit="1" customWidth="1"/>
    <col min="49" max="49" width="11" style="4" bestFit="1" customWidth="1"/>
    <col min="50" max="50" width="9.3984375" style="4" bestFit="1" customWidth="1"/>
    <col min="51" max="52" width="9.3984375" style="4" customWidth="1"/>
    <col min="53" max="53" width="10.59765625" style="4" bestFit="1" customWidth="1"/>
    <col min="54" max="54" width="14.265625" style="4" customWidth="1"/>
    <col min="55" max="55" width="14" style="4" customWidth="1"/>
    <col min="56" max="56" width="10.59765625" style="4" bestFit="1" customWidth="1"/>
    <col min="57" max="57" width="9.3984375" style="4" bestFit="1" customWidth="1"/>
    <col min="58" max="59" width="10.59765625" style="4" bestFit="1" customWidth="1"/>
    <col min="60" max="62" width="10.59765625" style="4" customWidth="1"/>
    <col min="63" max="63" width="9" style="4" bestFit="1" customWidth="1"/>
    <col min="64" max="64" width="10.59765625" style="4" bestFit="1" customWidth="1"/>
    <col min="65" max="65" width="9.265625" style="4" bestFit="1" customWidth="1"/>
    <col min="66" max="66" width="11.73046875" style="4" bestFit="1" customWidth="1"/>
    <col min="67" max="67" width="8.3984375" style="4" bestFit="1" customWidth="1"/>
    <col min="68" max="68" width="9.3984375" style="4" bestFit="1" customWidth="1"/>
    <col min="69" max="69" width="9.73046875" style="4" bestFit="1" customWidth="1"/>
    <col min="70" max="70" width="11" style="4" bestFit="1" customWidth="1"/>
    <col min="71" max="71" width="9.3984375" style="4" bestFit="1" customWidth="1"/>
    <col min="72" max="73" width="9.3984375" style="4" customWidth="1"/>
    <col min="74" max="74" width="10.59765625" style="4" bestFit="1" customWidth="1"/>
    <col min="75" max="75" width="14" style="4" bestFit="1" customWidth="1"/>
    <col min="76" max="76" width="13.86328125" style="4" customWidth="1"/>
    <col min="77" max="77" width="10.59765625" style="4" bestFit="1" customWidth="1"/>
    <col min="78" max="78" width="9.3984375" style="4" bestFit="1" customWidth="1"/>
    <col min="79" max="80" width="10.59765625" style="4" bestFit="1" customWidth="1"/>
    <col min="81" max="83" width="10.59765625" style="4" customWidth="1"/>
    <col min="84" max="84" width="11.3984375" style="4"/>
    <col min="85" max="85" width="10.59765625" style="4" bestFit="1" customWidth="1"/>
    <col min="86" max="86" width="9.265625" style="4" bestFit="1" customWidth="1"/>
    <col min="87" max="87" width="11.73046875" style="4" bestFit="1" customWidth="1"/>
    <col min="88" max="88" width="8.3984375" style="4" bestFit="1" customWidth="1"/>
    <col min="89" max="89" width="9.3984375" style="4" bestFit="1" customWidth="1"/>
    <col min="90" max="90" width="9.73046875" style="4" bestFit="1" customWidth="1"/>
    <col min="91" max="91" width="11" style="4" bestFit="1" customWidth="1"/>
    <col min="92" max="92" width="9.3984375" style="4" bestFit="1" customWidth="1"/>
    <col min="93" max="94" width="9.3984375" style="4" customWidth="1"/>
    <col min="95" max="95" width="11.3984375" style="4"/>
    <col min="96" max="97" width="14" style="4" customWidth="1"/>
    <col min="98" max="98" width="10.59765625" style="4" bestFit="1" customWidth="1"/>
    <col min="99" max="99" width="9.3984375" style="4" bestFit="1" customWidth="1"/>
    <col min="100" max="101" width="10.59765625" style="4" bestFit="1" customWidth="1"/>
    <col min="102" max="104" width="10.59765625" style="4" customWidth="1"/>
    <col min="105" max="105" width="9" style="4" bestFit="1" customWidth="1"/>
    <col min="106" max="106" width="10.59765625" style="4" bestFit="1" customWidth="1"/>
    <col min="107" max="107" width="9.265625" style="4" bestFit="1" customWidth="1"/>
    <col min="108" max="108" width="11.73046875" style="4" bestFit="1" customWidth="1"/>
    <col min="109" max="109" width="8.3984375" style="4" bestFit="1" customWidth="1"/>
    <col min="110" max="110" width="9.3984375" style="4" bestFit="1" customWidth="1"/>
    <col min="111" max="111" width="9.73046875" style="4" bestFit="1" customWidth="1"/>
    <col min="112" max="112" width="11" style="4" bestFit="1" customWidth="1"/>
    <col min="113" max="113" width="9.3984375" style="4" bestFit="1" customWidth="1"/>
    <col min="114" max="115" width="9.3984375" style="4" customWidth="1"/>
    <col min="116" max="116" width="10.59765625" style="4" bestFit="1" customWidth="1"/>
    <col min="117" max="117" width="14.265625" style="4" customWidth="1"/>
    <col min="118" max="118" width="14" style="4" bestFit="1" customWidth="1"/>
    <col min="119" max="119" width="10.59765625" style="4" bestFit="1" customWidth="1"/>
    <col min="120" max="120" width="9.3984375" style="4" bestFit="1" customWidth="1"/>
    <col min="121" max="122" width="10.59765625" style="4" bestFit="1" customWidth="1"/>
    <col min="123" max="125" width="10.59765625" style="4" customWidth="1"/>
    <col min="126" max="126" width="9" style="4" bestFit="1" customWidth="1"/>
    <col min="127" max="127" width="10.59765625" style="4" bestFit="1" customWidth="1"/>
    <col min="128" max="128" width="9.265625" style="4" bestFit="1" customWidth="1"/>
    <col min="129" max="129" width="11.73046875" style="4" bestFit="1" customWidth="1"/>
    <col min="130" max="130" width="8.3984375" style="4" bestFit="1" customWidth="1"/>
    <col min="131" max="131" width="9.3984375" style="4" bestFit="1" customWidth="1"/>
    <col min="132" max="132" width="9.73046875" style="4" bestFit="1" customWidth="1"/>
    <col min="133" max="133" width="11" style="4" bestFit="1" customWidth="1"/>
    <col min="134" max="134" width="9.3984375" style="4" bestFit="1" customWidth="1"/>
    <col min="135" max="136" width="9.3984375" style="4" customWidth="1"/>
    <col min="137" max="137" width="10.59765625" style="4" bestFit="1" customWidth="1"/>
    <col min="138" max="139" width="14" style="4" customWidth="1"/>
    <col min="140" max="140" width="10.59765625" style="4" bestFit="1" customWidth="1"/>
    <col min="141" max="141" width="9.3984375" style="4" bestFit="1" customWidth="1"/>
    <col min="142" max="143" width="10.59765625" style="4" bestFit="1" customWidth="1"/>
    <col min="144" max="146" width="10.59765625" style="4" customWidth="1"/>
    <col min="147" max="147" width="9" style="4" bestFit="1" customWidth="1"/>
    <col min="148" max="148" width="10.59765625" style="4" bestFit="1" customWidth="1"/>
    <col min="149" max="149" width="9.265625" style="4" bestFit="1" customWidth="1"/>
    <col min="150" max="150" width="11.73046875" style="4" bestFit="1" customWidth="1"/>
    <col min="151" max="151" width="8.3984375" style="4" bestFit="1" customWidth="1"/>
    <col min="152" max="152" width="9.3984375" style="4" bestFit="1" customWidth="1"/>
    <col min="153" max="153" width="9.73046875" style="4" bestFit="1" customWidth="1"/>
    <col min="154" max="154" width="11" style="4" bestFit="1" customWidth="1"/>
    <col min="155" max="155" width="9.3984375" style="4" bestFit="1" customWidth="1"/>
    <col min="156" max="157" width="9.3984375" style="4" customWidth="1"/>
    <col min="158" max="158" width="11.3984375" style="4"/>
    <col min="159" max="160" width="14" style="4" bestFit="1" customWidth="1"/>
    <col min="161" max="161" width="10.59765625" style="4" bestFit="1" customWidth="1"/>
    <col min="162" max="162" width="9.3984375" style="4" bestFit="1" customWidth="1"/>
    <col min="163" max="164" width="10.59765625" style="4" bestFit="1" customWidth="1"/>
    <col min="165" max="167" width="10.59765625" style="4" customWidth="1"/>
    <col min="168" max="168" width="9" style="4" bestFit="1" customWidth="1"/>
    <col min="169" max="169" width="10.59765625" style="4" bestFit="1" customWidth="1"/>
    <col min="170" max="170" width="9.265625" style="4" bestFit="1" customWidth="1"/>
    <col min="171" max="171" width="11.73046875" style="4" bestFit="1" customWidth="1"/>
    <col min="172" max="172" width="8.1328125" style="4" bestFit="1" customWidth="1"/>
    <col min="173" max="173" width="9.3984375" style="4" bestFit="1" customWidth="1"/>
    <col min="174" max="174" width="9.73046875" style="4" bestFit="1" customWidth="1"/>
    <col min="175" max="175" width="11" style="4" bestFit="1" customWidth="1"/>
    <col min="176" max="176" width="9.3984375" style="4" bestFit="1" customWidth="1"/>
    <col min="177" max="178" width="9.3984375" style="4" customWidth="1"/>
    <col min="179" max="179" width="10.59765625" style="4" bestFit="1" customWidth="1"/>
    <col min="180" max="181" width="14" style="4" bestFit="1" customWidth="1"/>
    <col min="182" max="182" width="10.59765625" style="4" bestFit="1" customWidth="1"/>
    <col min="183" max="183" width="9.3984375" style="4" bestFit="1" customWidth="1"/>
    <col min="184" max="185" width="10.59765625" style="4" bestFit="1" customWidth="1"/>
    <col min="186" max="188" width="10.59765625" style="4" customWidth="1"/>
    <col min="189" max="189" width="9" style="4" bestFit="1" customWidth="1"/>
    <col min="190" max="190" width="10.59765625" style="4" bestFit="1" customWidth="1"/>
    <col min="191" max="191" width="9.265625" style="4" bestFit="1" customWidth="1"/>
    <col min="192" max="192" width="11.3984375" style="4"/>
    <col min="193" max="193" width="8.3984375" style="4" bestFit="1" customWidth="1"/>
    <col min="194" max="194" width="9.3984375" style="4" bestFit="1" customWidth="1"/>
    <col min="195" max="195" width="9.73046875" style="4" bestFit="1" customWidth="1"/>
    <col min="196" max="196" width="11" style="4" bestFit="1" customWidth="1"/>
    <col min="197" max="197" width="9.3984375" style="4" bestFit="1" customWidth="1"/>
    <col min="198" max="199" width="9.3984375" style="4" customWidth="1"/>
    <col min="200" max="200" width="10.59765625" style="4" bestFit="1" customWidth="1"/>
    <col min="201" max="201" width="14" style="4" customWidth="1"/>
    <col min="202" max="202" width="14.265625" style="4" customWidth="1"/>
    <col min="203" max="203" width="10.59765625" style="4" bestFit="1" customWidth="1"/>
    <col min="204" max="204" width="9.3984375" style="4" bestFit="1" customWidth="1"/>
    <col min="205" max="206" width="10.59765625" style="4" bestFit="1" customWidth="1"/>
    <col min="207" max="209" width="10.59765625" style="4" customWidth="1"/>
    <col min="210" max="210" width="9" style="4" bestFit="1" customWidth="1"/>
    <col min="211" max="211" width="10.59765625" style="4" bestFit="1" customWidth="1"/>
    <col min="212" max="212" width="9.265625" style="4" bestFit="1" customWidth="1"/>
    <col min="213" max="213" width="11.73046875" style="4" bestFit="1" customWidth="1"/>
    <col min="214" max="214" width="8.3984375" style="4" bestFit="1" customWidth="1"/>
    <col min="215" max="215" width="9.3984375" style="4" bestFit="1" customWidth="1"/>
    <col min="216" max="216" width="9.73046875" style="4" bestFit="1" customWidth="1"/>
    <col min="217" max="217" width="11" style="4" bestFit="1" customWidth="1"/>
    <col min="218" max="218" width="9.3984375" style="4" bestFit="1" customWidth="1"/>
    <col min="219" max="16384" width="11.3984375" style="4"/>
  </cols>
  <sheetData>
    <row r="1" spans="1:218" ht="25.9" thickBot="1" x14ac:dyDescent="0.8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Pin maritime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Chêne sessile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Chêne chevelu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Bouleau verruqueux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7.4" thickBot="1" x14ac:dyDescent="0.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4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235.90365770026909</v>
      </c>
      <c r="T3" s="59">
        <f>IF('Données projet'!E9&gt;30,$R$33-$H$33,LOOKUP('Données projet'!$E$9,$A$3:$A$203,R3:R203)-LOOKUP('Données projet'!$E$9,$A$3:$A$203,$H$3:$H$203))</f>
        <v>348.09952585694253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490.21869105612649</v>
      </c>
      <c r="AO3" s="59">
        <f>IF('Données projet'!E10&gt;30,$AM$33-$H$33,LOOKUP('Données projet'!$E$10,$A$3:$A$203,AM3:AM203)-LOOKUP('Données projet'!$E$10,$A$3:$A$203,$H$3:$H$203))</f>
        <v>207.08773997010911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144.01698107732989</v>
      </c>
      <c r="BJ3" s="59">
        <f>IF('Données projet'!E11&gt;30,$BH$33-$H$33,LOOKUP('Données projet'!$E$11,$A$3:$A$203,BH3:BH203)-LOOKUP('Données projet'!$E$11,$A$3:$A$203,$H$3:$H$203))</f>
        <v>139.28039875117332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72.953866894533007</v>
      </c>
      <c r="CE3" s="59">
        <f>IF('Données projet'!E12&gt;30,$CC$33-$H$33,LOOKUP('Données projet'!$E$12,$A$3:$A$203,CC3:CC203)-LOOKUP('Données projet'!$E$12,$A$3:$A$203,$H$3:$H$203))</f>
        <v>60.640359826163092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4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294.75450271279925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7.8042857142857143</v>
      </c>
      <c r="N4" s="13">
        <f>IF('Données projet'!$A$36&gt;35,N3+M4-V3,IF(A4&lt;'Données projet'!$A$36,$K$205^A4,IF(A4='Données projet'!$A$36,'Données projet'!$B$36,N3+M4-V3)))</f>
        <v>1.3983129223554964</v>
      </c>
      <c r="O4" s="13">
        <f>N4*VLOOKUP('Données projet'!$B$9,Paramètres!$A$1:$I$89,3,0)*VLOOKUP('Données projet'!$B$9,Paramètres!$A$1:$I$89,5,0)</f>
        <v>0.83619112756858693</v>
      </c>
      <c r="P4" s="13">
        <f>EXP(-1.0587+0.8836*LN(O4)+0.284)</f>
        <v>0.3934606031787079</v>
      </c>
      <c r="Q4" s="20">
        <f t="shared" ref="Q4:Q34" si="2">(O4+P4)*0.475*44/12</f>
        <v>2.1416434310515382</v>
      </c>
      <c r="R4" s="59">
        <f t="shared" si="0"/>
        <v>295.47497676438485</v>
      </c>
      <c r="S4" s="59">
        <f ca="1">AVERAGE(OFFSET($R$3,0,0,'Données projet'!$E$9+1,1))-AVERAGE(OFFSET($H$3,0,0,'Données projet'!$E$9+1,1))</f>
        <v>235.90365770026909</v>
      </c>
      <c r="T4" s="59">
        <f>$T$3</f>
        <v>348.09952585694253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4.0942857142857143</v>
      </c>
      <c r="AI4" s="13">
        <f>IF('Données projet'!$A$62&gt;35,AI3+AH4-AQ3,IF(A4&lt;'Données projet'!$A$62,$AF$205^A4,IF(A4='Données projet'!$A$62,'Données projet'!$B$62,AI3+AH4-AQ3)))</f>
        <v>4.0942857142857143</v>
      </c>
      <c r="AJ4" s="13">
        <f>AI4*VLOOKUP('Données projet'!$B$10,Paramètres!$A$1:$I$89,3,0)*VLOOKUP('Données projet'!$B$10,Paramètres!$A$1:$I$89,5,0)</f>
        <v>3.704509714285714</v>
      </c>
      <c r="AK4" s="13">
        <f>EXP(-1.0587+0.8836*LN(AJ4)+0.284)</f>
        <v>1.4658264193249637</v>
      </c>
      <c r="AL4" s="20">
        <f t="shared" ref="AL4:AL67" si="4">(AJ4+AK4)*0.475*44/12</f>
        <v>9.0050020993719304</v>
      </c>
      <c r="AM4" s="59">
        <f t="shared" ref="AM4:AM67" si="5">AL4+(AD4+AE4)*44/12</f>
        <v>302.33833543270526</v>
      </c>
      <c r="AN4" s="59">
        <f ca="1">AVERAGE(OFFSET($AM$3,0,0,'Données projet'!$E$10+1,1))-AVERAGE(OFFSET($H$3,0,0,'Données projet'!$E$10+1,1))</f>
        <v>490.21869105612649</v>
      </c>
      <c r="AO4" s="59">
        <f>$AO$3</f>
        <v>207.08773997010911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2.7884615384615379</v>
      </c>
      <c r="BD4" s="12">
        <f>IF('Données projet'!$A$88&gt;35,BD3+BC4-BL3,IF(A4&lt;'Données projet'!$A$88,$BA$205^A4,IF(A4='Données projet'!$A$88,'Données projet'!$B$88,BD3+BC4-BL3)))</f>
        <v>1.2226994946602114</v>
      </c>
      <c r="BE4" s="13">
        <f>BD4*VLOOKUP('Données projet'!$B$11,Paramètres!$A$1:$I$89,3,0)*VLOOKUP('Données projet'!$B$11,Paramètres!$A$1:$I$89,5,0)</f>
        <v>1.2779655118188531</v>
      </c>
      <c r="BF4" s="13">
        <f>EXP(-1.0587+0.8836*LN(BE4)+0.284)</f>
        <v>0.57236408086340707</v>
      </c>
      <c r="BG4" s="20">
        <f t="shared" ref="BG4:BG67" si="7">(BE4+BF4)*0.475*44/12</f>
        <v>3.2226573739216029</v>
      </c>
      <c r="BH4" s="59">
        <f t="shared" ref="BH4:BH67" si="8">BG4+(AY4+AZ4)*44/12</f>
        <v>296.55599070725492</v>
      </c>
      <c r="BI4" s="59">
        <f ca="1">AVERAGE(OFFSET($BH$3,0,0,'Données projet'!$E$11+1,1))-AVERAGE(OFFSET($H$3,0,0,'Données projet'!$E$11+1,1))</f>
        <v>144.01698107732989</v>
      </c>
      <c r="BJ4" s="59">
        <f>$BJ$3</f>
        <v>139.28039875117332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1.3675213675213673</v>
      </c>
      <c r="BY4" s="12">
        <f>IF('Données projet'!$A$114&gt;35,BY3+BX4-CG3,IF(A4&lt;'Données projet'!$A$114,$BV$205^A4,IF(A4='Données projet'!$A$114,'Données projet'!$B$114,BY3+BX4-CG3)))</f>
        <v>1.2231180032570037</v>
      </c>
      <c r="BZ4" s="13">
        <f>BY4*VLOOKUP('Données projet'!$B$12,Paramètres!$A$1:$I$89,3,0)*VLOOKUP('Données projet'!$B$12,Paramètres!$A$1:$I$89,5,0)</f>
        <v>0.99219332424208151</v>
      </c>
      <c r="CA4" s="13">
        <f>EXP(-1.0587+0.8836*LN(BZ4)+0.284)</f>
        <v>0.45766168594626538</v>
      </c>
      <c r="CB4" s="20">
        <f t="shared" ref="CB4:CB67" si="10">(BZ4+CA4)*0.475*44/12</f>
        <v>2.5251641427447038</v>
      </c>
      <c r="CC4" s="59">
        <f t="shared" ref="CC4:CC67" si="11">CB4+(BT4+BU4)*44/12</f>
        <v>295.85849747607801</v>
      </c>
      <c r="CD4" s="59">
        <f ca="1">AVERAGE(OFFSET($CC$3,0,0,'Données projet'!$E$12+1,1))-AVERAGE(OFFSET($H$3,0,0,'Données projet'!$E$12+1,1))</f>
        <v>72.953866894533007</v>
      </c>
      <c r="CE4" s="59">
        <f>$CE$3</f>
        <v>60.640359826163092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4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296.10277557080786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7.8042857142857143</v>
      </c>
      <c r="N5" s="13">
        <f>IF('Données projet'!$A$36&gt;35,N4+M5-V4,IF(A5&lt;'Données projet'!$A$36,$K$205^A5,IF(A5='Données projet'!$A$36,'Données projet'!$B$36,N4+M5-V4)))</f>
        <v>1.9552790288263686</v>
      </c>
      <c r="O5" s="13">
        <f>N5*VLOOKUP('Données projet'!$B$9,Paramètres!$A$1:$I$89,3,0)*VLOOKUP('Données projet'!$B$9,Paramètres!$A$1:$I$89,5,0)</f>
        <v>1.1692568592381685</v>
      </c>
      <c r="P5" s="13">
        <f t="shared" ref="P5:P68" si="33">EXP(-1.0587+0.8836*LN(O5)+0.284)</f>
        <v>0.52912377465983829</v>
      </c>
      <c r="Q5" s="20">
        <f t="shared" si="2"/>
        <v>2.9580129373723616</v>
      </c>
      <c r="R5" s="59">
        <f t="shared" si="0"/>
        <v>296.29134627070567</v>
      </c>
      <c r="S5" s="59">
        <f ca="1">AVERAGE(OFFSET($R$3,0,0,'Données projet'!$E$9+1,1))-AVERAGE(OFFSET($H$3,0,0,'Données projet'!$E$9+1,1))</f>
        <v>235.90365770026909</v>
      </c>
      <c r="T5" s="59">
        <f t="shared" ref="T5:T68" si="34">$T$3</f>
        <v>348.09952585694253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4.0942857142857143</v>
      </c>
      <c r="AI5" s="13">
        <f>IF('Données projet'!$A$62&gt;35,AI4+AH5-AQ4,IF(A5&lt;'Données projet'!$A$62,$AF$205^A5,IF(A5='Données projet'!$A$62,'Données projet'!$B$62,AI4+AH5-AQ4)))</f>
        <v>8.1885714285714286</v>
      </c>
      <c r="AJ5" s="13">
        <f>AI5*VLOOKUP('Données projet'!$B$10,Paramètres!$A$1:$I$89,3,0)*VLOOKUP('Données projet'!$B$10,Paramètres!$A$1:$I$89,5,0)</f>
        <v>7.4090194285714279</v>
      </c>
      <c r="AK5" s="13">
        <f t="shared" ref="AK5:AK68" si="35">EXP(-1.0587+0.8836*LN(AJ5)+0.284)</f>
        <v>2.7044107221075859</v>
      </c>
      <c r="AL5" s="20">
        <f t="shared" si="4"/>
        <v>17.614224179099281</v>
      </c>
      <c r="AM5" s="59">
        <f t="shared" si="5"/>
        <v>310.94755751243258</v>
      </c>
      <c r="AN5" s="59">
        <f ca="1">AVERAGE(OFFSET($AM$3,0,0,'Données projet'!$E$10+1,1))-AVERAGE(OFFSET($H$3,0,0,'Données projet'!$E$10+1,1))</f>
        <v>490.21869105612649</v>
      </c>
      <c r="AO5" s="59">
        <f t="shared" ref="AO5:AO68" si="36">$AO$3</f>
        <v>207.08773997010911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2.7884615384615379</v>
      </c>
      <c r="BD5" s="12">
        <f>IF('Données projet'!$A$88&gt;35,BD4+BC5-BL4,IF(A5&lt;'Données projet'!$A$88,$BA$205^A5,IF(A5='Données projet'!$A$88,'Données projet'!$B$88,BD4+BC5-BL4)))</f>
        <v>1.4949940542423363</v>
      </c>
      <c r="BE5" s="13">
        <f>BD5*VLOOKUP('Données projet'!$B$11,Paramètres!$A$1:$I$89,3,0)*VLOOKUP('Données projet'!$B$11,Paramètres!$A$1:$I$89,5,0)</f>
        <v>1.5625677854940903</v>
      </c>
      <c r="BF5" s="13">
        <f t="shared" ref="BF5:BF68" si="37">EXP(-1.0587+0.8836*LN(BE5)+0.284)</f>
        <v>0.68364097878236574</v>
      </c>
      <c r="BG5" s="20">
        <f t="shared" si="7"/>
        <v>3.9121469311148274</v>
      </c>
      <c r="BH5" s="59">
        <f t="shared" si="8"/>
        <v>297.24548026444813</v>
      </c>
      <c r="BI5" s="59">
        <f ca="1">AVERAGE(OFFSET($BH$3,0,0,'Données projet'!$E$11+1,1))-AVERAGE(OFFSET($H$3,0,0,'Données projet'!$E$11+1,1))</f>
        <v>144.01698107732989</v>
      </c>
      <c r="BJ5" s="59">
        <f t="shared" ref="BJ5:BJ68" si="38">$BJ$3</f>
        <v>139.28039875117332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1.3675213675213673</v>
      </c>
      <c r="BY5" s="12">
        <f>IF('Données projet'!$A$114&gt;35,BY4+BX5-CG4,IF(A5&lt;'Données projet'!$A$114,$BV$205^A5,IF(A5='Données projet'!$A$114,'Données projet'!$B$114,BY4+BX5-CG4)))</f>
        <v>1.4960176498913997</v>
      </c>
      <c r="BZ5" s="13">
        <f>BY5*VLOOKUP('Données projet'!$B$12,Paramètres!$A$1:$I$89,3,0)*VLOOKUP('Données projet'!$B$12,Paramètres!$A$1:$I$89,5,0)</f>
        <v>1.2135695175919035</v>
      </c>
      <c r="CA5" s="13">
        <f t="shared" ref="CA5:CA68" si="39">EXP(-1.0587+0.8836*LN(BZ5)+0.284)</f>
        <v>0.54680389294081433</v>
      </c>
      <c r="CB5" s="20">
        <f t="shared" si="10"/>
        <v>3.0659836900111501</v>
      </c>
      <c r="CC5" s="59">
        <f t="shared" si="11"/>
        <v>296.39931702334445</v>
      </c>
      <c r="CD5" s="59">
        <f ca="1">AVERAGE(OFFSET($CC$3,0,0,'Données projet'!$E$12+1,1))-AVERAGE(OFFSET($H$3,0,0,'Données projet'!$E$12+1,1))</f>
        <v>72.953866894533007</v>
      </c>
      <c r="CE5" s="59">
        <f t="shared" ref="CE5:CE68" si="40">$CE$3</f>
        <v>60.640359826163092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4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297.42750651156223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7.8042857142857143</v>
      </c>
      <c r="N6" s="13">
        <f>IF('Données projet'!$A$36&gt;35,N5+M6-V5,IF(A6&lt;'Données projet'!$A$36,$K$205^A6,IF(A6='Données projet'!$A$36,'Données projet'!$B$36,N5+M6-V5)))</f>
        <v>2.7340919328186164</v>
      </c>
      <c r="O6" s="13">
        <f>N6*VLOOKUP('Données projet'!$B$9,Paramètres!$A$1:$I$89,3,0)*VLOOKUP('Données projet'!$B$9,Paramètres!$A$1:$I$89,5,0)</f>
        <v>1.6349869758255327</v>
      </c>
      <c r="P6" s="13">
        <f t="shared" si="33"/>
        <v>0.7115629027364484</v>
      </c>
      <c r="Q6" s="20">
        <f t="shared" si="2"/>
        <v>4.0869077051621163</v>
      </c>
      <c r="R6" s="59">
        <f t="shared" si="0"/>
        <v>297.42024103849542</v>
      </c>
      <c r="S6" s="59">
        <f ca="1">AVERAGE(OFFSET($R$3,0,0,'Données projet'!$E$9+1,1))-AVERAGE(OFFSET($H$3,0,0,'Données projet'!$E$9+1,1))</f>
        <v>235.90365770026909</v>
      </c>
      <c r="T6" s="59">
        <f t="shared" si="34"/>
        <v>348.09952585694253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4.0942857142857143</v>
      </c>
      <c r="AI6" s="13">
        <f>IF('Données projet'!$A$62&gt;35,AI5+AH6-AQ5,IF(A6&lt;'Données projet'!$A$62,$AF$205^A6,IF(A6='Données projet'!$A$62,'Données projet'!$B$62,AI5+AH6-AQ5)))</f>
        <v>12.282857142857143</v>
      </c>
      <c r="AJ6" s="13">
        <f>AI6*VLOOKUP('Données projet'!$B$10,Paramètres!$A$1:$I$89,3,0)*VLOOKUP('Données projet'!$B$10,Paramètres!$A$1:$I$89,5,0)</f>
        <v>11.113529142857143</v>
      </c>
      <c r="AK6" s="13">
        <f t="shared" si="35"/>
        <v>3.8696072280877138</v>
      </c>
      <c r="AL6" s="20">
        <f t="shared" si="4"/>
        <v>26.095629179395626</v>
      </c>
      <c r="AM6" s="59">
        <f t="shared" si="5"/>
        <v>319.42896251272896</v>
      </c>
      <c r="AN6" s="59">
        <f ca="1">AVERAGE(OFFSET($AM$3,0,0,'Données projet'!$E$10+1,1))-AVERAGE(OFFSET($H$3,0,0,'Données projet'!$E$10+1,1))</f>
        <v>490.21869105612649</v>
      </c>
      <c r="AO6" s="59">
        <f t="shared" si="36"/>
        <v>207.08773997010911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2.7884615384615379</v>
      </c>
      <c r="BD6" s="12">
        <f>IF('Données projet'!$A$88&gt;35,BD5+BC6-BL5,IF(A6&lt;'Données projet'!$A$88,$BA$205^A6,IF(A6='Données projet'!$A$88,'Données projet'!$B$88,BD5+BC6-BL5)))</f>
        <v>1.8279284746421254</v>
      </c>
      <c r="BE6" s="13">
        <f>BD6*VLOOKUP('Données projet'!$B$11,Paramètres!$A$1:$I$89,3,0)*VLOOKUP('Données projet'!$B$11,Paramètres!$A$1:$I$89,5,0)</f>
        <v>1.9105508416959496</v>
      </c>
      <c r="BF6" s="13">
        <f t="shared" si="37"/>
        <v>0.81655191773301772</v>
      </c>
      <c r="BG6" s="20">
        <f t="shared" si="7"/>
        <v>4.7497039726721182</v>
      </c>
      <c r="BH6" s="59">
        <f t="shared" si="8"/>
        <v>298.08303730600545</v>
      </c>
      <c r="BI6" s="59">
        <f ca="1">AVERAGE(OFFSET($BH$3,0,0,'Données projet'!$E$11+1,1))-AVERAGE(OFFSET($H$3,0,0,'Données projet'!$E$11+1,1))</f>
        <v>144.01698107732989</v>
      </c>
      <c r="BJ6" s="59">
        <f t="shared" si="38"/>
        <v>139.28039875117332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1.3675213675213673</v>
      </c>
      <c r="BY6" s="12">
        <f>IF('Données projet'!$A$114&gt;35,BY5+BX6-CG5,IF(A6&lt;'Données projet'!$A$114,$BV$205^A6,IF(A6='Données projet'!$A$114,'Données projet'!$B$114,BY5+BX6-CG5)))</f>
        <v>1.8298061207724041</v>
      </c>
      <c r="BZ6" s="13">
        <f>BY6*VLOOKUP('Données projet'!$B$12,Paramètres!$A$1:$I$89,3,0)*VLOOKUP('Données projet'!$B$12,Paramètres!$A$1:$I$89,5,0)</f>
        <v>1.4843387251705742</v>
      </c>
      <c r="CA6" s="13">
        <f t="shared" si="39"/>
        <v>0.65330899770870265</v>
      </c>
      <c r="CB6" s="20">
        <f t="shared" si="10"/>
        <v>3.72306978401474</v>
      </c>
      <c r="CC6" s="59">
        <f t="shared" si="11"/>
        <v>297.05640311734805</v>
      </c>
      <c r="CD6" s="59">
        <f ca="1">AVERAGE(OFFSET($CC$3,0,0,'Données projet'!$E$12+1,1))-AVERAGE(OFFSET($H$3,0,0,'Données projet'!$E$12+1,1))</f>
        <v>72.953866894533007</v>
      </c>
      <c r="CE6" s="59">
        <f t="shared" si="40"/>
        <v>60.640359826163092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4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298.73772566676109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7.8042857142857143</v>
      </c>
      <c r="N7" s="13">
        <f>IF('Données projet'!$A$36&gt;35,N6+M7-V6,IF(A7&lt;'Données projet'!$A$36,$K$205^A7,IF(A7='Données projet'!$A$36,'Données projet'!$B$36,N6+M7-V6)))</f>
        <v>3.8231160805681874</v>
      </c>
      <c r="O7" s="13">
        <f>N7*VLOOKUP('Données projet'!$B$9,Paramètres!$A$1:$I$89,3,0)*VLOOKUP('Données projet'!$B$9,Paramètres!$A$1:$I$89,5,0)</f>
        <v>2.2862234161797765</v>
      </c>
      <c r="P7" s="13">
        <f t="shared" si="33"/>
        <v>0.95690609418604067</v>
      </c>
      <c r="Q7" s="20">
        <f t="shared" si="2"/>
        <v>5.6484505638871312</v>
      </c>
      <c r="R7" s="59">
        <f t="shared" si="0"/>
        <v>298.98178389722045</v>
      </c>
      <c r="S7" s="59">
        <f ca="1">AVERAGE(OFFSET($R$3,0,0,'Données projet'!$E$9+1,1))-AVERAGE(OFFSET($H$3,0,0,'Données projet'!$E$9+1,1))</f>
        <v>235.90365770026909</v>
      </c>
      <c r="T7" s="59">
        <f t="shared" si="34"/>
        <v>348.09952585694253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4.0942857142857143</v>
      </c>
      <c r="AI7" s="13">
        <f>IF('Données projet'!$A$62&gt;35,AI6+AH7-AQ6,IF(A7&lt;'Données projet'!$A$62,$AF$205^A7,IF(A7='Données projet'!$A$62,'Données projet'!$B$62,AI6+AH7-AQ6)))</f>
        <v>16.377142857142857</v>
      </c>
      <c r="AJ7" s="13">
        <f>AI7*VLOOKUP('Données projet'!$B$10,Paramètres!$A$1:$I$89,3,0)*VLOOKUP('Données projet'!$B$10,Paramètres!$A$1:$I$89,5,0)</f>
        <v>14.818038857142856</v>
      </c>
      <c r="AK7" s="13">
        <f t="shared" si="35"/>
        <v>4.9895657885731195</v>
      </c>
      <c r="AL7" s="20">
        <f t="shared" si="4"/>
        <v>34.49824475795532</v>
      </c>
      <c r="AM7" s="59">
        <f t="shared" si="5"/>
        <v>327.83157809128863</v>
      </c>
      <c r="AN7" s="59">
        <f ca="1">AVERAGE(OFFSET($AM$3,0,0,'Données projet'!$E$10+1,1))-AVERAGE(OFFSET($H$3,0,0,'Données projet'!$E$10+1,1))</f>
        <v>490.21869105612649</v>
      </c>
      <c r="AO7" s="59">
        <f t="shared" si="36"/>
        <v>207.08773997010911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2.7884615384615379</v>
      </c>
      <c r="BD7" s="12">
        <f>IF('Données projet'!$A$88&gt;35,BD6+BC7-BL6,IF(A7&lt;'Données projet'!$A$88,$BA$205^A7,IF(A7='Données projet'!$A$88,'Données projet'!$B$88,BD6+BC7-BL6)))</f>
        <v>2.2350072222199375</v>
      </c>
      <c r="BE7" s="13">
        <f>BD7*VLOOKUP('Données projet'!$B$11,Paramètres!$A$1:$I$89,3,0)*VLOOKUP('Données projet'!$B$11,Paramètres!$A$1:$I$89,5,0)</f>
        <v>2.3360295486642793</v>
      </c>
      <c r="BF7" s="13">
        <f t="shared" si="37"/>
        <v>0.97530290758905536</v>
      </c>
      <c r="BG7" s="20">
        <f t="shared" si="7"/>
        <v>5.7672373613078918</v>
      </c>
      <c r="BH7" s="59">
        <f t="shared" si="8"/>
        <v>299.10057069464119</v>
      </c>
      <c r="BI7" s="59">
        <f ca="1">AVERAGE(OFFSET($BH$3,0,0,'Données projet'!$E$11+1,1))-AVERAGE(OFFSET($H$3,0,0,'Données projet'!$E$11+1,1))</f>
        <v>144.01698107732989</v>
      </c>
      <c r="BJ7" s="59">
        <f t="shared" si="38"/>
        <v>139.28039875117332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1.3675213675213673</v>
      </c>
      <c r="BY7" s="12">
        <f>IF('Données projet'!$A$114&gt;35,BY6+BX7-CG6,IF(A7&lt;'Données projet'!$A$114,$BV$205^A7,IF(A7='Données projet'!$A$114,'Données projet'!$B$114,BY6+BX7-CG6)))</f>
        <v>2.2380688087865868</v>
      </c>
      <c r="BZ7" s="13">
        <f>BY7*VLOOKUP('Données projet'!$B$12,Paramètres!$A$1:$I$89,3,0)*VLOOKUP('Données projet'!$B$12,Paramètres!$A$1:$I$89,5,0)</f>
        <v>1.8155214176876793</v>
      </c>
      <c r="CA7" s="13">
        <f t="shared" si="39"/>
        <v>0.7805589023729711</v>
      </c>
      <c r="CB7" s="20">
        <f t="shared" si="10"/>
        <v>4.5215065574389657</v>
      </c>
      <c r="CC7" s="59">
        <f t="shared" si="11"/>
        <v>297.85483989077227</v>
      </c>
      <c r="CD7" s="59">
        <f ca="1">AVERAGE(OFFSET($CC$3,0,0,'Données projet'!$E$12+1,1))-AVERAGE(OFFSET($H$3,0,0,'Données projet'!$E$12+1,1))</f>
        <v>72.953866894533007</v>
      </c>
      <c r="CE7" s="59">
        <f t="shared" si="40"/>
        <v>60.640359826163092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4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300.03752578811759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7.8042857142857143</v>
      </c>
      <c r="N8" s="13">
        <f>IF('Données projet'!$A$36&gt;35,N7+M8-V7,IF(A8&lt;'Données projet'!$A$36,$K$205^A8,IF(A8='Données projet'!$A$36,'Données projet'!$B$36,N7+M8-V7)))</f>
        <v>5.3459126191235935</v>
      </c>
      <c r="O8" s="13">
        <f>N8*VLOOKUP('Données projet'!$B$9,Paramètres!$A$1:$I$89,3,0)*VLOOKUP('Données projet'!$B$9,Paramètres!$A$1:$I$89,5,0)</f>
        <v>3.1968557462359088</v>
      </c>
      <c r="P8" s="13">
        <f t="shared" si="33"/>
        <v>1.2868423431983393</v>
      </c>
      <c r="Q8" s="20">
        <f t="shared" si="2"/>
        <v>7.809107505764648</v>
      </c>
      <c r="R8" s="59">
        <f t="shared" si="0"/>
        <v>301.14244083909796</v>
      </c>
      <c r="S8" s="59">
        <f ca="1">AVERAGE(OFFSET($R$3,0,0,'Données projet'!$E$9+1,1))-AVERAGE(OFFSET($H$3,0,0,'Données projet'!$E$9+1,1))</f>
        <v>235.90365770026909</v>
      </c>
      <c r="T8" s="59">
        <f t="shared" si="34"/>
        <v>348.09952585694253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4.0942857142857143</v>
      </c>
      <c r="AI8" s="13">
        <f>IF('Données projet'!$A$62&gt;35,AI7+AH8-AQ7,IF(A8&lt;'Données projet'!$A$62,$AF$205^A8,IF(A8='Données projet'!$A$62,'Données projet'!$B$62,AI7+AH8-AQ7)))</f>
        <v>20.471428571428572</v>
      </c>
      <c r="AJ8" s="13">
        <f>AI8*VLOOKUP('Données projet'!$B$10,Paramètres!$A$1:$I$89,3,0)*VLOOKUP('Données projet'!$B$10,Paramètres!$A$1:$I$89,5,0)</f>
        <v>18.522548571428572</v>
      </c>
      <c r="AK8" s="13">
        <f t="shared" si="35"/>
        <v>6.0770448389896208</v>
      </c>
      <c r="AL8" s="20">
        <f t="shared" si="4"/>
        <v>42.84429185647835</v>
      </c>
      <c r="AM8" s="59">
        <f t="shared" si="5"/>
        <v>336.17762518981169</v>
      </c>
      <c r="AN8" s="59">
        <f ca="1">AVERAGE(OFFSET($AM$3,0,0,'Données projet'!$E$10+1,1))-AVERAGE(OFFSET($H$3,0,0,'Données projet'!$E$10+1,1))</f>
        <v>490.21869105612649</v>
      </c>
      <c r="AO8" s="59">
        <f t="shared" si="36"/>
        <v>207.08773997010911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2.7884615384615379</v>
      </c>
      <c r="BD8" s="12">
        <f>IF('Données projet'!$A$88&gt;35,BD7+BC8-BL7,IF(A8&lt;'Données projet'!$A$88,$BA$205^A8,IF(A8='Données projet'!$A$88,'Données projet'!$B$88,BD7+BC8-BL7)))</f>
        <v>2.7327422011702405</v>
      </c>
      <c r="BE8" s="13">
        <f>BD8*VLOOKUP('Données projet'!$B$11,Paramètres!$A$1:$I$89,3,0)*VLOOKUP('Données projet'!$B$11,Paramètres!$A$1:$I$89,5,0)</f>
        <v>2.8562621486631357</v>
      </c>
      <c r="BF8" s="13">
        <f t="shared" si="37"/>
        <v>1.1649176750359156</v>
      </c>
      <c r="BG8" s="20">
        <f t="shared" si="7"/>
        <v>7.0035548596091806</v>
      </c>
      <c r="BH8" s="59">
        <f t="shared" si="8"/>
        <v>300.33688819294247</v>
      </c>
      <c r="BI8" s="59">
        <f ca="1">AVERAGE(OFFSET($BH$3,0,0,'Données projet'!$E$11+1,1))-AVERAGE(OFFSET($H$3,0,0,'Données projet'!$E$11+1,1))</f>
        <v>144.01698107732989</v>
      </c>
      <c r="BJ8" s="59">
        <f t="shared" si="38"/>
        <v>139.28039875117332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1.3675213675213673</v>
      </c>
      <c r="BY8" s="12">
        <f>IF('Données projet'!$A$114&gt;35,BY7+BX8-CG7,IF(A8&lt;'Données projet'!$A$114,$BV$205^A8,IF(A8='Données projet'!$A$114,'Données projet'!$B$114,BY7+BX8-CG7)))</f>
        <v>2.7374222525548308</v>
      </c>
      <c r="BZ8" s="13">
        <f>BY8*VLOOKUP('Données projet'!$B$12,Paramètres!$A$1:$I$89,3,0)*VLOOKUP('Données projet'!$B$12,Paramètres!$A$1:$I$89,5,0)</f>
        <v>2.2205969312724791</v>
      </c>
      <c r="CA8" s="13">
        <f t="shared" si="39"/>
        <v>0.93259422755625287</v>
      </c>
      <c r="CB8" s="20">
        <f t="shared" si="10"/>
        <v>5.4918079349600406</v>
      </c>
      <c r="CC8" s="59">
        <f t="shared" si="11"/>
        <v>298.82514126829335</v>
      </c>
      <c r="CD8" s="59">
        <f ca="1">AVERAGE(OFFSET($CC$3,0,0,'Données projet'!$E$12+1,1))-AVERAGE(OFFSET($H$3,0,0,'Données projet'!$E$12+1,1))</f>
        <v>72.953866894533007</v>
      </c>
      <c r="CE8" s="59">
        <f t="shared" si="40"/>
        <v>60.640359826163092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4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301.3292415520861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7.8042857142857143</v>
      </c>
      <c r="N9" s="13">
        <f>IF('Données projet'!$A$36&gt;35,N8+M9-V8,IF(A9&lt;'Données projet'!$A$36,$K$205^A9,IF(A9='Données projet'!$A$36,'Données projet'!$B$36,N8+M9-V8)))</f>
        <v>7.4752586971038379</v>
      </c>
      <c r="O9" s="13">
        <f>N9*VLOOKUP('Données projet'!$B$9,Paramètres!$A$1:$I$89,3,0)*VLOOKUP('Données projet'!$B$9,Paramètres!$A$1:$I$89,5,0)</f>
        <v>4.470204700868095</v>
      </c>
      <c r="P9" s="13">
        <f t="shared" si="33"/>
        <v>1.7305388964596169</v>
      </c>
      <c r="Q9" s="20">
        <f t="shared" si="2"/>
        <v>10.799628432012431</v>
      </c>
      <c r="R9" s="59">
        <f t="shared" si="0"/>
        <v>304.13296176534573</v>
      </c>
      <c r="S9" s="59">
        <f ca="1">AVERAGE(OFFSET($R$3,0,0,'Données projet'!$E$9+1,1))-AVERAGE(OFFSET($H$3,0,0,'Données projet'!$E$9+1,1))</f>
        <v>235.90365770026909</v>
      </c>
      <c r="T9" s="59">
        <f t="shared" si="34"/>
        <v>348.09952585694253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4.0942857142857143</v>
      </c>
      <c r="AI9" s="13">
        <f>IF('Données projet'!$A$62&gt;35,AI8+AH9-AQ8,IF(A9&lt;'Données projet'!$A$62,$AF$205^A9,IF(A9='Données projet'!$A$62,'Données projet'!$B$62,AI8+AH9-AQ8)))</f>
        <v>24.565714285714286</v>
      </c>
      <c r="AJ9" s="13">
        <f>AI9*VLOOKUP('Données projet'!$B$10,Paramètres!$A$1:$I$89,3,0)*VLOOKUP('Données projet'!$B$10,Paramètres!$A$1:$I$89,5,0)</f>
        <v>22.227058285714286</v>
      </c>
      <c r="AK9" s="13">
        <f t="shared" si="35"/>
        <v>7.1393223235836674</v>
      </c>
      <c r="AL9" s="20">
        <f t="shared" si="4"/>
        <v>51.146446227860601</v>
      </c>
      <c r="AM9" s="59">
        <f t="shared" si="5"/>
        <v>344.47977956119394</v>
      </c>
      <c r="AN9" s="59">
        <f ca="1">AVERAGE(OFFSET($AM$3,0,0,'Données projet'!$E$10+1,1))-AVERAGE(OFFSET($H$3,0,0,'Données projet'!$E$10+1,1))</f>
        <v>490.21869105612649</v>
      </c>
      <c r="AO9" s="59">
        <f t="shared" si="36"/>
        <v>207.08773997010911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2.7884615384615379</v>
      </c>
      <c r="BD9" s="12">
        <f>IF('Données projet'!$A$88&gt;35,BD8+BC9-BL8,IF(A9&lt;'Données projet'!$A$88,$BA$205^A9,IF(A9='Données projet'!$A$88,'Données projet'!$B$88,BD8+BC9-BL8)))</f>
        <v>3.3413225084074867</v>
      </c>
      <c r="BE9" s="13">
        <f>BD9*VLOOKUP('Données projet'!$B$11,Paramètres!$A$1:$I$89,3,0)*VLOOKUP('Données projet'!$B$11,Paramètres!$A$1:$I$89,5,0)</f>
        <v>3.4923502857875053</v>
      </c>
      <c r="BF9" s="13">
        <f t="shared" si="37"/>
        <v>1.3913966410350027</v>
      </c>
      <c r="BG9" s="20">
        <f t="shared" si="7"/>
        <v>8.5058592308825336</v>
      </c>
      <c r="BH9" s="59">
        <f t="shared" si="8"/>
        <v>301.83919256421586</v>
      </c>
      <c r="BI9" s="59">
        <f ca="1">AVERAGE(OFFSET($BH$3,0,0,'Données projet'!$E$11+1,1))-AVERAGE(OFFSET($H$3,0,0,'Données projet'!$E$11+1,1))</f>
        <v>144.01698107732989</v>
      </c>
      <c r="BJ9" s="59">
        <f t="shared" si="38"/>
        <v>139.28039875117332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1.3675213675213673</v>
      </c>
      <c r="BY9" s="12">
        <f>IF('Données projet'!$A$114&gt;35,BY8+BX9-CG8,IF(A9&lt;'Données projet'!$A$114,$BV$205^A9,IF(A9='Données projet'!$A$114,'Données projet'!$B$114,BY8+BX9-CG8)))</f>
        <v>3.3481904396161539</v>
      </c>
      <c r="BZ9" s="13">
        <f>BY9*VLOOKUP('Données projet'!$B$12,Paramètres!$A$1:$I$89,3,0)*VLOOKUP('Données projet'!$B$12,Paramètres!$A$1:$I$89,5,0)</f>
        <v>2.7160520846166243</v>
      </c>
      <c r="CA9" s="13">
        <f t="shared" si="39"/>
        <v>1.1142426159347851</v>
      </c>
      <c r="CB9" s="20">
        <f t="shared" si="10"/>
        <v>6.6710966034603709</v>
      </c>
      <c r="CC9" s="59">
        <f t="shared" si="11"/>
        <v>300.00442993679371</v>
      </c>
      <c r="CD9" s="59">
        <f ca="1">AVERAGE(OFFSET($CC$3,0,0,'Données projet'!$E$12+1,1))-AVERAGE(OFFSET($H$3,0,0,'Données projet'!$E$12+1,1))</f>
        <v>72.953866894533007</v>
      </c>
      <c r="CE9" s="59">
        <f t="shared" si="40"/>
        <v>60.640359826163092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4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302.6143780343051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7.8042857142857143</v>
      </c>
      <c r="N10" s="13">
        <f>IF('Données projet'!$A$36&gt;35,N9+M10-V9,IF(A10&lt;'Données projet'!$A$36,$K$205^A10,IF(A10='Données projet'!$A$36,'Données projet'!$B$36,N9+M10-V9)))</f>
        <v>10.452750834110608</v>
      </c>
      <c r="O10" s="13">
        <f>N10*VLOOKUP('Données projet'!$B$9,Paramètres!$A$1:$I$89,3,0)*VLOOKUP('Données projet'!$B$9,Paramètres!$A$1:$I$89,5,0)</f>
        <v>6.2507449987981438</v>
      </c>
      <c r="P10" s="13">
        <f t="shared" si="33"/>
        <v>2.3272197157551022</v>
      </c>
      <c r="Q10" s="20">
        <f t="shared" si="2"/>
        <v>14.939955211180235</v>
      </c>
      <c r="R10" s="59">
        <f t="shared" si="0"/>
        <v>308.27328854451355</v>
      </c>
      <c r="S10" s="59">
        <f ca="1">AVERAGE(OFFSET($R$3,0,0,'Données projet'!$E$9+1,1))-AVERAGE(OFFSET($H$3,0,0,'Données projet'!$E$9+1,1))</f>
        <v>235.90365770026909</v>
      </c>
      <c r="T10" s="59">
        <f t="shared" si="34"/>
        <v>348.09952585694253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4.0942857142857143</v>
      </c>
      <c r="AI10" s="13">
        <f>IF('Données projet'!$A$62&gt;35,AI9+AH10-AQ9,IF(A10&lt;'Données projet'!$A$62,$AF$205^A10,IF(A10='Données projet'!$A$62,'Données projet'!$B$62,AI9+AH10-AQ9)))</f>
        <v>28.66</v>
      </c>
      <c r="AJ10" s="13">
        <f>AI10*VLOOKUP('Données projet'!$B$10,Paramètres!$A$1:$I$89,3,0)*VLOOKUP('Données projet'!$B$10,Paramètres!$A$1:$I$89,5,0)</f>
        <v>25.931567999999999</v>
      </c>
      <c r="AK10" s="13">
        <f t="shared" si="35"/>
        <v>8.1810900516051337</v>
      </c>
      <c r="AL10" s="20">
        <f t="shared" si="4"/>
        <v>59.412879439878935</v>
      </c>
      <c r="AM10" s="59">
        <f t="shared" si="5"/>
        <v>352.74621277321228</v>
      </c>
      <c r="AN10" s="59">
        <f ca="1">AVERAGE(OFFSET($AM$3,0,0,'Données projet'!$E$10+1,1))-AVERAGE(OFFSET($H$3,0,0,'Données projet'!$E$10+1,1))</f>
        <v>490.21869105612649</v>
      </c>
      <c r="AO10" s="59">
        <f t="shared" si="36"/>
        <v>207.08773997010911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2.7884615384615379</v>
      </c>
      <c r="BD10" s="12">
        <f>IF('Données projet'!$A$88&gt;35,BD9+BC10-BL9,IF(A10&lt;'Données projet'!$A$88,$BA$205^A10,IF(A10='Données projet'!$A$88,'Données projet'!$B$88,BD9+BC10-BL9)))</f>
        <v>4.085433342526624</v>
      </c>
      <c r="BE10" s="13">
        <f>BD10*VLOOKUP('Données projet'!$B$11,Paramètres!$A$1:$I$89,3,0)*VLOOKUP('Données projet'!$B$11,Paramètres!$A$1:$I$89,5,0)</f>
        <v>4.2700949296088275</v>
      </c>
      <c r="BF10" s="13">
        <f t="shared" si="37"/>
        <v>1.661906806095804</v>
      </c>
      <c r="BG10" s="20">
        <f t="shared" si="7"/>
        <v>10.331569689685564</v>
      </c>
      <c r="BH10" s="59">
        <f t="shared" si="8"/>
        <v>303.66490302301889</v>
      </c>
      <c r="BI10" s="59">
        <f ca="1">AVERAGE(OFFSET($BH$3,0,0,'Données projet'!$E$11+1,1))-AVERAGE(OFFSET($H$3,0,0,'Données projet'!$E$11+1,1))</f>
        <v>144.01698107732989</v>
      </c>
      <c r="BJ10" s="59">
        <f t="shared" si="38"/>
        <v>139.28039875117332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1.3675213675213673</v>
      </c>
      <c r="BY10" s="12">
        <f>IF('Données projet'!$A$114&gt;35,BY9+BX10-CG9,IF(A10&lt;'Données projet'!$A$114,$BV$205^A10,IF(A10='Données projet'!$A$114,'Données projet'!$B$114,BY9+BX10-CG9)))</f>
        <v>4.0952320050274995</v>
      </c>
      <c r="BZ10" s="13">
        <f>BY10*VLOOKUP('Données projet'!$B$12,Paramètres!$A$1:$I$89,3,0)*VLOOKUP('Données projet'!$B$12,Paramètres!$A$1:$I$89,5,0)</f>
        <v>3.3220522024783077</v>
      </c>
      <c r="CA10" s="13">
        <f t="shared" si="39"/>
        <v>1.3312720264401436</v>
      </c>
      <c r="CB10" s="20">
        <f t="shared" si="10"/>
        <v>8.1045396986996359</v>
      </c>
      <c r="CC10" s="59">
        <f t="shared" si="11"/>
        <v>301.43787303203294</v>
      </c>
      <c r="CD10" s="59">
        <f ca="1">AVERAGE(OFFSET($CC$3,0,0,'Données projet'!$E$12+1,1))-AVERAGE(OFFSET($H$3,0,0,'Données projet'!$E$12+1,1))</f>
        <v>72.953866894533007</v>
      </c>
      <c r="CE10" s="59">
        <f t="shared" si="40"/>
        <v>60.640359826163092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4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303.89398357937728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7.8042857142857143</v>
      </c>
      <c r="N11" s="13">
        <f>IF('Données projet'!$A$36&gt;35,N10+M11-V10,IF(A11&lt;'Données projet'!$A$36,$K$205^A11,IF(A11='Données projet'!$A$36,'Données projet'!$B$36,N10+M11-V10)))</f>
        <v>14.616216565499059</v>
      </c>
      <c r="O11" s="13">
        <f>N11*VLOOKUP('Données projet'!$B$9,Paramètres!$A$1:$I$89,3,0)*VLOOKUP('Données projet'!$B$9,Paramètres!$A$1:$I$89,5,0)</f>
        <v>8.7404975061684382</v>
      </c>
      <c r="P11" s="13">
        <f t="shared" si="33"/>
        <v>3.1296329810785282</v>
      </c>
      <c r="Q11" s="20">
        <f t="shared" si="2"/>
        <v>20.673810598621799</v>
      </c>
      <c r="R11" s="59">
        <f t="shared" si="0"/>
        <v>314.00714393195511</v>
      </c>
      <c r="S11" s="59">
        <f ca="1">AVERAGE(OFFSET($R$3,0,0,'Données projet'!$E$9+1,1))-AVERAGE(OFFSET($H$3,0,0,'Données projet'!$E$9+1,1))</f>
        <v>235.90365770026909</v>
      </c>
      <c r="T11" s="59">
        <f t="shared" si="34"/>
        <v>348.09952585694253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4.0942857142857143</v>
      </c>
      <c r="AI11" s="13">
        <f>IF('Données projet'!$A$62&gt;35,AI10+AH11-AQ10,IF(A11&lt;'Données projet'!$A$62,$AF$205^A11,IF(A11='Données projet'!$A$62,'Données projet'!$B$62,AI10+AH11-AQ10)))</f>
        <v>32.754285714285714</v>
      </c>
      <c r="AJ11" s="13">
        <f>AI11*VLOOKUP('Données projet'!$B$10,Paramètres!$A$1:$I$89,3,0)*VLOOKUP('Données projet'!$B$10,Paramètres!$A$1:$I$89,5,0)</f>
        <v>29.636077714285712</v>
      </c>
      <c r="AK11" s="13">
        <f t="shared" si="35"/>
        <v>9.205616053429063</v>
      </c>
      <c r="AL11" s="20">
        <f t="shared" si="4"/>
        <v>67.649283312103222</v>
      </c>
      <c r="AM11" s="59">
        <f t="shared" si="5"/>
        <v>360.98261664543656</v>
      </c>
      <c r="AN11" s="59">
        <f ca="1">AVERAGE(OFFSET($AM$3,0,0,'Données projet'!$E$10+1,1))-AVERAGE(OFFSET($H$3,0,0,'Données projet'!$E$10+1,1))</f>
        <v>490.21869105612649</v>
      </c>
      <c r="AO11" s="59">
        <f t="shared" si="36"/>
        <v>207.08773997010911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2.7884615384615379</v>
      </c>
      <c r="BD11" s="12">
        <f>IF('Données projet'!$A$88&gt;35,BD10+BC11-BL10,IF(A11&lt;'Données projet'!$A$88,$BA$205^A11,IF(A11='Données projet'!$A$88,'Données projet'!$B$88,BD10+BC11-BL10)))</f>
        <v>4.9952572833752811</v>
      </c>
      <c r="BE11" s="13">
        <f>BD11*VLOOKUP('Données projet'!$B$11,Paramètres!$A$1:$I$89,3,0)*VLOOKUP('Données projet'!$B$11,Paramètres!$A$1:$I$89,5,0)</f>
        <v>5.2210429125838447</v>
      </c>
      <c r="BF11" s="13">
        <f t="shared" si="37"/>
        <v>1.9850085523370726</v>
      </c>
      <c r="BG11" s="20">
        <f t="shared" si="7"/>
        <v>12.550539634737264</v>
      </c>
      <c r="BH11" s="59">
        <f t="shared" si="8"/>
        <v>305.88387296807059</v>
      </c>
      <c r="BI11" s="59">
        <f ca="1">AVERAGE(OFFSET($BH$3,0,0,'Données projet'!$E$11+1,1))-AVERAGE(OFFSET($H$3,0,0,'Données projet'!$E$11+1,1))</f>
        <v>144.01698107732989</v>
      </c>
      <c r="BJ11" s="59">
        <f t="shared" si="38"/>
        <v>139.28039875117332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1.3675213675213673</v>
      </c>
      <c r="BY11" s="12">
        <f>IF('Données projet'!$A$114&gt;35,BY10+BX11-CG10,IF(A11&lt;'Données projet'!$A$114,$BV$205^A11,IF(A11='Données projet'!$A$114,'Données projet'!$B$114,BY10+BX11-CG10)))</f>
        <v>5.0089519928634116</v>
      </c>
      <c r="BZ11" s="13">
        <f>BY11*VLOOKUP('Données projet'!$B$12,Paramètres!$A$1:$I$89,3,0)*VLOOKUP('Données projet'!$B$12,Paramètres!$A$1:$I$89,5,0)</f>
        <v>4.0632618566107999</v>
      </c>
      <c r="CA11" s="13">
        <f t="shared" si="39"/>
        <v>1.5905738867250216</v>
      </c>
      <c r="CB11" s="20">
        <f t="shared" si="10"/>
        <v>9.847097252976555</v>
      </c>
      <c r="CC11" s="59">
        <f t="shared" si="11"/>
        <v>303.18043058630985</v>
      </c>
      <c r="CD11" s="59">
        <f ca="1">AVERAGE(OFFSET($CC$3,0,0,'Données projet'!$E$12+1,1))-AVERAGE(OFFSET($H$3,0,0,'Données projet'!$E$12+1,1))</f>
        <v>72.953866894533007</v>
      </c>
      <c r="CE11" s="59">
        <f t="shared" si="40"/>
        <v>60.640359826163092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4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305.16882873392143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7.8042857142857143</v>
      </c>
      <c r="N12" s="13">
        <f>IF('Données projet'!$A$36&gt;35,N11+M12-V11,IF(A12&lt;'Données projet'!$A$36,$K$205^A12,IF(A12='Données projet'!$A$36,'Données projet'!$B$36,N11+M12-V11)))</f>
        <v>20.438044499483805</v>
      </c>
      <c r="O12" s="13">
        <f>N12*VLOOKUP('Données projet'!$B$9,Paramètres!$A$1:$I$89,3,0)*VLOOKUP('Données projet'!$B$9,Paramètres!$A$1:$I$89,5,0)</f>
        <v>12.221950610691318</v>
      </c>
      <c r="P12" s="13">
        <f t="shared" si="33"/>
        <v>4.2087141707960605</v>
      </c>
      <c r="Q12" s="20">
        <f t="shared" si="2"/>
        <v>28.616741161090516</v>
      </c>
      <c r="R12" s="59">
        <f t="shared" si="0"/>
        <v>321.9500744944238</v>
      </c>
      <c r="S12" s="59">
        <f ca="1">AVERAGE(OFFSET($R$3,0,0,'Données projet'!$E$9+1,1))-AVERAGE(OFFSET($H$3,0,0,'Données projet'!$E$9+1,1))</f>
        <v>235.90365770026909</v>
      </c>
      <c r="T12" s="59">
        <f t="shared" si="34"/>
        <v>348.09952585694253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4.0942857142857143</v>
      </c>
      <c r="AI12" s="13">
        <f>IF('Données projet'!$A$62&gt;35,AI11+AH12-AQ11,IF(A12&lt;'Données projet'!$A$62,$AF$205^A12,IF(A12='Données projet'!$A$62,'Données projet'!$B$62,AI11+AH12-AQ11)))</f>
        <v>36.848571428571432</v>
      </c>
      <c r="AJ12" s="13">
        <f>AI12*VLOOKUP('Données projet'!$B$10,Paramètres!$A$1:$I$89,3,0)*VLOOKUP('Données projet'!$B$10,Paramètres!$A$1:$I$89,5,0)</f>
        <v>33.340587428571432</v>
      </c>
      <c r="AK12" s="13">
        <f t="shared" si="35"/>
        <v>10.215302372953809</v>
      </c>
      <c r="AL12" s="20">
        <f t="shared" si="4"/>
        <v>75.85984140432312</v>
      </c>
      <c r="AM12" s="59">
        <f t="shared" si="5"/>
        <v>369.19317473765642</v>
      </c>
      <c r="AN12" s="59">
        <f ca="1">AVERAGE(OFFSET($AM$3,0,0,'Données projet'!$E$10+1,1))-AVERAGE(OFFSET($H$3,0,0,'Données projet'!$E$10+1,1))</f>
        <v>490.21869105612649</v>
      </c>
      <c r="AO12" s="59">
        <f t="shared" si="36"/>
        <v>207.08773997010911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2.7884615384615379</v>
      </c>
      <c r="BD12" s="12">
        <f>IF('Données projet'!$A$88&gt;35,BD11+BC12-BL11,IF(A12&lt;'Données projet'!$A$88,$BA$205^A12,IF(A12='Données projet'!$A$88,'Données projet'!$B$88,BD11+BC12-BL11)))</f>
        <v>6.1076985560806971</v>
      </c>
      <c r="BE12" s="13">
        <f>BD12*VLOOKUP('Données projet'!$B$11,Paramètres!$A$1:$I$89,3,0)*VLOOKUP('Données projet'!$B$11,Paramètres!$A$1:$I$89,5,0)</f>
        <v>6.3837665308155458</v>
      </c>
      <c r="BF12" s="13">
        <f t="shared" si="37"/>
        <v>2.3709265395620363</v>
      </c>
      <c r="BG12" s="20">
        <f t="shared" si="7"/>
        <v>15.247757097574288</v>
      </c>
      <c r="BH12" s="59">
        <f t="shared" si="8"/>
        <v>308.58109043090758</v>
      </c>
      <c r="BI12" s="59">
        <f ca="1">AVERAGE(OFFSET($BH$3,0,0,'Données projet'!$E$11+1,1))-AVERAGE(OFFSET($H$3,0,0,'Données projet'!$E$11+1,1))</f>
        <v>144.01698107732989</v>
      </c>
      <c r="BJ12" s="59">
        <f t="shared" si="38"/>
        <v>139.28039875117332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1.3675213675213673</v>
      </c>
      <c r="BY12" s="12">
        <f>IF('Données projet'!$A$114&gt;35,BY11+BX12-CG11,IF(A12&lt;'Données projet'!$A$114,$BV$205^A12,IF(A12='Données projet'!$A$114,'Données projet'!$B$114,BY11+BX12-CG11)))</f>
        <v>6.1265393599212858</v>
      </c>
      <c r="BZ12" s="13">
        <f>BY12*VLOOKUP('Données projet'!$B$12,Paramètres!$A$1:$I$89,3,0)*VLOOKUP('Données projet'!$B$12,Paramètres!$A$1:$I$89,5,0)</f>
        <v>4.969848728768147</v>
      </c>
      <c r="CA12" s="13">
        <f t="shared" si="39"/>
        <v>1.9003819196115979</v>
      </c>
      <c r="CB12" s="20">
        <f t="shared" si="10"/>
        <v>11.965651712594722</v>
      </c>
      <c r="CC12" s="59">
        <f t="shared" si="11"/>
        <v>305.29898504592802</v>
      </c>
      <c r="CD12" s="59">
        <f ca="1">AVERAGE(OFFSET($CC$3,0,0,'Données projet'!$E$12+1,1))-AVERAGE(OFFSET($H$3,0,0,'Données projet'!$E$12+1,1))</f>
        <v>72.953866894533007</v>
      </c>
      <c r="CE12" s="59">
        <f t="shared" si="40"/>
        <v>60.640359826163092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4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306.43950276659285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7.8042857142857143</v>
      </c>
      <c r="N13" s="13">
        <f>IF('Données projet'!$A$36&gt;35,N12+M13-V12,IF(A13&lt;'Données projet'!$A$36,$K$205^A13,IF(A13='Données projet'!$A$36,'Données projet'!$B$36,N12+M13-V12)))</f>
        <v>28.578781731304879</v>
      </c>
      <c r="O13" s="13">
        <f>N13*VLOOKUP('Données projet'!$B$9,Paramètres!$A$1:$I$89,3,0)*VLOOKUP('Données projet'!$B$9,Paramètres!$A$1:$I$89,5,0)</f>
        <v>17.090111475320317</v>
      </c>
      <c r="P13" s="13">
        <f t="shared" si="33"/>
        <v>5.6598569476204972</v>
      </c>
      <c r="Q13" s="20">
        <f t="shared" si="2"/>
        <v>39.622861669955249</v>
      </c>
      <c r="R13" s="59">
        <f t="shared" si="0"/>
        <v>332.95619500328854</v>
      </c>
      <c r="S13" s="59">
        <f ca="1">AVERAGE(OFFSET($R$3,0,0,'Données projet'!$E$9+1,1))-AVERAGE(OFFSET($H$3,0,0,'Données projet'!$E$9+1,1))</f>
        <v>235.90365770026909</v>
      </c>
      <c r="T13" s="59">
        <f t="shared" si="34"/>
        <v>348.09952585694253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4.0942857142857143</v>
      </c>
      <c r="AI13" s="13">
        <f>IF('Données projet'!$A$62&gt;35,AI12+AH13-AQ12,IF(A13&lt;'Données projet'!$A$62,$AF$205^A13,IF(A13='Données projet'!$A$62,'Données projet'!$B$62,AI12+AH13-AQ12)))</f>
        <v>40.94285714285715</v>
      </c>
      <c r="AJ13" s="13">
        <f>AI13*VLOOKUP('Données projet'!$B$10,Paramètres!$A$1:$I$89,3,0)*VLOOKUP('Données projet'!$B$10,Paramètres!$A$1:$I$89,5,0)</f>
        <v>37.045097142857145</v>
      </c>
      <c r="AK13" s="13">
        <f t="shared" si="35"/>
        <v>11.211985951829543</v>
      </c>
      <c r="AL13" s="20">
        <f t="shared" si="4"/>
        <v>84.04775305657931</v>
      </c>
      <c r="AM13" s="59">
        <f t="shared" si="5"/>
        <v>377.38108638991264</v>
      </c>
      <c r="AN13" s="59">
        <f ca="1">AVERAGE(OFFSET($AM$3,0,0,'Données projet'!$E$10+1,1))-AVERAGE(OFFSET($H$3,0,0,'Données projet'!$E$10+1,1))</f>
        <v>490.21869105612649</v>
      </c>
      <c r="AO13" s="59">
        <f t="shared" si="36"/>
        <v>207.08773997010911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2.7884615384615379</v>
      </c>
      <c r="BD13" s="12">
        <f>IF('Données projet'!$A$88&gt;35,BD12+BC13-BL12,IF(A13&lt;'Données projet'!$A$88,$BA$205^A13,IF(A13='Données projet'!$A$88,'Données projet'!$B$88,BD12+BC13-BL12)))</f>
        <v>7.4678799380567709</v>
      </c>
      <c r="BE13" s="13">
        <f>BD13*VLOOKUP('Données projet'!$B$11,Paramètres!$A$1:$I$89,3,0)*VLOOKUP('Données projet'!$B$11,Paramètres!$A$1:$I$89,5,0)</f>
        <v>7.8054281112569379</v>
      </c>
      <c r="BF13" s="13">
        <f t="shared" si="37"/>
        <v>2.8318732679420031</v>
      </c>
      <c r="BG13" s="20">
        <f t="shared" si="7"/>
        <v>18.526633235438158</v>
      </c>
      <c r="BH13" s="59">
        <f t="shared" si="8"/>
        <v>311.85996656877148</v>
      </c>
      <c r="BI13" s="59">
        <f ca="1">AVERAGE(OFFSET($BH$3,0,0,'Données projet'!$E$11+1,1))-AVERAGE(OFFSET($H$3,0,0,'Données projet'!$E$11+1,1))</f>
        <v>144.01698107732989</v>
      </c>
      <c r="BJ13" s="59">
        <f t="shared" si="38"/>
        <v>139.28039875117332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1.3675213675213673</v>
      </c>
      <c r="BY13" s="12">
        <f>IF('Données projet'!$A$114&gt;35,BY12+BX13-CG12,IF(A13&lt;'Données projet'!$A$114,$BV$205^A13,IF(A13='Données projet'!$A$114,'Données projet'!$B$114,BY12+BX13-CG12)))</f>
        <v>7.4934805887823641</v>
      </c>
      <c r="BZ13" s="13">
        <f>BY13*VLOOKUP('Données projet'!$B$12,Paramètres!$A$1:$I$89,3,0)*VLOOKUP('Données projet'!$B$12,Paramètres!$A$1:$I$89,5,0)</f>
        <v>6.0787114536202536</v>
      </c>
      <c r="CA13" s="13">
        <f t="shared" si="39"/>
        <v>2.2705335920122574</v>
      </c>
      <c r="CB13" s="20">
        <f t="shared" si="10"/>
        <v>14.541601787809954</v>
      </c>
      <c r="CC13" s="59">
        <f t="shared" si="11"/>
        <v>307.87493512114327</v>
      </c>
      <c r="CD13" s="59">
        <f ca="1">AVERAGE(OFFSET($CC$3,0,0,'Données projet'!$E$12+1,1))-AVERAGE(OFFSET($H$3,0,0,'Données projet'!$E$12+1,1))</f>
        <v>72.953866894533007</v>
      </c>
      <c r="CE13" s="59">
        <f t="shared" si="40"/>
        <v>60.640359826163092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4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307.70647027243518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7.8042857142857143</v>
      </c>
      <c r="N14" s="13">
        <f>IF('Données projet'!$A$36&gt;35,N13+M14-V13,IF(A14&lt;'Données projet'!$A$36,$K$205^A14,IF(A14='Données projet'!$A$36,'Données projet'!$B$36,N13+M14-V13)))</f>
        <v>39.962079800060799</v>
      </c>
      <c r="O14" s="13">
        <f>N14*VLOOKUP('Données projet'!$B$9,Paramètres!$A$1:$I$89,3,0)*VLOOKUP('Données projet'!$B$9,Paramètres!$A$1:$I$89,5,0)</f>
        <v>23.897323720436361</v>
      </c>
      <c r="P14" s="13">
        <f t="shared" si="33"/>
        <v>7.6113462134847136</v>
      </c>
      <c r="Q14" s="20">
        <f t="shared" si="2"/>
        <v>54.877600134912541</v>
      </c>
      <c r="R14" s="59">
        <f t="shared" si="0"/>
        <v>348.21093346824586</v>
      </c>
      <c r="S14" s="59">
        <f ca="1">AVERAGE(OFFSET($R$3,0,0,'Données projet'!$E$9+1,1))-AVERAGE(OFFSET($H$3,0,0,'Données projet'!$E$9+1,1))</f>
        <v>235.90365770026909</v>
      </c>
      <c r="T14" s="59">
        <f t="shared" si="34"/>
        <v>348.09952585694253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4.0942857142857143</v>
      </c>
      <c r="AI14" s="13">
        <f>IF('Données projet'!$A$62&gt;35,AI13+AH14-AQ13,IF(A14&lt;'Données projet'!$A$62,$AF$205^A14,IF(A14='Données projet'!$A$62,'Données projet'!$B$62,AI13+AH14-AQ13)))</f>
        <v>45.037142857142868</v>
      </c>
      <c r="AJ14" s="13">
        <f>AI14*VLOOKUP('Données projet'!$B$10,Paramètres!$A$1:$I$89,3,0)*VLOOKUP('Données projet'!$B$10,Paramètres!$A$1:$I$89,5,0)</f>
        <v>40.749606857142865</v>
      </c>
      <c r="AK14" s="13">
        <f t="shared" si="35"/>
        <v>12.197115083595657</v>
      </c>
      <c r="AL14" s="20">
        <f t="shared" si="4"/>
        <v>92.215540713452924</v>
      </c>
      <c r="AM14" s="59">
        <f t="shared" si="5"/>
        <v>385.54887404678624</v>
      </c>
      <c r="AN14" s="59">
        <f ca="1">AVERAGE(OFFSET($AM$3,0,0,'Données projet'!$E$10+1,1))-AVERAGE(OFFSET($H$3,0,0,'Données projet'!$E$10+1,1))</f>
        <v>490.21869105612649</v>
      </c>
      <c r="AO14" s="59">
        <f t="shared" si="36"/>
        <v>207.08773997010911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2.7884615384615379</v>
      </c>
      <c r="BD14" s="12">
        <f>IF('Données projet'!$A$88&gt;35,BD13+BC14-BL13,IF(A14&lt;'Données projet'!$A$88,$BA$205^A14,IF(A14='Données projet'!$A$88,'Données projet'!$B$88,BD13+BC14-BL13)))</f>
        <v>9.1309730264451439</v>
      </c>
      <c r="BE14" s="13">
        <f>BD14*VLOOKUP('Données projet'!$B$11,Paramètres!$A$1:$I$89,3,0)*VLOOKUP('Données projet'!$B$11,Paramètres!$A$1:$I$89,5,0)</f>
        <v>9.5436930072404653</v>
      </c>
      <c r="BF14" s="13">
        <f t="shared" si="37"/>
        <v>3.3824355465546851</v>
      </c>
      <c r="BG14" s="20">
        <f t="shared" si="7"/>
        <v>22.513007231193217</v>
      </c>
      <c r="BH14" s="59">
        <f t="shared" si="8"/>
        <v>315.84634056452654</v>
      </c>
      <c r="BI14" s="59">
        <f ca="1">AVERAGE(OFFSET($BH$3,0,0,'Données projet'!$E$11+1,1))-AVERAGE(OFFSET($H$3,0,0,'Données projet'!$E$11+1,1))</f>
        <v>144.01698107732989</v>
      </c>
      <c r="BJ14" s="59">
        <f t="shared" si="38"/>
        <v>139.28039875117332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1.3675213675213673</v>
      </c>
      <c r="BY14" s="12">
        <f>IF('Données projet'!$A$114&gt;35,BY13+BX14-CG13,IF(A14&lt;'Données projet'!$A$114,$BV$205^A14,IF(A14='Données projet'!$A$114,'Données projet'!$B$114,BY13+BX14-CG13)))</f>
        <v>9.165411015196602</v>
      </c>
      <c r="BZ14" s="13">
        <f>BY14*VLOOKUP('Données projet'!$B$12,Paramètres!$A$1:$I$89,3,0)*VLOOKUP('Données projet'!$B$12,Paramètres!$A$1:$I$89,5,0)</f>
        <v>7.4349814155274832</v>
      </c>
      <c r="CA14" s="13">
        <f t="shared" si="39"/>
        <v>2.7127824882220177</v>
      </c>
      <c r="CB14" s="20">
        <f t="shared" si="10"/>
        <v>17.674022132363714</v>
      </c>
      <c r="CC14" s="59">
        <f t="shared" si="11"/>
        <v>311.007355465697</v>
      </c>
      <c r="CD14" s="59">
        <f ca="1">AVERAGE(OFFSET($CC$3,0,0,'Données projet'!$E$12+1,1))-AVERAGE(OFFSET($H$3,0,0,'Données projet'!$E$12+1,1))</f>
        <v>72.953866894533007</v>
      </c>
      <c r="CE14" s="59">
        <f t="shared" si="40"/>
        <v>60.640359826163092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4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308.97010652964002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7.8042857142857143</v>
      </c>
      <c r="N15" s="13">
        <f>IF('Données projet'!$A$36&gt;35,N14+M15-V14,IF(A15&lt;'Données projet'!$A$36,$K$205^A15,IF(A15='Données projet'!$A$36,'Données projet'!$B$36,N14+M15-V14)))</f>
        <v>55.879492588626576</v>
      </c>
      <c r="O15" s="13">
        <f>N15*VLOOKUP('Données projet'!$B$9,Paramètres!$A$1:$I$89,3,0)*VLOOKUP('Données projet'!$B$9,Paramètres!$A$1:$I$89,5,0)</f>
        <v>33.415936567998699</v>
      </c>
      <c r="P15" s="13">
        <f t="shared" si="33"/>
        <v>10.235698837915669</v>
      </c>
      <c r="Q15" s="20">
        <f t="shared" si="2"/>
        <v>76.02659833196752</v>
      </c>
      <c r="R15" s="59">
        <f t="shared" si="0"/>
        <v>369.35993166530085</v>
      </c>
      <c r="S15" s="59">
        <f ca="1">AVERAGE(OFFSET($R$3,0,0,'Données projet'!$E$9+1,1))-AVERAGE(OFFSET($H$3,0,0,'Données projet'!$E$9+1,1))</f>
        <v>235.90365770026909</v>
      </c>
      <c r="T15" s="59">
        <f t="shared" si="34"/>
        <v>348.09952585694253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4.0942857142857143</v>
      </c>
      <c r="AI15" s="13">
        <f>IF('Données projet'!$A$62&gt;35,AI14+AH15-AQ14,IF(A15&lt;'Données projet'!$A$62,$AF$205^A15,IF(A15='Données projet'!$A$62,'Données projet'!$B$62,AI14+AH15-AQ14)))</f>
        <v>49.131428571428586</v>
      </c>
      <c r="AJ15" s="13">
        <f>AI15*VLOOKUP('Données projet'!$B$10,Paramètres!$A$1:$I$89,3,0)*VLOOKUP('Données projet'!$B$10,Paramètres!$A$1:$I$89,5,0)</f>
        <v>44.454116571428585</v>
      </c>
      <c r="AK15" s="13">
        <f t="shared" si="35"/>
        <v>13.17185963217473</v>
      </c>
      <c r="AL15" s="20">
        <f t="shared" si="4"/>
        <v>100.36524188794243</v>
      </c>
      <c r="AM15" s="59">
        <f t="shared" si="5"/>
        <v>393.69857522127575</v>
      </c>
      <c r="AN15" s="59">
        <f ca="1">AVERAGE(OFFSET($AM$3,0,0,'Données projet'!$E$10+1,1))-AVERAGE(OFFSET($H$3,0,0,'Données projet'!$E$10+1,1))</f>
        <v>490.21869105612649</v>
      </c>
      <c r="AO15" s="59">
        <f t="shared" si="36"/>
        <v>207.08773997010911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2.7884615384615379</v>
      </c>
      <c r="BD15" s="12">
        <f>IF('Données projet'!$A$88&gt;35,BD14+BC15-BL14,IF(A15&lt;'Données projet'!$A$88,$BA$205^A15,IF(A15='Données projet'!$A$88,'Données projet'!$B$88,BD14+BC15-BL14)))</f>
        <v>11.164436105190498</v>
      </c>
      <c r="BE15" s="13">
        <f>BD15*VLOOKUP('Données projet'!$B$11,Paramètres!$A$1:$I$89,3,0)*VLOOKUP('Données projet'!$B$11,Paramètres!$A$1:$I$89,5,0)</f>
        <v>11.669068617145109</v>
      </c>
      <c r="BF15" s="13">
        <f t="shared" si="37"/>
        <v>4.0400360976997627</v>
      </c>
      <c r="BG15" s="20">
        <f t="shared" si="7"/>
        <v>27.360024045021486</v>
      </c>
      <c r="BH15" s="59">
        <f t="shared" si="8"/>
        <v>320.69335737835479</v>
      </c>
      <c r="BI15" s="59">
        <f ca="1">AVERAGE(OFFSET($BH$3,0,0,'Données projet'!$E$11+1,1))-AVERAGE(OFFSET($H$3,0,0,'Données projet'!$E$11+1,1))</f>
        <v>144.01698107732989</v>
      </c>
      <c r="BJ15" s="59">
        <f t="shared" si="38"/>
        <v>139.28039875117332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1.3675213675213673</v>
      </c>
      <c r="BY15" s="12">
        <f>IF('Données projet'!$A$114&gt;35,BY14+BX15-CG14,IF(A15&lt;'Données projet'!$A$114,$BV$205^A15,IF(A15='Données projet'!$A$114,'Données projet'!$B$114,BY14+BX15-CG14)))</f>
        <v>11.210379219937016</v>
      </c>
      <c r="BZ15" s="13">
        <f>BY15*VLOOKUP('Données projet'!$B$12,Paramètres!$A$1:$I$89,3,0)*VLOOKUP('Données projet'!$B$12,Paramètres!$A$1:$I$89,5,0)</f>
        <v>9.093859623212909</v>
      </c>
      <c r="CA15" s="13">
        <f t="shared" si="39"/>
        <v>3.2411715265053496</v>
      </c>
      <c r="CB15" s="20">
        <f t="shared" si="10"/>
        <v>21.483512585759296</v>
      </c>
      <c r="CC15" s="59">
        <f t="shared" si="11"/>
        <v>314.8168459190926</v>
      </c>
      <c r="CD15" s="59">
        <f ca="1">AVERAGE(OFFSET($CC$3,0,0,'Données projet'!$E$12+1,1))-AVERAGE(OFFSET($H$3,0,0,'Données projet'!$E$12+1,1))</f>
        <v>72.953866894533007</v>
      </c>
      <c r="CE15" s="59">
        <f t="shared" si="40"/>
        <v>60.640359826163092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4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310.23072070337594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7.8042857142857143</v>
      </c>
      <c r="N16" s="13">
        <f>IF('Données projet'!$A$36&gt;35,N15+M16-V15,IF(A16&lt;'Données projet'!$A$36,$K$205^A16,IF(A16='Données projet'!$A$36,'Données projet'!$B$36,N15+M16-V15)))</f>
        <v>78.137016581344724</v>
      </c>
      <c r="O16" s="13">
        <f>N16*VLOOKUP('Données projet'!$B$9,Paramètres!$A$1:$I$89,3,0)*VLOOKUP('Données projet'!$B$9,Paramètres!$A$1:$I$89,5,0)</f>
        <v>46.725935915644143</v>
      </c>
      <c r="P16" s="13">
        <f t="shared" si="33"/>
        <v>13.764914610623308</v>
      </c>
      <c r="Q16" s="20">
        <f t="shared" si="2"/>
        <v>105.35489799991581</v>
      </c>
      <c r="R16" s="59">
        <f t="shared" si="0"/>
        <v>398.68823133324912</v>
      </c>
      <c r="S16" s="59">
        <f ca="1">AVERAGE(OFFSET($R$3,0,0,'Données projet'!$E$9+1,1))-AVERAGE(OFFSET($H$3,0,0,'Données projet'!$E$9+1,1))</f>
        <v>235.90365770026909</v>
      </c>
      <c r="T16" s="59">
        <f t="shared" si="34"/>
        <v>348.09952585694253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4.0942857142857143</v>
      </c>
      <c r="AI16" s="13">
        <f>IF('Données projet'!$A$62&gt;35,AI15+AH16-AQ15,IF(A16&lt;'Données projet'!$A$62,$AF$205^A16,IF(A16='Données projet'!$A$62,'Données projet'!$B$62,AI15+AH16-AQ15)))</f>
        <v>53.225714285714304</v>
      </c>
      <c r="AJ16" s="13">
        <f>AI16*VLOOKUP('Données projet'!$B$10,Paramètres!$A$1:$I$89,3,0)*VLOOKUP('Données projet'!$B$10,Paramètres!$A$1:$I$89,5,0)</f>
        <v>48.158626285714305</v>
      </c>
      <c r="AK16" s="13">
        <f t="shared" si="35"/>
        <v>14.137183365739432</v>
      </c>
      <c r="AL16" s="20">
        <f t="shared" si="4"/>
        <v>108.4985351429486</v>
      </c>
      <c r="AM16" s="59">
        <f t="shared" si="5"/>
        <v>401.8318684762819</v>
      </c>
      <c r="AN16" s="59">
        <f ca="1">AVERAGE(OFFSET($AM$3,0,0,'Données projet'!$E$10+1,1))-AVERAGE(OFFSET($H$3,0,0,'Données projet'!$E$10+1,1))</f>
        <v>490.21869105612649</v>
      </c>
      <c r="AO16" s="59">
        <f t="shared" si="36"/>
        <v>207.08773997010911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2.7884615384615379</v>
      </c>
      <c r="BD16" s="12">
        <f>IF('Données projet'!$A$88&gt;35,BD15+BC16-BL15,IF(A16&lt;'Données projet'!$A$88,$BA$205^A16,IF(A16='Données projet'!$A$88,'Données projet'!$B$88,BD15+BC16-BL15)))</f>
        <v>13.650750383982642</v>
      </c>
      <c r="BE16" s="13">
        <f>BD16*VLOOKUP('Données projet'!$B$11,Paramètres!$A$1:$I$89,3,0)*VLOOKUP('Données projet'!$B$11,Paramètres!$A$1:$I$89,5,0)</f>
        <v>14.267764301338657</v>
      </c>
      <c r="BF16" s="13">
        <f t="shared" si="37"/>
        <v>4.8254849046103638</v>
      </c>
      <c r="BG16" s="20">
        <f t="shared" si="7"/>
        <v>33.254075700361206</v>
      </c>
      <c r="BH16" s="59">
        <f t="shared" si="8"/>
        <v>326.58740903369454</v>
      </c>
      <c r="BI16" s="59">
        <f ca="1">AVERAGE(OFFSET($BH$3,0,0,'Données projet'!$E$11+1,1))-AVERAGE(OFFSET($H$3,0,0,'Données projet'!$E$11+1,1))</f>
        <v>144.01698107732989</v>
      </c>
      <c r="BJ16" s="59">
        <f t="shared" si="38"/>
        <v>139.28039875117332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1.3675213675213673</v>
      </c>
      <c r="BY16" s="12">
        <f>IF('Données projet'!$A$114&gt;35,BY15+BX16-CG15,IF(A16&lt;'Données projet'!$A$114,$BV$205^A16,IF(A16='Données projet'!$A$114,'Données projet'!$B$114,BY15+BX16-CG15)))</f>
        <v>13.711616647243169</v>
      </c>
      <c r="BZ16" s="13">
        <f>BY16*VLOOKUP('Données projet'!$B$12,Paramètres!$A$1:$I$89,3,0)*VLOOKUP('Données projet'!$B$12,Paramètres!$A$1:$I$89,5,0)</f>
        <v>11.122863424243659</v>
      </c>
      <c r="CA16" s="13">
        <f t="shared" si="39"/>
        <v>3.8724788698832282</v>
      </c>
      <c r="CB16" s="20">
        <f t="shared" si="10"/>
        <v>26.116887828937664</v>
      </c>
      <c r="CC16" s="59">
        <f t="shared" si="11"/>
        <v>319.45022116227096</v>
      </c>
      <c r="CD16" s="59">
        <f ca="1">AVERAGE(OFFSET($CC$3,0,0,'Données projet'!$E$12+1,1))-AVERAGE(OFFSET($H$3,0,0,'Données projet'!$E$12+1,1))</f>
        <v>72.953866894533007</v>
      </c>
      <c r="CE16" s="59">
        <f t="shared" si="40"/>
        <v>60.640359826163092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4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311.4885716930055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>
        <f>VLOOKUP(A17,'Données projet'!$A$35:$I$55,2,0)</f>
        <v>109.26</v>
      </c>
      <c r="L17" s="12">
        <f>VLOOKUP(A17,'Données projet'!$A$35:$I$55,9,0)</f>
        <v>7.8042857142857143</v>
      </c>
      <c r="M17" s="12">
        <f t="array" ref="M17">INDEX(L:L,MIN(IF(ISNUMBER(L17:L213),ROW(L17:L213),"")))</f>
        <v>7.8042857142857143</v>
      </c>
      <c r="N17" s="13">
        <f>IF('Données projet'!$A$36&gt;35,N16+M17-V16,IF(A17&lt;'Données projet'!$A$36,$K$205^A17,IF(A17='Données projet'!$A$36,'Données projet'!$B$36,N16+M17-V16)))</f>
        <v>109.26</v>
      </c>
      <c r="O17" s="13">
        <f>N17*VLOOKUP('Données projet'!$B$9,Paramètres!$A$1:$I$89,3,0)*VLOOKUP('Données projet'!$B$9,Paramètres!$A$1:$I$89,5,0)</f>
        <v>65.337480000000014</v>
      </c>
      <c r="P17" s="13">
        <f t="shared" si="33"/>
        <v>18.510985643295285</v>
      </c>
      <c r="Q17" s="20">
        <f t="shared" si="2"/>
        <v>146.03607766207264</v>
      </c>
      <c r="R17" s="59">
        <f t="shared" si="0"/>
        <v>439.36941099540593</v>
      </c>
      <c r="S17" s="59">
        <f ca="1">AVERAGE(OFFSET($R$3,0,0,'Données projet'!$E$9+1,1))-AVERAGE(OFFSET($H$3,0,0,'Données projet'!$E$9+1,1))</f>
        <v>235.90365770026909</v>
      </c>
      <c r="T17" s="59">
        <f t="shared" si="34"/>
        <v>348.09952585694253</v>
      </c>
      <c r="U17" s="15">
        <f>IF(ISNA(VLOOKUP(A17,'Données projet'!$A$35:$I$55,3,0)),0,VLOOKUP(A17,'Données projet'!$A$35:$I$55,3,0))</f>
        <v>1</v>
      </c>
      <c r="V17" s="15">
        <f>IF(ISNA(VLOOKUP(A17,'Données projet'!$A$35:$I$55,4,0)),0,VLOOKUP(A17,'Données projet'!$A$35:$I$55,4,0))</f>
        <v>34.61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0.22500000000000001</v>
      </c>
      <c r="Y17" s="16">
        <f>IF(ISNA(VLOOKUP(A17,'Données projet'!$A$35:$I$55,7,0)),0%,VLOOKUP(A17,'Données projet'!$A$35:$I$55,7,0))</f>
        <v>0.5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6.1531896333335938</v>
      </c>
      <c r="AB17" s="21">
        <f>EXP(-LN(2)/2)*AB16+(1-EXP(-LN(2)/2))/(LN(2)/2)*V17*Y17*VLOOKUP('Données projet'!$B$9,Paramètres!$A$1:$I$89,3,0)*0.475*44/12</f>
        <v>11.716781385399903</v>
      </c>
      <c r="AC17" s="22">
        <f t="shared" si="3"/>
        <v>17.869971018733498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4.0942857142857143</v>
      </c>
      <c r="AI17" s="13">
        <f>IF('Données projet'!$A$62&gt;35,AI16+AH17-AQ16,IF(A17&lt;'Données projet'!$A$62,$AF$205^A17,IF(A17='Données projet'!$A$62,'Données projet'!$B$62,AI16+AH17-AQ16)))</f>
        <v>57.320000000000022</v>
      </c>
      <c r="AJ17" s="13">
        <f>AI17*VLOOKUP('Données projet'!$B$10,Paramètres!$A$1:$I$89,3,0)*VLOOKUP('Données projet'!$B$10,Paramètres!$A$1:$I$89,5,0)</f>
        <v>51.863136000000019</v>
      </c>
      <c r="AK17" s="13">
        <f t="shared" si="35"/>
        <v>15.093893357630675</v>
      </c>
      <c r="AL17" s="20">
        <f t="shared" si="4"/>
        <v>116.61682613120678</v>
      </c>
      <c r="AM17" s="59">
        <f t="shared" si="5"/>
        <v>409.95015946454009</v>
      </c>
      <c r="AN17" s="59">
        <f ca="1">AVERAGE(OFFSET($AM$3,0,0,'Données projet'!$E$10+1,1))-AVERAGE(OFFSET($H$3,0,0,'Données projet'!$E$10+1,1))</f>
        <v>490.21869105612649</v>
      </c>
      <c r="AO17" s="59">
        <f t="shared" si="36"/>
        <v>207.08773997010911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2.7884615384615379</v>
      </c>
      <c r="BD17" s="12">
        <f>IF('Données projet'!$A$88&gt;35,BD16+BC17-BL16,IF(A17&lt;'Données projet'!$A$88,$BA$205^A17,IF(A17='Données projet'!$A$88,'Données projet'!$B$88,BD16+BC17-BL16)))</f>
        <v>16.69076559622826</v>
      </c>
      <c r="BE17" s="13">
        <f>BD17*VLOOKUP('Données projet'!$B$11,Paramètres!$A$1:$I$89,3,0)*VLOOKUP('Données projet'!$B$11,Paramètres!$A$1:$I$89,5,0)</f>
        <v>17.445188201177778</v>
      </c>
      <c r="BF17" s="13">
        <f t="shared" si="37"/>
        <v>5.7636377501379767</v>
      </c>
      <c r="BG17" s="20">
        <f t="shared" si="7"/>
        <v>40.422038531874939</v>
      </c>
      <c r="BH17" s="59">
        <f t="shared" si="8"/>
        <v>333.75537186520825</v>
      </c>
      <c r="BI17" s="59">
        <f ca="1">AVERAGE(OFFSET($BH$3,0,0,'Données projet'!$E$11+1,1))-AVERAGE(OFFSET($H$3,0,0,'Données projet'!$E$11+1,1))</f>
        <v>144.01698107732989</v>
      </c>
      <c r="BJ17" s="59">
        <f t="shared" si="38"/>
        <v>139.28039875117332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1.3675213675213673</v>
      </c>
      <c r="BY17" s="12">
        <f>IF('Données projet'!$A$114&gt;35,BY16+BX17-CG16,IF(A17&lt;'Données projet'!$A$114,$BV$205^A17,IF(A17='Données projet'!$A$114,'Données projet'!$B$114,BY16+BX17-CG16)))</f>
        <v>16.770925175001558</v>
      </c>
      <c r="BZ17" s="13">
        <f>BY17*VLOOKUP('Données projet'!$B$12,Paramètres!$A$1:$I$89,3,0)*VLOOKUP('Données projet'!$B$12,Paramètres!$A$1:$I$89,5,0)</f>
        <v>13.604574501961265</v>
      </c>
      <c r="CA17" s="13">
        <f t="shared" si="39"/>
        <v>4.6267506903162801</v>
      </c>
      <c r="CB17" s="20">
        <f t="shared" si="10"/>
        <v>31.752891376550057</v>
      </c>
      <c r="CC17" s="59">
        <f t="shared" si="11"/>
        <v>325.08622470988337</v>
      </c>
      <c r="CD17" s="59">
        <f ca="1">AVERAGE(OFFSET($CC$3,0,0,'Données projet'!$E$12+1,1))-AVERAGE(OFFSET($H$3,0,0,'Données projet'!$E$12+1,1))</f>
        <v>72.953866894533007</v>
      </c>
      <c r="CE17" s="59">
        <f t="shared" si="40"/>
        <v>60.640359826163092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4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312.74387931648818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22.074000000000002</v>
      </c>
      <c r="N18" s="13">
        <f>IF('Données projet'!$A$36&gt;35,N17+M18-V17,IF(A18&lt;'Données projet'!$A$36,$K$205^A18,IF(A18='Données projet'!$A$36,'Données projet'!$B$36,N17+M18-V17)))</f>
        <v>96.724000000000004</v>
      </c>
      <c r="O18" s="13">
        <f>N18*VLOOKUP('Données projet'!$B$9,Paramètres!$A$1:$I$89,3,0)*VLOOKUP('Données projet'!$B$9,Paramètres!$A$1:$I$89,5,0)</f>
        <v>57.840952000000001</v>
      </c>
      <c r="P18" s="13">
        <f t="shared" si="33"/>
        <v>16.621235117795031</v>
      </c>
      <c r="Q18" s="20">
        <f t="shared" si="2"/>
        <v>129.68830923015966</v>
      </c>
      <c r="R18" s="59">
        <f t="shared" si="0"/>
        <v>423.02164256349295</v>
      </c>
      <c r="S18" s="59">
        <f ca="1">AVERAGE(OFFSET($R$3,0,0,'Données projet'!$E$9+1,1))-AVERAGE(OFFSET($H$3,0,0,'Données projet'!$E$9+1,1))</f>
        <v>235.90365770026909</v>
      </c>
      <c r="T18" s="59">
        <f t="shared" si="34"/>
        <v>348.09952585694253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5.9849303392279074</v>
      </c>
      <c r="AB18" s="21">
        <f>EXP(-LN(2)/2)*AB17+(1-EXP(-LN(2)/2))/(LN(2)/2)*V18*Y18*VLOOKUP('Données projet'!$B$9,Paramètres!$A$1:$I$89,3,0)*0.475*44/12</f>
        <v>8.2850155712965829</v>
      </c>
      <c r="AC18" s="22">
        <f t="shared" si="3"/>
        <v>14.269945910524491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4.0942857142857143</v>
      </c>
      <c r="AI18" s="13">
        <f>IF('Données projet'!$A$62&gt;35,AI17+AH18-AQ17,IF(A18&lt;'Données projet'!$A$62,$AF$205^A18,IF(A18='Données projet'!$A$62,'Données projet'!$B$62,AI17+AH18-AQ17)))</f>
        <v>61.414285714285739</v>
      </c>
      <c r="AJ18" s="13">
        <f>AI18*VLOOKUP('Données projet'!$B$10,Paramètres!$A$1:$I$89,3,0)*VLOOKUP('Données projet'!$B$10,Paramètres!$A$1:$I$89,5,0)</f>
        <v>55.567645714285739</v>
      </c>
      <c r="AK18" s="13">
        <f t="shared" si="35"/>
        <v>16.042674851771864</v>
      </c>
      <c r="AL18" s="20">
        <f t="shared" si="4"/>
        <v>124.72130831921697</v>
      </c>
      <c r="AM18" s="59">
        <f t="shared" si="5"/>
        <v>418.05464165255029</v>
      </c>
      <c r="AN18" s="59">
        <f ca="1">AVERAGE(OFFSET($AM$3,0,0,'Données projet'!$E$10+1,1))-AVERAGE(OFFSET($H$3,0,0,'Données projet'!$E$10+1,1))</f>
        <v>490.21869105612649</v>
      </c>
      <c r="AO18" s="59">
        <f t="shared" si="36"/>
        <v>207.08773997010911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2.7884615384615379</v>
      </c>
      <c r="BD18" s="12">
        <f>IF('Données projet'!$A$88&gt;35,BD17+BC18-BL17,IF(A18&lt;'Données projet'!$A$88,$BA$205^A18,IF(A18='Données projet'!$A$88,'Données projet'!$B$88,BD17+BC18-BL17)))</f>
        <v>20.407790660000337</v>
      </c>
      <c r="BE18" s="13">
        <f>BD18*VLOOKUP('Données projet'!$B$11,Paramètres!$A$1:$I$89,3,0)*VLOOKUP('Données projet'!$B$11,Paramètres!$A$1:$I$89,5,0)</f>
        <v>21.330222797832352</v>
      </c>
      <c r="BF18" s="13">
        <f t="shared" si="37"/>
        <v>6.8841827860816611</v>
      </c>
      <c r="BG18" s="20">
        <f t="shared" si="7"/>
        <v>49.140089725316905</v>
      </c>
      <c r="BH18" s="59">
        <f t="shared" si="8"/>
        <v>342.47342305865021</v>
      </c>
      <c r="BI18" s="59">
        <f ca="1">AVERAGE(OFFSET($BH$3,0,0,'Données projet'!$E$11+1,1))-AVERAGE(OFFSET($H$3,0,0,'Données projet'!$E$11+1,1))</f>
        <v>144.01698107732989</v>
      </c>
      <c r="BJ18" s="59">
        <f t="shared" si="38"/>
        <v>139.28039875117332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>
        <f>VLOOKUP(A18,'Données projet'!$A$113:$I$133,2,0)</f>
        <v>20.512820512820511</v>
      </c>
      <c r="BW18" s="12">
        <f>VLOOKUP(A18,'Données projet'!$A$113:$I$133,9,0)</f>
        <v>1.3675213675213673</v>
      </c>
      <c r="BX18" s="12">
        <f t="array" ref="BX18">INDEX(BW:BW,MIN(IF(ISNUMBER(BW18:BW214),ROW(BW18:BW214),"")))</f>
        <v>1.3675213675213673</v>
      </c>
      <c r="BY18" s="12">
        <f>IF('Données projet'!$A$114&gt;35,BY17+BX18-CG17,IF(A18&lt;'Données projet'!$A$114,$BV$205^A18,IF(A18='Données projet'!$A$114,'Données projet'!$B$114,BY17+BX18-CG17)))</f>
        <v>20.512820512820511</v>
      </c>
      <c r="BZ18" s="13">
        <f>BY18*VLOOKUP('Données projet'!$B$12,Paramètres!$A$1:$I$89,3,0)*VLOOKUP('Données projet'!$B$12,Paramètres!$A$1:$I$89,5,0)</f>
        <v>16.64</v>
      </c>
      <c r="CA18" s="13">
        <f t="shared" si="39"/>
        <v>5.5279377033728423</v>
      </c>
      <c r="CB18" s="20">
        <f t="shared" si="10"/>
        <v>38.609158166707701</v>
      </c>
      <c r="CC18" s="59">
        <f t="shared" si="11"/>
        <v>331.942491500041</v>
      </c>
      <c r="CD18" s="59">
        <f ca="1">AVERAGE(OFFSET($CC$3,0,0,'Données projet'!$E$12+1,1))-AVERAGE(OFFSET($H$3,0,0,'Données projet'!$E$12+1,1))</f>
        <v>72.953866894533007</v>
      </c>
      <c r="CE18" s="59">
        <f t="shared" si="40"/>
        <v>60.640359826163092</v>
      </c>
      <c r="CF18" s="15">
        <f>IF(ISNA(VLOOKUP(A18,'Données projet'!$A$113:$I$133,3,0)),0,VLOOKUP(A18,'Données projet'!$A$113:$I$133,3,0))</f>
        <v>1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0.1075</v>
      </c>
      <c r="CJ18" s="16">
        <f>IF(ISNA(VLOOKUP(A18,'Données projet'!$A$113:$I$133,7,0)),0%,VLOOKUP(A18,'Données projet'!$A$113:$I$133,7,0))</f>
        <v>0.25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4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313.99683242457326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22.074000000000002</v>
      </c>
      <c r="N19" s="13">
        <f>IF('Données projet'!$A$36&gt;35,N18+M19-V18,IF(A19&lt;'Données projet'!$A$36,$K$205^A19,IF(A19='Données projet'!$A$36,'Données projet'!$B$36,N18+M19-V18)))</f>
        <v>118.798</v>
      </c>
      <c r="O19" s="13">
        <f>N19*VLOOKUP('Données projet'!$B$9,Paramètres!$A$1:$I$89,3,0)*VLOOKUP('Données projet'!$B$9,Paramètres!$A$1:$I$89,5,0)</f>
        <v>71.041204000000008</v>
      </c>
      <c r="P19" s="13">
        <f t="shared" si="33"/>
        <v>19.931802611969108</v>
      </c>
      <c r="Q19" s="20">
        <f t="shared" si="2"/>
        <v>158.44465318251287</v>
      </c>
      <c r="R19" s="59">
        <f t="shared" si="0"/>
        <v>451.77798651584618</v>
      </c>
      <c r="S19" s="59">
        <f ca="1">AVERAGE(OFFSET($R$3,0,0,'Données projet'!$E$9+1,1))-AVERAGE(OFFSET($H$3,0,0,'Données projet'!$E$9+1,1))</f>
        <v>235.90365770026909</v>
      </c>
      <c r="T19" s="59">
        <f t="shared" si="34"/>
        <v>348.09952585694253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5.8212721043679121</v>
      </c>
      <c r="AB19" s="21">
        <f>EXP(-LN(2)/2)*AB18+(1-EXP(-LN(2)/2))/(LN(2)/2)*V19*Y19*VLOOKUP('Données projet'!$B$9,Paramètres!$A$1:$I$89,3,0)*0.475*44/12</f>
        <v>5.8583906926999525</v>
      </c>
      <c r="AC19" s="22">
        <f t="shared" si="3"/>
        <v>11.679662797067865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4.0942857142857143</v>
      </c>
      <c r="AI19" s="13">
        <f>IF('Données projet'!$A$62&gt;35,AI18+AH19-AQ18,IF(A19&lt;'Données projet'!$A$62,$AF$205^A19,IF(A19='Données projet'!$A$62,'Données projet'!$B$62,AI18+AH19-AQ18)))</f>
        <v>65.508571428571457</v>
      </c>
      <c r="AJ19" s="13">
        <f>AI19*VLOOKUP('Données projet'!$B$10,Paramètres!$A$1:$I$89,3,0)*VLOOKUP('Données projet'!$B$10,Paramètres!$A$1:$I$89,5,0)</f>
        <v>59.272155428571445</v>
      </c>
      <c r="AK19" s="13">
        <f t="shared" si="35"/>
        <v>16.984116557241595</v>
      </c>
      <c r="AL19" s="20">
        <f t="shared" si="4"/>
        <v>132.81300704195772</v>
      </c>
      <c r="AM19" s="59">
        <f t="shared" si="5"/>
        <v>426.14634037529106</v>
      </c>
      <c r="AN19" s="59">
        <f ca="1">AVERAGE(OFFSET($AM$3,0,0,'Données projet'!$E$10+1,1))-AVERAGE(OFFSET($H$3,0,0,'Données projet'!$E$10+1,1))</f>
        <v>490.21869105612649</v>
      </c>
      <c r="AO19" s="59">
        <f t="shared" si="36"/>
        <v>207.08773997010911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2.7884615384615379</v>
      </c>
      <c r="BD19" s="12">
        <f>IF('Données projet'!$A$88&gt;35,BD18+BC19-BL18,IF(A19&lt;'Données projet'!$A$88,$BA$205^A19,IF(A19='Données projet'!$A$88,'Données projet'!$B$88,BD18+BC19-BL18)))</f>
        <v>24.952595327113794</v>
      </c>
      <c r="BE19" s="13">
        <f>BD19*VLOOKUP('Données projet'!$B$11,Paramètres!$A$1:$I$89,3,0)*VLOOKUP('Données projet'!$B$11,Paramètres!$A$1:$I$89,5,0)</f>
        <v>26.080452635899338</v>
      </c>
      <c r="BF19" s="13">
        <f t="shared" si="37"/>
        <v>8.2225800244036034</v>
      </c>
      <c r="BG19" s="20">
        <f t="shared" si="7"/>
        <v>59.74444855002762</v>
      </c>
      <c r="BH19" s="59">
        <f t="shared" si="8"/>
        <v>353.07778188336096</v>
      </c>
      <c r="BI19" s="59">
        <f ca="1">AVERAGE(OFFSET($BH$3,0,0,'Données projet'!$E$11+1,1))-AVERAGE(OFFSET($H$3,0,0,'Données projet'!$E$11+1,1))</f>
        <v>144.01698107732989</v>
      </c>
      <c r="BJ19" s="59">
        <f t="shared" si="38"/>
        <v>139.28039875117332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2.8205128205128203</v>
      </c>
      <c r="BY19" s="12">
        <f>IF('Données projet'!$A$114&gt;35,BY18+BX19-CG18,IF(A19&lt;'Données projet'!$A$114,$BV$205^A19,IF(A19='Données projet'!$A$114,'Données projet'!$B$114,BY18+BX19-CG18)))</f>
        <v>23.333333333333332</v>
      </c>
      <c r="BZ19" s="13">
        <f>BY19*VLOOKUP('Données projet'!$B$12,Paramètres!$A$1:$I$89,3,0)*VLOOKUP('Données projet'!$B$12,Paramètres!$A$1:$I$89,5,0)</f>
        <v>18.928000000000001</v>
      </c>
      <c r="CA19" s="13">
        <f t="shared" si="39"/>
        <v>6.1944364515705423</v>
      </c>
      <c r="CB19" s="20">
        <f t="shared" si="10"/>
        <v>43.754910153152025</v>
      </c>
      <c r="CC19" s="59">
        <f t="shared" si="11"/>
        <v>337.08824348648534</v>
      </c>
      <c r="CD19" s="59">
        <f ca="1">AVERAGE(OFFSET($CC$3,0,0,'Données projet'!$E$12+1,1))-AVERAGE(OFFSET($H$3,0,0,'Données projet'!$E$12+1,1))</f>
        <v>72.953866894533007</v>
      </c>
      <c r="CE19" s="59">
        <f t="shared" si="40"/>
        <v>60.640359826163092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4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315.24759492743152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22.074000000000002</v>
      </c>
      <c r="N20" s="13">
        <f>IF('Données projet'!$A$36&gt;35,N19+M20-V19,IF(A20&lt;'Données projet'!$A$36,$K$205^A20,IF(A20='Données projet'!$A$36,'Données projet'!$B$36,N19+M20-V19)))</f>
        <v>140.87200000000001</v>
      </c>
      <c r="O20" s="13">
        <f>N20*VLOOKUP('Données projet'!$B$9,Paramètres!$A$1:$I$89,3,0)*VLOOKUP('Données projet'!$B$9,Paramètres!$A$1:$I$89,5,0)</f>
        <v>84.241456000000014</v>
      </c>
      <c r="P20" s="13">
        <f t="shared" si="33"/>
        <v>23.171103584031673</v>
      </c>
      <c r="Q20" s="20">
        <f t="shared" si="2"/>
        <v>187.07687460885518</v>
      </c>
      <c r="R20" s="59">
        <f t="shared" si="0"/>
        <v>480.41020794218849</v>
      </c>
      <c r="S20" s="59">
        <f ca="1">AVERAGE(OFFSET($R$3,0,0,'Données projet'!$E$9+1,1))-AVERAGE(OFFSET($H$3,0,0,'Données projet'!$E$9+1,1))</f>
        <v>235.90365770026909</v>
      </c>
      <c r="T20" s="59">
        <f t="shared" si="34"/>
        <v>348.09952585694253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5.6620891125465764</v>
      </c>
      <c r="AB20" s="21">
        <f>EXP(-LN(2)/2)*AB19+(1-EXP(-LN(2)/2))/(LN(2)/2)*V20*Y20*VLOOKUP('Données projet'!$B$9,Paramètres!$A$1:$I$89,3,0)*0.475*44/12</f>
        <v>4.1425077856482924</v>
      </c>
      <c r="AC20" s="22">
        <f t="shared" si="3"/>
        <v>9.8045968981948697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4.0942857142857143</v>
      </c>
      <c r="AI20" s="13">
        <f>IF('Données projet'!$A$62&gt;35,AI19+AH20-AQ19,IF(A20&lt;'Données projet'!$A$62,$AF$205^A20,IF(A20='Données projet'!$A$62,'Données projet'!$B$62,AI19+AH20-AQ19)))</f>
        <v>69.602857142857175</v>
      </c>
      <c r="AJ20" s="13">
        <f>AI20*VLOOKUP('Données projet'!$B$10,Paramètres!$A$1:$I$89,3,0)*VLOOKUP('Données projet'!$B$10,Paramètres!$A$1:$I$89,5,0)</f>
        <v>62.976665142857165</v>
      </c>
      <c r="AK20" s="13">
        <f t="shared" si="35"/>
        <v>17.918729435240664</v>
      </c>
      <c r="AL20" s="20">
        <f t="shared" si="4"/>
        <v>140.89281222352039</v>
      </c>
      <c r="AM20" s="59">
        <f t="shared" si="5"/>
        <v>434.22614555685368</v>
      </c>
      <c r="AN20" s="59">
        <f ca="1">AVERAGE(OFFSET($AM$3,0,0,'Données projet'!$E$10+1,1))-AVERAGE(OFFSET($H$3,0,0,'Données projet'!$E$10+1,1))</f>
        <v>490.21869105612649</v>
      </c>
      <c r="AO20" s="59">
        <f t="shared" si="36"/>
        <v>207.08773997010911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2.7884615384615379</v>
      </c>
      <c r="BD20" s="12">
        <f>IF('Données projet'!$A$88&gt;35,BD19+BC20-BL19,IF(A20&lt;'Données projet'!$A$88,$BA$205^A20,IF(A20='Données projet'!$A$88,'Données projet'!$B$88,BD19+BC20-BL19)))</f>
        <v>30.50952569692279</v>
      </c>
      <c r="BE20" s="13">
        <f>BD20*VLOOKUP('Données projet'!$B$11,Paramètres!$A$1:$I$89,3,0)*VLOOKUP('Données projet'!$B$11,Paramètres!$A$1:$I$89,5,0)</f>
        <v>31.888556258423701</v>
      </c>
      <c r="BF20" s="13">
        <f t="shared" si="37"/>
        <v>9.8211834808360603</v>
      </c>
      <c r="BG20" s="20">
        <f t="shared" si="7"/>
        <v>72.644463379210734</v>
      </c>
      <c r="BH20" s="59">
        <f t="shared" si="8"/>
        <v>365.97779671254403</v>
      </c>
      <c r="BI20" s="59">
        <f ca="1">AVERAGE(OFFSET($BH$3,0,0,'Données projet'!$E$11+1,1))-AVERAGE(OFFSET($H$3,0,0,'Données projet'!$E$11+1,1))</f>
        <v>144.01698107732989</v>
      </c>
      <c r="BJ20" s="59">
        <f t="shared" si="38"/>
        <v>139.28039875117332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2.8205128205128203</v>
      </c>
      <c r="BY20" s="12">
        <f>IF('Données projet'!$A$114&gt;35,BY19+BX20-CG19,IF(A20&lt;'Données projet'!$A$114,$BV$205^A20,IF(A20='Données projet'!$A$114,'Données projet'!$B$114,BY19+BX20-CG19)))</f>
        <v>26.153846153846153</v>
      </c>
      <c r="BZ20" s="13">
        <f>BY20*VLOOKUP('Données projet'!$B$12,Paramètres!$A$1:$I$89,3,0)*VLOOKUP('Données projet'!$B$12,Paramètres!$A$1:$I$89,5,0)</f>
        <v>21.216000000000001</v>
      </c>
      <c r="CA20" s="13">
        <f t="shared" si="39"/>
        <v>6.8515990331828363</v>
      </c>
      <c r="CB20" s="20">
        <f t="shared" si="10"/>
        <v>48.884401649460102</v>
      </c>
      <c r="CC20" s="59">
        <f t="shared" si="11"/>
        <v>342.21773498279344</v>
      </c>
      <c r="CD20" s="59">
        <f ca="1">AVERAGE(OFFSET($CC$3,0,0,'Données projet'!$E$12+1,1))-AVERAGE(OFFSET($H$3,0,0,'Données projet'!$E$12+1,1))</f>
        <v>72.953866894533007</v>
      </c>
      <c r="CE20" s="59">
        <f t="shared" si="40"/>
        <v>60.640359826163092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4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316.49631036234257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22.074000000000002</v>
      </c>
      <c r="N21" s="13">
        <f>IF('Données projet'!$A$36&gt;35,N20+M21-V20,IF(A21&lt;'Données projet'!$A$36,$K$205^A21,IF(A21='Données projet'!$A$36,'Données projet'!$B$36,N20+M21-V20)))</f>
        <v>162.94600000000003</v>
      </c>
      <c r="O21" s="13">
        <f>N21*VLOOKUP('Données projet'!$B$9,Paramètres!$A$1:$I$89,3,0)*VLOOKUP('Données projet'!$B$9,Paramètres!$A$1:$I$89,5,0)</f>
        <v>97.441708000000034</v>
      </c>
      <c r="P21" s="13">
        <f t="shared" si="33"/>
        <v>26.351603531878265</v>
      </c>
      <c r="Q21" s="20">
        <f t="shared" si="2"/>
        <v>215.60668425135472</v>
      </c>
      <c r="R21" s="59">
        <f t="shared" si="0"/>
        <v>508.94001758468801</v>
      </c>
      <c r="S21" s="59">
        <f ca="1">AVERAGE(OFFSET($R$3,0,0,'Données projet'!$E$9+1,1))-AVERAGE(OFFSET($H$3,0,0,'Données projet'!$E$9+1,1))</f>
        <v>235.90365770026909</v>
      </c>
      <c r="T21" s="59">
        <f t="shared" si="34"/>
        <v>348.09952585694253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5.5072589880076643</v>
      </c>
      <c r="AB21" s="21">
        <f>EXP(-LN(2)/2)*AB20+(1-EXP(-LN(2)/2))/(LN(2)/2)*V21*Y21*VLOOKUP('Données projet'!$B$9,Paramètres!$A$1:$I$89,3,0)*0.475*44/12</f>
        <v>2.9291953463499767</v>
      </c>
      <c r="AC21" s="22">
        <f t="shared" si="3"/>
        <v>8.4364543343576415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4.0942857142857143</v>
      </c>
      <c r="AI21" s="13">
        <f>IF('Données projet'!$A$62&gt;35,AI20+AH21-AQ20,IF(A21&lt;'Données projet'!$A$62,$AF$205^A21,IF(A21='Données projet'!$A$62,'Données projet'!$B$62,AI20+AH21-AQ20)))</f>
        <v>73.697142857142893</v>
      </c>
      <c r="AJ21" s="13">
        <f>AI21*VLOOKUP('Données projet'!$B$10,Paramètres!$A$1:$I$89,3,0)*VLOOKUP('Données projet'!$B$10,Paramètres!$A$1:$I$89,5,0)</f>
        <v>66.681174857142892</v>
      </c>
      <c r="AK21" s="13">
        <f t="shared" si="35"/>
        <v>18.846960938055496</v>
      </c>
      <c r="AL21" s="20">
        <f t="shared" si="4"/>
        <v>148.96150317663719</v>
      </c>
      <c r="AM21" s="59">
        <f t="shared" si="5"/>
        <v>442.29483650997054</v>
      </c>
      <c r="AN21" s="59">
        <f ca="1">AVERAGE(OFFSET($AM$3,0,0,'Données projet'!$E$10+1,1))-AVERAGE(OFFSET($H$3,0,0,'Données projet'!$E$10+1,1))</f>
        <v>490.21869105612649</v>
      </c>
      <c r="AO21" s="59">
        <f t="shared" si="36"/>
        <v>207.08773997010911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2.7884615384615379</v>
      </c>
      <c r="BD21" s="12">
        <f>IF('Données projet'!$A$88&gt;35,BD20+BC21-BL20,IF(A21&lt;'Données projet'!$A$88,$BA$205^A21,IF(A21='Données projet'!$A$88,'Données projet'!$B$88,BD20+BC21-BL20)))</f>
        <v>37.303981651950231</v>
      </c>
      <c r="BE21" s="13">
        <f>BD21*VLOOKUP('Données projet'!$B$11,Paramètres!$A$1:$I$89,3,0)*VLOOKUP('Données projet'!$B$11,Paramètres!$A$1:$I$89,5,0)</f>
        <v>38.990121622618389</v>
      </c>
      <c r="BF21" s="13">
        <f t="shared" si="37"/>
        <v>11.730581481478891</v>
      </c>
      <c r="BG21" s="20">
        <f t="shared" si="7"/>
        <v>88.338557906302768</v>
      </c>
      <c r="BH21" s="59">
        <f t="shared" si="8"/>
        <v>381.67189123963607</v>
      </c>
      <c r="BI21" s="59">
        <f ca="1">AVERAGE(OFFSET($BH$3,0,0,'Données projet'!$E$11+1,1))-AVERAGE(OFFSET($H$3,0,0,'Données projet'!$E$11+1,1))</f>
        <v>144.01698107732989</v>
      </c>
      <c r="BJ21" s="59">
        <f t="shared" si="38"/>
        <v>139.28039875117332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2.8205128205128203</v>
      </c>
      <c r="BY21" s="12">
        <f>IF('Données projet'!$A$114&gt;35,BY20+BX21-CG20,IF(A21&lt;'Données projet'!$A$114,$BV$205^A21,IF(A21='Données projet'!$A$114,'Données projet'!$B$114,BY20+BX21-CG20)))</f>
        <v>28.974358974358974</v>
      </c>
      <c r="BZ21" s="13">
        <f>BY21*VLOOKUP('Données projet'!$B$12,Paramètres!$A$1:$I$89,3,0)*VLOOKUP('Données projet'!$B$12,Paramètres!$A$1:$I$89,5,0)</f>
        <v>23.504000000000001</v>
      </c>
      <c r="CA21" s="13">
        <f t="shared" si="39"/>
        <v>7.5005470608564417</v>
      </c>
      <c r="CB21" s="20">
        <f t="shared" si="10"/>
        <v>53.999586130991638</v>
      </c>
      <c r="CC21" s="59">
        <f t="shared" si="11"/>
        <v>347.33291946432496</v>
      </c>
      <c r="CD21" s="59">
        <f ca="1">AVERAGE(OFFSET($CC$3,0,0,'Données projet'!$E$12+1,1))-AVERAGE(OFFSET($H$3,0,0,'Données projet'!$E$12+1,1))</f>
        <v>72.953866894533007</v>
      </c>
      <c r="CE21" s="59">
        <f t="shared" si="40"/>
        <v>60.640359826163092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4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317.74310541723986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>
        <f>VLOOKUP(A22,'Données projet'!$A$35:$I$55,2,0)</f>
        <v>185.02</v>
      </c>
      <c r="L22" s="12">
        <f>VLOOKUP(A22,'Données projet'!$A$35:$I$55,9,0)</f>
        <v>22.074000000000002</v>
      </c>
      <c r="M22" s="12">
        <f t="array" ref="M22">INDEX(L:L,MIN(IF(ISNUMBER(L22:L218),ROW(L22:L218),"")))</f>
        <v>22.074000000000002</v>
      </c>
      <c r="N22" s="13">
        <f>IF('Données projet'!$A$36&gt;35,N21+M22-V21,IF(A22&lt;'Données projet'!$A$36,$K$205^A22,IF(A22='Données projet'!$A$36,'Données projet'!$B$36,N21+M22-V21)))</f>
        <v>185.02000000000004</v>
      </c>
      <c r="O22" s="13">
        <f>N22*VLOOKUP('Données projet'!$B$9,Paramètres!$A$1:$I$89,3,0)*VLOOKUP('Données projet'!$B$9,Paramètres!$A$1:$I$89,5,0)</f>
        <v>110.64196000000003</v>
      </c>
      <c r="P22" s="13">
        <f t="shared" si="33"/>
        <v>29.482184093774453</v>
      </c>
      <c r="Q22" s="20">
        <f t="shared" si="2"/>
        <v>244.04955096332387</v>
      </c>
      <c r="R22" s="59">
        <f t="shared" si="0"/>
        <v>537.38288429665715</v>
      </c>
      <c r="S22" s="59">
        <f ca="1">AVERAGE(OFFSET($R$3,0,0,'Données projet'!$E$9+1,1))-AVERAGE(OFFSET($H$3,0,0,'Données projet'!$E$9+1,1))</f>
        <v>235.90365770026909</v>
      </c>
      <c r="T22" s="59">
        <f t="shared" si="34"/>
        <v>348.09952585694253</v>
      </c>
      <c r="U22" s="15">
        <f>IF(ISNA(VLOOKUP(A22,'Données projet'!$A$35:$I$55,3,0)),0,VLOOKUP(A22,'Données projet'!$A$35:$I$55,3,0))</f>
        <v>2</v>
      </c>
      <c r="V22" s="15">
        <f>IF(ISNA(VLOOKUP(A22,'Données projet'!$A$35:$I$55,4,0)),0,VLOOKUP(A22,'Données projet'!$A$35:$I$55,4,0))</f>
        <v>59.900000000000006</v>
      </c>
      <c r="W22" s="16">
        <f>IF(ISNA(VLOOKUP(A22,'Données projet'!$A$35:$I$55,5,0)),0%,VLOOKUP(A22,'Données projet'!$A$35:$I$55,5,0)*VLOOKUP('Données projet'!$B$9,Paramètres!$A$1:$I$89,7,0))</f>
        <v>0.1125</v>
      </c>
      <c r="X22" s="16">
        <f>IF(ISNA(VLOOKUP(A22,'Données projet'!$A$35:$I$55,6,0)),0%,VLOOKUP(A22,'Données projet'!$A$35:$I$55,6,0)*VLOOKUP('Données projet'!$B$9,Paramètres!$A$1:$I$89,7,0))</f>
        <v>0.16650000000000001</v>
      </c>
      <c r="Y22" s="16">
        <f>IF(ISNA(VLOOKUP(A22,'Données projet'!$A$35:$I$55,7,0)),0%,VLOOKUP(A22,'Données projet'!$A$35:$I$55,7,0))</f>
        <v>0.38</v>
      </c>
      <c r="Z22" s="21">
        <f>EXP(-LN(2)/35)*Z21+(1-EXP(-LN(2)/35))/(LN(2)/35)*V22*W22*VLOOKUP('Données projet'!$B$9,Paramètres!$A$1:$I$89,3,0)*0.475*44/12</f>
        <v>5.3457529620077358</v>
      </c>
      <c r="AA22" s="21">
        <f>EXP(-LN(2)/25)*AA21+(1-EXP(-LN(2)/25))/(LN(2)/25)*Calculateur!V22*Calculateur!X22*VLOOKUP('Données projet'!$B$9,Paramètres!$A$1:$I$89,3,0)*0.475*44/12</f>
        <v>13.237225651009449</v>
      </c>
      <c r="AB22" s="21">
        <f>EXP(-LN(2)/2)*AB21+(1-EXP(-LN(2)/2))/(LN(2)/2)*V22*Y22*VLOOKUP('Données projet'!$B$9,Paramètres!$A$1:$I$89,3,0)*0.475*44/12</f>
        <v>17.482833083490007</v>
      </c>
      <c r="AC22" s="22">
        <f t="shared" si="3"/>
        <v>36.065811696507197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4.0942857142857143</v>
      </c>
      <c r="AI22" s="13">
        <f>IF('Données projet'!$A$62&gt;35,AI21+AH22-AQ21,IF(A22&lt;'Données projet'!$A$62,$AF$205^A22,IF(A22='Données projet'!$A$62,'Données projet'!$B$62,AI21+AH22-AQ21)))</f>
        <v>77.791428571428611</v>
      </c>
      <c r="AJ22" s="13">
        <f>AI22*VLOOKUP('Données projet'!$B$10,Paramètres!$A$1:$I$89,3,0)*VLOOKUP('Données projet'!$B$10,Paramètres!$A$1:$I$89,5,0)</f>
        <v>70.385684571428612</v>
      </c>
      <c r="AK22" s="13">
        <f t="shared" si="35"/>
        <v>19.769205993092573</v>
      </c>
      <c r="AL22" s="20">
        <f t="shared" si="4"/>
        <v>157.01976773320771</v>
      </c>
      <c r="AM22" s="59">
        <f t="shared" si="5"/>
        <v>450.35310106654106</v>
      </c>
      <c r="AN22" s="59">
        <f ca="1">AVERAGE(OFFSET($AM$3,0,0,'Données projet'!$E$10+1,1))-AVERAGE(OFFSET($H$3,0,0,'Données projet'!$E$10+1,1))</f>
        <v>490.21869105612649</v>
      </c>
      <c r="AO22" s="59">
        <f t="shared" si="36"/>
        <v>207.08773997010911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2.7884615384615379</v>
      </c>
      <c r="BD22" s="12">
        <f>IF('Données projet'!$A$88&gt;35,BD21+BC22-BL21,IF(A22&lt;'Données projet'!$A$88,$BA$205^A22,IF(A22='Données projet'!$A$88,'Données projet'!$B$88,BD21+BC22-BL21)))</f>
        <v>45.611559514653344</v>
      </c>
      <c r="BE22" s="13">
        <f>BD22*VLOOKUP('Données projet'!$B$11,Paramètres!$A$1:$I$89,3,0)*VLOOKUP('Données projet'!$B$11,Paramètres!$A$1:$I$89,5,0)</f>
        <v>47.673202004715677</v>
      </c>
      <c r="BF22" s="13">
        <f t="shared" si="37"/>
        <v>14.011197546825708</v>
      </c>
      <c r="BG22" s="20">
        <f t="shared" si="7"/>
        <v>107.4336625522679</v>
      </c>
      <c r="BH22" s="59">
        <f t="shared" si="8"/>
        <v>400.7669958856012</v>
      </c>
      <c r="BI22" s="59">
        <f ca="1">AVERAGE(OFFSET($BH$3,0,0,'Données projet'!$E$11+1,1))-AVERAGE(OFFSET($H$3,0,0,'Données projet'!$E$11+1,1))</f>
        <v>144.01698107732989</v>
      </c>
      <c r="BJ22" s="59">
        <f t="shared" si="38"/>
        <v>139.28039875117332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2.8205128205128203</v>
      </c>
      <c r="BY22" s="12">
        <f>IF('Données projet'!$A$114&gt;35,BY21+BX22-CG21,IF(A22&lt;'Données projet'!$A$114,$BV$205^A22,IF(A22='Données projet'!$A$114,'Données projet'!$B$114,BY21+BX22-CG21)))</f>
        <v>31.794871794871796</v>
      </c>
      <c r="BZ22" s="13">
        <f>BY22*VLOOKUP('Données projet'!$B$12,Paramètres!$A$1:$I$89,3,0)*VLOOKUP('Données projet'!$B$12,Paramètres!$A$1:$I$89,5,0)</f>
        <v>25.792000000000005</v>
      </c>
      <c r="CA22" s="13">
        <f t="shared" si="39"/>
        <v>8.1421711792342339</v>
      </c>
      <c r="CB22" s="20">
        <f t="shared" si="10"/>
        <v>59.102014803832958</v>
      </c>
      <c r="CC22" s="59">
        <f t="shared" si="11"/>
        <v>352.43534813716627</v>
      </c>
      <c r="CD22" s="59">
        <f ca="1">AVERAGE(OFFSET($CC$3,0,0,'Données projet'!$E$12+1,1))-AVERAGE(OFFSET($H$3,0,0,'Données projet'!$E$12+1,1))</f>
        <v>72.953866894533007</v>
      </c>
      <c r="CE22" s="59">
        <f t="shared" si="40"/>
        <v>60.640359826163092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4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318.98809269129538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21.495000000000001</v>
      </c>
      <c r="N23" s="13">
        <f>IF('Données projet'!$A$36&gt;35,N22+M23-V22,IF(A23&lt;'Données projet'!$A$36,$K$205^A23,IF(A23='Données projet'!$A$36,'Données projet'!$B$36,N22+M23-V22)))</f>
        <v>146.61500000000004</v>
      </c>
      <c r="O23" s="13">
        <f>N23*VLOOKUP('Données projet'!$B$9,Paramètres!$A$1:$I$89,3,0)*VLOOKUP('Données projet'!$B$9,Paramètres!$A$1:$I$89,5,0)</f>
        <v>87.675770000000028</v>
      </c>
      <c r="P23" s="13">
        <f t="shared" si="33"/>
        <v>24.003825970841746</v>
      </c>
      <c r="Q23" s="20">
        <f t="shared" si="2"/>
        <v>194.50862964921609</v>
      </c>
      <c r="R23" s="59">
        <f t="shared" si="0"/>
        <v>487.84196298254938</v>
      </c>
      <c r="S23" s="59">
        <f ca="1">AVERAGE(OFFSET($R$3,0,0,'Données projet'!$E$9+1,1))-AVERAGE(OFFSET($H$3,0,0,'Données projet'!$E$9+1,1))</f>
        <v>235.90365770026909</v>
      </c>
      <c r="T23" s="59">
        <f t="shared" si="34"/>
        <v>348.09952585694253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5.2409260070101142</v>
      </c>
      <c r="AA23" s="21">
        <f>EXP(-LN(2)/25)*AA22+(1-EXP(-LN(2)/25))/(LN(2)/25)*Calculateur!V23*Calculateur!X23*VLOOKUP('Données projet'!$B$9,Paramètres!$A$1:$I$89,3,0)*0.475*44/12</f>
        <v>12.875253019467154</v>
      </c>
      <c r="AB23" s="21">
        <f>EXP(-LN(2)/2)*AB22+(1-EXP(-LN(2)/2))/(LN(2)/2)*V23*Y23*VLOOKUP('Données projet'!$B$9,Paramètres!$A$1:$I$89,3,0)*0.475*44/12</f>
        <v>12.362229827688303</v>
      </c>
      <c r="AC23" s="22">
        <f t="shared" si="3"/>
        <v>30.478408854165572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4.0942857142857143</v>
      </c>
      <c r="AI23" s="13">
        <f>IF('Données projet'!$A$62&gt;35,AI22+AH23-AQ22,IF(A23&lt;'Données projet'!$A$62,$AF$205^A23,IF(A23='Données projet'!$A$62,'Données projet'!$B$62,AI22+AH23-AQ22)))</f>
        <v>81.885714285714329</v>
      </c>
      <c r="AJ23" s="13">
        <f>AI23*VLOOKUP('Données projet'!$B$10,Paramètres!$A$1:$I$89,3,0)*VLOOKUP('Données projet'!$B$10,Paramètres!$A$1:$I$89,5,0)</f>
        <v>74.090194285714318</v>
      </c>
      <c r="AK23" s="13">
        <f t="shared" si="35"/>
        <v>20.685815608516002</v>
      </c>
      <c r="AL23" s="20">
        <f t="shared" si="4"/>
        <v>165.06821723245113</v>
      </c>
      <c r="AM23" s="59">
        <f t="shared" si="5"/>
        <v>458.40155056578442</v>
      </c>
      <c r="AN23" s="59">
        <f ca="1">AVERAGE(OFFSET($AM$3,0,0,'Données projet'!$E$10+1,1))-AVERAGE(OFFSET($H$3,0,0,'Données projet'!$E$10+1,1))</f>
        <v>490.21869105612649</v>
      </c>
      <c r="AO23" s="59">
        <f t="shared" si="36"/>
        <v>207.08773997010911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55.769230769230759</v>
      </c>
      <c r="BB23" s="12">
        <f>VLOOKUP(A23,'Données projet'!$A$87:$I$107,9,0)</f>
        <v>2.7884615384615379</v>
      </c>
      <c r="BC23" s="12">
        <f t="array" ref="BC23">INDEX(BB:BB,MIN(IF(ISNUMBER(BB23:BB219),ROW(BB23:BB219),"")))</f>
        <v>2.7884615384615379</v>
      </c>
      <c r="BD23" s="12">
        <f>IF('Données projet'!$A$88&gt;35,BD22+BC23-BL22,IF(A23&lt;'Données projet'!$A$88,$BA$205^A23,IF(A23='Données projet'!$A$88,'Données projet'!$B$88,BD22+BC23-BL22)))</f>
        <v>55.769230769230759</v>
      </c>
      <c r="BE23" s="13">
        <f>BD23*VLOOKUP('Données projet'!$B$11,Paramètres!$A$1:$I$89,3,0)*VLOOKUP('Données projet'!$B$11,Paramètres!$A$1:$I$89,5,0)</f>
        <v>58.29</v>
      </c>
      <c r="BF23" s="13">
        <f t="shared" si="37"/>
        <v>16.735202513714196</v>
      </c>
      <c r="BG23" s="20">
        <f t="shared" si="7"/>
        <v>130.66889437805222</v>
      </c>
      <c r="BH23" s="59">
        <f t="shared" si="8"/>
        <v>424.00222771138556</v>
      </c>
      <c r="BI23" s="59">
        <f ca="1">AVERAGE(OFFSET($BH$3,0,0,'Données projet'!$E$11+1,1))-AVERAGE(OFFSET($H$3,0,0,'Données projet'!$E$11+1,1))</f>
        <v>144.01698107732989</v>
      </c>
      <c r="BJ23" s="59">
        <f t="shared" si="38"/>
        <v>139.28039875117332</v>
      </c>
      <c r="BK23" s="15">
        <f>IF(ISNA(VLOOKUP(A23,'Données projet'!$A$87:$I$107,3,0)),0,VLOOKUP(A23,'Données projet'!$A$87:$I$107,3,0))</f>
        <v>1</v>
      </c>
      <c r="BL23" s="15">
        <f>IF(ISNA(VLOOKUP(A23,'Données projet'!$A$87:$I$107,4,0)),0,VLOOKUP(A23,'Données projet'!$A$87:$I$107,4,0))</f>
        <v>18.589743589743588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0.215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4.5998642253939837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4.5998642253939837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>
        <f>VLOOKUP(A23,'Données projet'!$A$113:$I$133,2,0)</f>
        <v>34.615384615384613</v>
      </c>
      <c r="BW23" s="12">
        <f>VLOOKUP(A23,'Données projet'!$A$113:$I$133,9,0)</f>
        <v>2.8205128205128203</v>
      </c>
      <c r="BX23" s="12">
        <f t="array" ref="BX23">INDEX(BW:BW,MIN(IF(ISNUMBER(BW23:BW219),ROW(BW23:BW219),"")))</f>
        <v>2.8205128205128203</v>
      </c>
      <c r="BY23" s="12">
        <f>IF('Données projet'!$A$114&gt;35,BY22+BX23-CG22,IF(A23&lt;'Données projet'!$A$114,$BV$205^A23,IF(A23='Données projet'!$A$114,'Données projet'!$B$114,BY22+BX23-CG22)))</f>
        <v>34.615384615384613</v>
      </c>
      <c r="BZ23" s="13">
        <f>BY23*VLOOKUP('Données projet'!$B$12,Paramètres!$A$1:$I$89,3,0)*VLOOKUP('Données projet'!$B$12,Paramètres!$A$1:$I$89,5,0)</f>
        <v>28.080000000000002</v>
      </c>
      <c r="CA23" s="13">
        <f t="shared" si="39"/>
        <v>8.7771949685951878</v>
      </c>
      <c r="CB23" s="20">
        <f t="shared" si="10"/>
        <v>64.192947903636622</v>
      </c>
      <c r="CC23" s="59">
        <f t="shared" si="11"/>
        <v>357.52628123696991</v>
      </c>
      <c r="CD23" s="59">
        <f ca="1">AVERAGE(OFFSET($CC$3,0,0,'Données projet'!$E$12+1,1))-AVERAGE(OFFSET($H$3,0,0,'Données projet'!$E$12+1,1))</f>
        <v>72.953866894533007</v>
      </c>
      <c r="CE23" s="59">
        <f t="shared" si="40"/>
        <v>60.640359826163092</v>
      </c>
      <c r="CF23" s="15">
        <f>IF(ISNA(VLOOKUP(A23,'Données projet'!$A$113:$I$133,3,0)),0,VLOOKUP(A23,'Données projet'!$A$113:$I$133,3,0))</f>
        <v>2</v>
      </c>
      <c r="CG23" s="15">
        <f>IF(ISNA(VLOOKUP(A23,'Données projet'!$A$113:$I$133,4,0)),0,VLOOKUP(A23,'Données projet'!$A$113:$I$133,4,0))</f>
        <v>5.7692307692307692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0.1075</v>
      </c>
      <c r="CJ23" s="16">
        <f>IF(ISNA(VLOOKUP(A23,'Données projet'!$A$113:$I$133,7,0)),0%,VLOOKUP(A23,'Données projet'!$A$113:$I$133,7,0))</f>
        <v>0.25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0.55397232565218346</v>
      </c>
      <c r="CM23" s="21">
        <f>EXP(-LN(2)/2)*CM22+(1-EXP(-LN(2)/2))/(LN(2)/2)*CG23*CJ23*VLOOKUP('Données projet'!$B$12,Paramètres!$A$1:$I$89,3,0)*0.475*44/12</f>
        <v>1.1039264900883043</v>
      </c>
      <c r="CN23" s="22">
        <f t="shared" si="12"/>
        <v>1.6578988157404879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4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320.23137288769698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21.495000000000001</v>
      </c>
      <c r="N24" s="13">
        <f>IF('Données projet'!$A$36&gt;35,N23+M24-V23,IF(A24&lt;'Données projet'!$A$36,$K$205^A24,IF(A24='Données projet'!$A$36,'Données projet'!$B$36,N23+M24-V23)))</f>
        <v>168.11000000000004</v>
      </c>
      <c r="O24" s="13">
        <f>N24*VLOOKUP('Données projet'!$B$9,Paramètres!$A$1:$I$89,3,0)*VLOOKUP('Données projet'!$B$9,Paramètres!$A$1:$I$89,5,0)</f>
        <v>100.52978000000003</v>
      </c>
      <c r="P24" s="13">
        <f t="shared" si="33"/>
        <v>27.088171488936723</v>
      </c>
      <c r="Q24" s="20">
        <f t="shared" si="2"/>
        <v>222.26793217656484</v>
      </c>
      <c r="R24" s="59">
        <f t="shared" si="0"/>
        <v>515.60126550989821</v>
      </c>
      <c r="S24" s="59">
        <f ca="1">AVERAGE(OFFSET($R$3,0,0,'Données projet'!$E$9+1,1))-AVERAGE(OFFSET($H$3,0,0,'Données projet'!$E$9+1,1))</f>
        <v>235.90365770026909</v>
      </c>
      <c r="T24" s="59">
        <f t="shared" si="34"/>
        <v>348.09952585694253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5.1381546446618671</v>
      </c>
      <c r="AA24" s="21">
        <f>EXP(-LN(2)/25)*AA23+(1-EXP(-LN(2)/25))/(LN(2)/25)*Calculateur!V24*Calculateur!X24*VLOOKUP('Données projet'!$B$9,Paramètres!$A$1:$I$89,3,0)*0.475*44/12</f>
        <v>12.523178548569694</v>
      </c>
      <c r="AB24" s="21">
        <f>EXP(-LN(2)/2)*AB23+(1-EXP(-LN(2)/2))/(LN(2)/2)*V24*Y24*VLOOKUP('Données projet'!$B$9,Paramètres!$A$1:$I$89,3,0)*0.475*44/12</f>
        <v>8.7414165417450054</v>
      </c>
      <c r="AC24" s="22">
        <f t="shared" si="3"/>
        <v>26.402749734976567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4.0942857142857143</v>
      </c>
      <c r="AI24" s="13">
        <f>IF('Données projet'!$A$62&gt;35,AI23+AH24-AQ23,IF(A24&lt;'Données projet'!$A$62,$AF$205^A24,IF(A24='Données projet'!$A$62,'Données projet'!$B$62,AI23+AH24-AQ23)))</f>
        <v>85.980000000000047</v>
      </c>
      <c r="AJ24" s="13">
        <f>AI24*VLOOKUP('Données projet'!$B$10,Paramètres!$A$1:$I$89,3,0)*VLOOKUP('Données projet'!$B$10,Paramètres!$A$1:$I$89,5,0)</f>
        <v>77.794704000000038</v>
      </c>
      <c r="AK24" s="13">
        <f t="shared" si="35"/>
        <v>21.597103708846074</v>
      </c>
      <c r="AL24" s="20">
        <f t="shared" si="4"/>
        <v>173.10739842624028</v>
      </c>
      <c r="AM24" s="59">
        <f t="shared" si="5"/>
        <v>466.44073175957362</v>
      </c>
      <c r="AN24" s="59">
        <f ca="1">AVERAGE(OFFSET($AM$3,0,0,'Données projet'!$E$10+1,1))-AVERAGE(OFFSET($H$3,0,0,'Données projet'!$E$10+1,1))</f>
        <v>490.21869105612649</v>
      </c>
      <c r="AO24" s="59">
        <f t="shared" si="36"/>
        <v>207.08773997010911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5.1282051282051295</v>
      </c>
      <c r="BD24" s="12">
        <f>IF('Données projet'!$A$88&gt;35,BD23+BC24-BL23,IF(A24&lt;'Données projet'!$A$88,$BA$205^A24,IF(A24='Données projet'!$A$88,'Données projet'!$B$88,BD23+BC24-BL23)))</f>
        <v>42.307692307692307</v>
      </c>
      <c r="BE24" s="13">
        <f>BD24*VLOOKUP('Données projet'!$B$11,Paramètres!$A$1:$I$89,3,0)*VLOOKUP('Données projet'!$B$11,Paramètres!$A$1:$I$89,5,0)</f>
        <v>44.22</v>
      </c>
      <c r="BF24" s="13">
        <f t="shared" si="37"/>
        <v>13.110546100999768</v>
      </c>
      <c r="BG24" s="20">
        <f t="shared" si="7"/>
        <v>99.850701125907918</v>
      </c>
      <c r="BH24" s="59">
        <f t="shared" si="8"/>
        <v>393.18403445924122</v>
      </c>
      <c r="BI24" s="59">
        <f ca="1">AVERAGE(OFFSET($BH$3,0,0,'Données projet'!$E$11+1,1))-AVERAGE(OFFSET($H$3,0,0,'Données projet'!$E$11+1,1))</f>
        <v>144.01698107732989</v>
      </c>
      <c r="BJ24" s="59">
        <f t="shared" si="38"/>
        <v>139.28039875117332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4.474080696254239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4.474080696254239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2.9487179487179498</v>
      </c>
      <c r="BY24" s="12">
        <f>IF('Données projet'!$A$114&gt;35,BY23+BX24-CG23,IF(A24&lt;'Données projet'!$A$114,$BV$205^A24,IF(A24='Données projet'!$A$114,'Données projet'!$B$114,BY23+BX24-CG23)))</f>
        <v>31.794871794871792</v>
      </c>
      <c r="BZ24" s="13">
        <f>BY24*VLOOKUP('Données projet'!$B$12,Paramètres!$A$1:$I$89,3,0)*VLOOKUP('Données projet'!$B$12,Paramètres!$A$1:$I$89,5,0)</f>
        <v>25.791999999999998</v>
      </c>
      <c r="CA24" s="13">
        <f t="shared" si="39"/>
        <v>8.1421711792342304</v>
      </c>
      <c r="CB24" s="20">
        <f t="shared" si="10"/>
        <v>59.102014803832951</v>
      </c>
      <c r="CC24" s="59">
        <f t="shared" si="11"/>
        <v>352.43534813716627</v>
      </c>
      <c r="CD24" s="59">
        <f ca="1">AVERAGE(OFFSET($CC$3,0,0,'Données projet'!$E$12+1,1))-AVERAGE(OFFSET($H$3,0,0,'Données projet'!$E$12+1,1))</f>
        <v>72.953866894533007</v>
      </c>
      <c r="CE24" s="59">
        <f t="shared" si="40"/>
        <v>60.640359826163092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0.53882392327508599</v>
      </c>
      <c r="CM24" s="21">
        <f>EXP(-LN(2)/2)*CM23+(1-EXP(-LN(2)/2))/(LN(2)/2)*CG24*CJ24*VLOOKUP('Données projet'!$B$12,Paramètres!$A$1:$I$89,3,0)*0.475*44/12</f>
        <v>0.7805939070729041</v>
      </c>
      <c r="CN24" s="22">
        <f t="shared" si="12"/>
        <v>1.31941783034799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4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321.47303657691953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21.495000000000001</v>
      </c>
      <c r="N25" s="13">
        <f>IF('Données projet'!$A$36&gt;35,N24+M25-V24,IF(A25&lt;'Données projet'!$A$36,$K$205^A25,IF(A25='Données projet'!$A$36,'Données projet'!$B$36,N24+M25-V24)))</f>
        <v>189.60500000000005</v>
      </c>
      <c r="O25" s="13">
        <f>N25*VLOOKUP('Données projet'!$B$9,Paramètres!$A$1:$I$89,3,0)*VLOOKUP('Données projet'!$B$9,Paramètres!$A$1:$I$89,5,0)</f>
        <v>113.38379000000003</v>
      </c>
      <c r="P25" s="13">
        <f t="shared" si="33"/>
        <v>30.126820629794555</v>
      </c>
      <c r="Q25" s="20">
        <f t="shared" si="2"/>
        <v>249.94764684689224</v>
      </c>
      <c r="R25" s="59">
        <f t="shared" si="0"/>
        <v>543.28098018022558</v>
      </c>
      <c r="S25" s="59">
        <f ca="1">AVERAGE(OFFSET($R$3,0,0,'Données projet'!$E$9+1,1))-AVERAGE(OFFSET($H$3,0,0,'Données projet'!$E$9+1,1))</f>
        <v>235.90365770026909</v>
      </c>
      <c r="T25" s="59">
        <f t="shared" si="34"/>
        <v>348.09952585694253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5.0373985660449279</v>
      </c>
      <c r="AA25" s="21">
        <f>EXP(-LN(2)/25)*AA24+(1-EXP(-LN(2)/25))/(LN(2)/25)*Calculateur!V25*Calculateur!X25*VLOOKUP('Données projet'!$B$9,Paramètres!$A$1:$I$89,3,0)*0.475*44/12</f>
        <v>12.180731572593718</v>
      </c>
      <c r="AB25" s="21">
        <f>EXP(-LN(2)/2)*AB24+(1-EXP(-LN(2)/2))/(LN(2)/2)*V25*Y25*VLOOKUP('Données projet'!$B$9,Paramètres!$A$1:$I$89,3,0)*0.475*44/12</f>
        <v>6.1811149138441532</v>
      </c>
      <c r="AC25" s="22">
        <f t="shared" si="3"/>
        <v>23.399245052482797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4.0942857142857143</v>
      </c>
      <c r="AI25" s="13">
        <f>IF('Données projet'!$A$62&gt;35,AI24+AH25-AQ24,IF(A25&lt;'Données projet'!$A$62,$AF$205^A25,IF(A25='Données projet'!$A$62,'Données projet'!$B$62,AI24+AH25-AQ24)))</f>
        <v>90.074285714285764</v>
      </c>
      <c r="AJ25" s="13">
        <f>AI25*VLOOKUP('Données projet'!$B$10,Paramètres!$A$1:$I$89,3,0)*VLOOKUP('Données projet'!$B$10,Paramètres!$A$1:$I$89,5,0)</f>
        <v>81.499213714285759</v>
      </c>
      <c r="AK25" s="13">
        <f t="shared" si="35"/>
        <v>22.503352631648468</v>
      </c>
      <c r="AL25" s="20">
        <f t="shared" si="4"/>
        <v>181.13780305250211</v>
      </c>
      <c r="AM25" s="59">
        <f t="shared" si="5"/>
        <v>474.47113638583539</v>
      </c>
      <c r="AN25" s="59">
        <f ca="1">AVERAGE(OFFSET($AM$3,0,0,'Données projet'!$E$10+1,1))-AVERAGE(OFFSET($H$3,0,0,'Données projet'!$E$10+1,1))</f>
        <v>490.21869105612649</v>
      </c>
      <c r="AO25" s="59">
        <f t="shared" si="36"/>
        <v>207.08773997010911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5.1282051282051295</v>
      </c>
      <c r="BD25" s="12">
        <f>IF('Données projet'!$A$88&gt;35,BD24+BC25-BL24,IF(A25&lt;'Données projet'!$A$88,$BA$205^A25,IF(A25='Données projet'!$A$88,'Données projet'!$B$88,BD24+BC25-BL24)))</f>
        <v>47.435897435897438</v>
      </c>
      <c r="BE25" s="13">
        <f>BD25*VLOOKUP('Données projet'!$B$11,Paramètres!$A$1:$I$89,3,0)*VLOOKUP('Données projet'!$B$11,Paramètres!$A$1:$I$89,5,0)</f>
        <v>49.580000000000005</v>
      </c>
      <c r="BF25" s="13">
        <f t="shared" si="37"/>
        <v>14.505239638165149</v>
      </c>
      <c r="BG25" s="20">
        <f t="shared" si="7"/>
        <v>111.61512570313762</v>
      </c>
      <c r="BH25" s="59">
        <f t="shared" si="8"/>
        <v>404.94845903647092</v>
      </c>
      <c r="BI25" s="59">
        <f ca="1">AVERAGE(OFFSET($BH$3,0,0,'Données projet'!$E$11+1,1))-AVERAGE(OFFSET($H$3,0,0,'Données projet'!$E$11+1,1))</f>
        <v>144.01698107732989</v>
      </c>
      <c r="BJ25" s="59">
        <f t="shared" si="38"/>
        <v>139.28039875117332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4.351736724333489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4.351736724333489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2.9487179487179498</v>
      </c>
      <c r="BY25" s="12">
        <f>IF('Données projet'!$A$114&gt;35,BY24+BX25-CG24,IF(A25&lt;'Données projet'!$A$114,$BV$205^A25,IF(A25='Données projet'!$A$114,'Données projet'!$B$114,BY24+BX25-CG24)))</f>
        <v>34.743589743589745</v>
      </c>
      <c r="BZ25" s="13">
        <f>BY25*VLOOKUP('Données projet'!$B$12,Paramètres!$A$1:$I$89,3,0)*VLOOKUP('Données projet'!$B$12,Paramètres!$A$1:$I$89,5,0)</f>
        <v>28.184000000000001</v>
      </c>
      <c r="CA25" s="13">
        <f t="shared" si="39"/>
        <v>8.8059129686929793</v>
      </c>
      <c r="CB25" s="20">
        <f t="shared" si="10"/>
        <v>64.424098420473612</v>
      </c>
      <c r="CC25" s="59">
        <f t="shared" si="11"/>
        <v>357.75743175380694</v>
      </c>
      <c r="CD25" s="59">
        <f ca="1">AVERAGE(OFFSET($CC$3,0,0,'Données projet'!$E$12+1,1))-AVERAGE(OFFSET($H$3,0,0,'Données projet'!$E$12+1,1))</f>
        <v>72.953866894533007</v>
      </c>
      <c r="CE25" s="59">
        <f t="shared" si="40"/>
        <v>60.640359826163092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0.5240897547576101</v>
      </c>
      <c r="CM25" s="21">
        <f>EXP(-LN(2)/2)*CM24+(1-EXP(-LN(2)/2))/(LN(2)/2)*CG25*CJ25*VLOOKUP('Données projet'!$B$12,Paramètres!$A$1:$I$89,3,0)*0.475*44/12</f>
        <v>0.55196324504415228</v>
      </c>
      <c r="CN25" s="22">
        <f t="shared" si="12"/>
        <v>1.0760529998017625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4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322.71316563033918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21.495000000000001</v>
      </c>
      <c r="N26" s="13">
        <f>IF('Données projet'!$A$36&gt;35,N25+M26-V25,IF(A26&lt;'Données projet'!$A$36,$K$205^A26,IF(A26='Données projet'!$A$36,'Données projet'!$B$36,N25+M26-V25)))</f>
        <v>211.10000000000005</v>
      </c>
      <c r="O26" s="13">
        <f>N26*VLOOKUP('Données projet'!$B$9,Paramètres!$A$1:$I$89,3,0)*VLOOKUP('Données projet'!$B$9,Paramètres!$A$1:$I$89,5,0)</f>
        <v>126.23780000000004</v>
      </c>
      <c r="P26" s="13">
        <f t="shared" si="33"/>
        <v>33.12554513217659</v>
      </c>
      <c r="Q26" s="20">
        <f t="shared" si="2"/>
        <v>277.5578261052076</v>
      </c>
      <c r="R26" s="59">
        <f t="shared" si="0"/>
        <v>570.89115943854085</v>
      </c>
      <c r="S26" s="59">
        <f ca="1">AVERAGE(OFFSET($R$3,0,0,'Données projet'!$E$9+1,1))-AVERAGE(OFFSET($H$3,0,0,'Données projet'!$E$9+1,1))</f>
        <v>235.90365770026909</v>
      </c>
      <c r="T26" s="59">
        <f t="shared" si="34"/>
        <v>348.09952585694253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4.9386182526745266</v>
      </c>
      <c r="AA26" s="21">
        <f>EXP(-LN(2)/25)*AA25+(1-EXP(-LN(2)/25))/(LN(2)/25)*Calculateur!V26*Calculateur!X26*VLOOKUP('Données projet'!$B$9,Paramètres!$A$1:$I$89,3,0)*0.475*44/12</f>
        <v>11.847648827184308</v>
      </c>
      <c r="AB26" s="21">
        <f>EXP(-LN(2)/2)*AB25+(1-EXP(-LN(2)/2))/(LN(2)/2)*V26*Y26*VLOOKUP('Données projet'!$B$9,Paramètres!$A$1:$I$89,3,0)*0.475*44/12</f>
        <v>4.3707082708725036</v>
      </c>
      <c r="AC26" s="22">
        <f t="shared" si="3"/>
        <v>21.156975350731337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4.0942857142857143</v>
      </c>
      <c r="AI26" s="13">
        <f>IF('Données projet'!$A$62&gt;35,AI25+AH26-AQ25,IF(A26&lt;'Données projet'!$A$62,$AF$205^A26,IF(A26='Données projet'!$A$62,'Données projet'!$B$62,AI25+AH26-AQ25)))</f>
        <v>94.168571428571482</v>
      </c>
      <c r="AJ26" s="13">
        <f>AI26*VLOOKUP('Données projet'!$B$10,Paramètres!$A$1:$I$89,3,0)*VLOOKUP('Données projet'!$B$10,Paramètres!$A$1:$I$89,5,0)</f>
        <v>85.203723428571479</v>
      </c>
      <c r="AK26" s="13">
        <f t="shared" si="35"/>
        <v>23.404817596574706</v>
      </c>
      <c r="AL26" s="20">
        <f t="shared" si="4"/>
        <v>189.15987561879626</v>
      </c>
      <c r="AM26" s="59">
        <f t="shared" si="5"/>
        <v>482.49320895212958</v>
      </c>
      <c r="AN26" s="59">
        <f ca="1">AVERAGE(OFFSET($AM$3,0,0,'Données projet'!$E$10+1,1))-AVERAGE(OFFSET($H$3,0,0,'Données projet'!$E$10+1,1))</f>
        <v>490.21869105612649</v>
      </c>
      <c r="AO26" s="59">
        <f t="shared" si="36"/>
        <v>207.08773997010911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5.1282051282051295</v>
      </c>
      <c r="BD26" s="12">
        <f>IF('Données projet'!$A$88&gt;35,BD25+BC26-BL25,IF(A26&lt;'Données projet'!$A$88,$BA$205^A26,IF(A26='Données projet'!$A$88,'Données projet'!$B$88,BD25+BC26-BL25)))</f>
        <v>52.564102564102569</v>
      </c>
      <c r="BE26" s="13">
        <f>BD26*VLOOKUP('Données projet'!$B$11,Paramètres!$A$1:$I$89,3,0)*VLOOKUP('Données projet'!$B$11,Paramètres!$A$1:$I$89,5,0)</f>
        <v>54.940000000000012</v>
      </c>
      <c r="BF26" s="13">
        <f t="shared" si="37"/>
        <v>15.88245671832347</v>
      </c>
      <c r="BG26" s="20">
        <f t="shared" si="7"/>
        <v>123.3491121177467</v>
      </c>
      <c r="BH26" s="59">
        <f t="shared" si="8"/>
        <v>416.68244545108001</v>
      </c>
      <c r="BI26" s="59">
        <f ca="1">AVERAGE(OFFSET($BH$3,0,0,'Données projet'!$E$11+1,1))-AVERAGE(OFFSET($H$3,0,0,'Données projet'!$E$11+1,1))</f>
        <v>144.01698107732989</v>
      </c>
      <c r="BJ26" s="59">
        <f t="shared" si="38"/>
        <v>139.28039875117332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4.2327382547587016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4.2327382547587016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2.9487179487179498</v>
      </c>
      <c r="BY26" s="12">
        <f>IF('Données projet'!$A$114&gt;35,BY25+BX26-CG25,IF(A26&lt;'Données projet'!$A$114,$BV$205^A26,IF(A26='Données projet'!$A$114,'Données projet'!$B$114,BY25+BX26-CG25)))</f>
        <v>37.692307692307693</v>
      </c>
      <c r="BZ26" s="13">
        <f>BY26*VLOOKUP('Données projet'!$B$12,Paramètres!$A$1:$I$89,3,0)*VLOOKUP('Données projet'!$B$12,Paramètres!$A$1:$I$89,5,0)</f>
        <v>30.576000000000004</v>
      </c>
      <c r="CA26" s="13">
        <f t="shared" si="39"/>
        <v>9.4631216842413863</v>
      </c>
      <c r="CB26" s="20">
        <f t="shared" si="10"/>
        <v>69.734803600053766</v>
      </c>
      <c r="CC26" s="59">
        <f t="shared" si="11"/>
        <v>363.06813693338711</v>
      </c>
      <c r="CD26" s="59">
        <f ca="1">AVERAGE(OFFSET($CC$3,0,0,'Données projet'!$E$12+1,1))-AVERAGE(OFFSET($H$3,0,0,'Données projet'!$E$12+1,1))</f>
        <v>72.953866894533007</v>
      </c>
      <c r="CE26" s="59">
        <f t="shared" si="40"/>
        <v>60.640359826163092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0.50975849285308084</v>
      </c>
      <c r="CM26" s="21">
        <f>EXP(-LN(2)/2)*CM25+(1-EXP(-LN(2)/2))/(LN(2)/2)*CG26*CJ26*VLOOKUP('Données projet'!$B$12,Paramètres!$A$1:$I$89,3,0)*0.475*44/12</f>
        <v>0.39029695353645211</v>
      </c>
      <c r="CN26" s="22">
        <f t="shared" si="12"/>
        <v>0.90005544638953294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4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323.95183439748814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21.495000000000001</v>
      </c>
      <c r="N27" s="13">
        <f>IF('Données projet'!$A$36&gt;35,N26+M27-V26,IF(A27&lt;'Données projet'!$A$36,$K$205^A27,IF(A27='Données projet'!$A$36,'Données projet'!$B$36,N26+M27-V26)))</f>
        <v>232.59500000000006</v>
      </c>
      <c r="O27" s="13">
        <f>N27*VLOOKUP('Données projet'!$B$9,Paramètres!$A$1:$I$89,3,0)*VLOOKUP('Données projet'!$B$9,Paramètres!$A$1:$I$89,5,0)</f>
        <v>139.09181000000004</v>
      </c>
      <c r="P27" s="13">
        <f t="shared" si="33"/>
        <v>36.088873178833992</v>
      </c>
      <c r="Q27" s="20">
        <f t="shared" si="2"/>
        <v>305.10635653646926</v>
      </c>
      <c r="R27" s="59">
        <f t="shared" si="0"/>
        <v>598.43968986980258</v>
      </c>
      <c r="S27" s="59">
        <f ca="1">AVERAGE(OFFSET($R$3,0,0,'Données projet'!$E$9+1,1))-AVERAGE(OFFSET($H$3,0,0,'Données projet'!$E$9+1,1))</f>
        <v>235.90365770026909</v>
      </c>
      <c r="T27" s="59">
        <f t="shared" si="34"/>
        <v>348.09952585694253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4.8417749609992775</v>
      </c>
      <c r="AA27" s="21">
        <f>EXP(-LN(2)/25)*AA26+(1-EXP(-LN(2)/25))/(LN(2)/25)*Calculateur!V27*Calculateur!X27*VLOOKUP('Données projet'!$B$9,Paramètres!$A$1:$I$89,3,0)*0.475*44/12</f>
        <v>11.52367424696418</v>
      </c>
      <c r="AB27" s="21">
        <f>EXP(-LN(2)/2)*AB26+(1-EXP(-LN(2)/2))/(LN(2)/2)*V27*Y27*VLOOKUP('Données projet'!$B$9,Paramètres!$A$1:$I$89,3,0)*0.475*44/12</f>
        <v>3.0905574569220771</v>
      </c>
      <c r="AC27" s="22">
        <f t="shared" si="3"/>
        <v>19.456006664885535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4.0942857142857143</v>
      </c>
      <c r="AI27" s="13">
        <f>IF('Données projet'!$A$62&gt;35,AI26+AH27-AQ26,IF(A27&lt;'Données projet'!$A$62,$AF$205^A27,IF(A27='Données projet'!$A$62,'Données projet'!$B$62,AI26+AH27-AQ26)))</f>
        <v>98.2628571428572</v>
      </c>
      <c r="AJ27" s="13">
        <f>AI27*VLOOKUP('Données projet'!$B$10,Paramètres!$A$1:$I$89,3,0)*VLOOKUP('Données projet'!$B$10,Paramètres!$A$1:$I$89,5,0)</f>
        <v>88.908233142857185</v>
      </c>
      <c r="AK27" s="13">
        <f t="shared" si="35"/>
        <v>24.301730375247274</v>
      </c>
      <c r="AL27" s="20">
        <f t="shared" si="4"/>
        <v>197.17401979403192</v>
      </c>
      <c r="AM27" s="59">
        <f t="shared" si="5"/>
        <v>490.50735312736526</v>
      </c>
      <c r="AN27" s="59">
        <f ca="1">AVERAGE(OFFSET($AM$3,0,0,'Données projet'!$E$10+1,1))-AVERAGE(OFFSET($H$3,0,0,'Données projet'!$E$10+1,1))</f>
        <v>490.21869105612649</v>
      </c>
      <c r="AO27" s="59">
        <f t="shared" si="36"/>
        <v>207.08773997010911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5.1282051282051295</v>
      </c>
      <c r="BD27" s="12">
        <f>IF('Données projet'!$A$88&gt;35,BD26+BC27-BL26,IF(A27&lt;'Données projet'!$A$88,$BA$205^A27,IF(A27='Données projet'!$A$88,'Données projet'!$B$88,BD26+BC27-BL26)))</f>
        <v>57.692307692307701</v>
      </c>
      <c r="BE27" s="13">
        <f>BD27*VLOOKUP('Données projet'!$B$11,Paramètres!$A$1:$I$89,3,0)*VLOOKUP('Données projet'!$B$11,Paramètres!$A$1:$I$89,5,0)</f>
        <v>60.300000000000011</v>
      </c>
      <c r="BF27" s="13">
        <f t="shared" si="37"/>
        <v>17.24409639377615</v>
      </c>
      <c r="BG27" s="20">
        <f t="shared" si="7"/>
        <v>135.05596788582679</v>
      </c>
      <c r="BH27" s="59">
        <f t="shared" si="8"/>
        <v>428.38930121916007</v>
      </c>
      <c r="BI27" s="59">
        <f ca="1">AVERAGE(OFFSET($BH$3,0,0,'Données projet'!$E$11+1,1))-AVERAGE(OFFSET($H$3,0,0,'Données projet'!$E$11+1,1))</f>
        <v>144.01698107732989</v>
      </c>
      <c r="BJ27" s="59">
        <f t="shared" si="38"/>
        <v>139.28039875117332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4.116993804592294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4.116993804592294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2.9487179487179498</v>
      </c>
      <c r="BY27" s="12">
        <f>IF('Données projet'!$A$114&gt;35,BY26+BX27-CG26,IF(A27&lt;'Données projet'!$A$114,$BV$205^A27,IF(A27='Données projet'!$A$114,'Données projet'!$B$114,BY26+BX27-CG26)))</f>
        <v>40.641025641025642</v>
      </c>
      <c r="BZ27" s="13">
        <f>BY27*VLOOKUP('Données projet'!$B$12,Paramètres!$A$1:$I$89,3,0)*VLOOKUP('Données projet'!$B$12,Paramètres!$A$1:$I$89,5,0)</f>
        <v>32.968000000000004</v>
      </c>
      <c r="CA27" s="13">
        <f t="shared" si="39"/>
        <v>10.114366524983168</v>
      </c>
      <c r="CB27" s="20">
        <f t="shared" si="10"/>
        <v>75.035121697679017</v>
      </c>
      <c r="CC27" s="59">
        <f t="shared" si="11"/>
        <v>368.36845503101233</v>
      </c>
      <c r="CD27" s="59">
        <f ca="1">AVERAGE(OFFSET($CC$3,0,0,'Données projet'!$E$12+1,1))-AVERAGE(OFFSET($H$3,0,0,'Données projet'!$E$12+1,1))</f>
        <v>72.953866894533007</v>
      </c>
      <c r="CE27" s="59">
        <f t="shared" si="40"/>
        <v>60.640359826163092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0.49581912005897927</v>
      </c>
      <c r="CM27" s="21">
        <f>EXP(-LN(2)/2)*CM26+(1-EXP(-LN(2)/2))/(LN(2)/2)*CG27*CJ27*VLOOKUP('Données projet'!$B$12,Paramètres!$A$1:$I$89,3,0)*0.475*44/12</f>
        <v>0.27598162252207614</v>
      </c>
      <c r="CN27" s="22">
        <f t="shared" si="12"/>
        <v>0.77180074258105535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4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325.18911068157126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254.09</v>
      </c>
      <c r="L28" s="12">
        <f>VLOOKUP(A28,'Données projet'!$A$35:$I$55,9,0)</f>
        <v>21.495000000000001</v>
      </c>
      <c r="M28" s="12">
        <f t="array" ref="M28">INDEX(L:L,MIN(IF(ISNUMBER(L28:L224),ROW(L28:L224),"")))</f>
        <v>21.495000000000001</v>
      </c>
      <c r="N28" s="13">
        <f>IF('Données projet'!$A$36&gt;35,N27+M28-V27,IF(A28&lt;'Données projet'!$A$36,$K$205^A28,IF(A28='Données projet'!$A$36,'Données projet'!$B$36,N27+M28-V27)))</f>
        <v>254.09000000000006</v>
      </c>
      <c r="O28" s="13">
        <f>N28*VLOOKUP('Données projet'!$B$9,Paramètres!$A$1:$I$89,3,0)*VLOOKUP('Données projet'!$B$9,Paramètres!$A$1:$I$89,5,0)</f>
        <v>151.94582000000005</v>
      </c>
      <c r="P28" s="13">
        <f t="shared" si="33"/>
        <v>39.020447951544874</v>
      </c>
      <c r="Q28" s="20">
        <f t="shared" si="2"/>
        <v>332.59958334894071</v>
      </c>
      <c r="R28" s="59">
        <f t="shared" si="0"/>
        <v>625.93291668227403</v>
      </c>
      <c r="S28" s="59">
        <f ca="1">AVERAGE(OFFSET($R$3,0,0,'Données projet'!$E$9+1,1))-AVERAGE(OFFSET($H$3,0,0,'Données projet'!$E$9+1,1))</f>
        <v>235.90365770026909</v>
      </c>
      <c r="T28" s="59">
        <f t="shared" si="34"/>
        <v>348.09952585694253</v>
      </c>
      <c r="U28" s="15">
        <f>IF(ISNA(VLOOKUP(A28,'Données projet'!$A$35:$I$55,3,0)),0,VLOOKUP(A28,'Données projet'!$A$35:$I$55,3,0))</f>
        <v>3</v>
      </c>
      <c r="V28" s="15">
        <f>IF(ISNA(VLOOKUP(A28,'Données projet'!$A$35:$I$55,4,0)),0,VLOOKUP(A28,'Données projet'!$A$35:$I$55,4,0))</f>
        <v>61.28</v>
      </c>
      <c r="W28" s="16">
        <f>IF(ISNA(VLOOKUP(A28,'Données projet'!$A$35:$I$55,5,0)),0%,VLOOKUP(A28,'Données projet'!$A$35:$I$55,5,0)*VLOOKUP('Données projet'!$B$9,Paramètres!$A$1:$I$89,7,0))</f>
        <v>0.27</v>
      </c>
      <c r="X28" s="16">
        <f>IF(ISNA(VLOOKUP(A28,'Données projet'!$A$35:$I$55,6,0)),0%,VLOOKUP(A28,'Données projet'!$A$35:$I$55,6,0)*VLOOKUP('Données projet'!$B$9,Paramètres!$A$1:$I$89,7,0))</f>
        <v>9.0000000000000011E-2</v>
      </c>
      <c r="Y28" s="16">
        <f>IF(ISNA(VLOOKUP(A28,'Données projet'!$A$35:$I$55,7,0)),0%,VLOOKUP(A28,'Données projet'!$A$35:$I$55,7,0))</f>
        <v>0.2</v>
      </c>
      <c r="Z28" s="21">
        <f>EXP(-LN(2)/35)*Z27+(1-EXP(-LN(2)/35))/(LN(2)/35)*V28*W28*VLOOKUP('Données projet'!$B$9,Paramètres!$A$1:$I$89,3,0)*0.475*44/12</f>
        <v>17.872216009849637</v>
      </c>
      <c r="AA28" s="21">
        <f>EXP(-LN(2)/25)*AA27+(1-EXP(-LN(2)/25))/(LN(2)/25)*Calculateur!V28*Calculateur!X28*VLOOKUP('Données projet'!$B$9,Paramètres!$A$1:$I$89,3,0)*0.475*44/12</f>
        <v>15.566460655191932</v>
      </c>
      <c r="AB28" s="21">
        <f>EXP(-LN(2)/2)*AB27+(1-EXP(-LN(2)/2))/(LN(2)/2)*V28*Y28*VLOOKUP('Données projet'!$B$9,Paramètres!$A$1:$I$89,3,0)*0.475*44/12</f>
        <v>10.483584280449906</v>
      </c>
      <c r="AC28" s="22">
        <f t="shared" si="3"/>
        <v>43.922260945491473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4.0942857142857143</v>
      </c>
      <c r="AI28" s="13">
        <f>IF('Données projet'!$A$62&gt;35,AI27+AH28-AQ27,IF(A28&lt;'Données projet'!$A$62,$AF$205^A28,IF(A28='Données projet'!$A$62,'Données projet'!$B$62,AI27+AH28-AQ27)))</f>
        <v>102.35714285714292</v>
      </c>
      <c r="AJ28" s="13">
        <f>AI28*VLOOKUP('Données projet'!$B$10,Paramètres!$A$1:$I$89,3,0)*VLOOKUP('Données projet'!$B$10,Paramètres!$A$1:$I$89,5,0)</f>
        <v>92.612742857142905</v>
      </c>
      <c r="AK28" s="13">
        <f t="shared" si="35"/>
        <v>25.194302332262133</v>
      </c>
      <c r="AL28" s="20">
        <f t="shared" si="4"/>
        <v>205.18060370488044</v>
      </c>
      <c r="AM28" s="59">
        <f t="shared" si="5"/>
        <v>498.51393703821373</v>
      </c>
      <c r="AN28" s="59">
        <f ca="1">AVERAGE(OFFSET($AM$3,0,0,'Données projet'!$E$10+1,1))-AVERAGE(OFFSET($H$3,0,0,'Données projet'!$E$10+1,1))</f>
        <v>490.21869105612649</v>
      </c>
      <c r="AO28" s="59">
        <f t="shared" si="36"/>
        <v>207.08773997010911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>
        <f>VLOOKUP(A28,'Données projet'!$A$87:$I$107,2,0)</f>
        <v>62.820512820512818</v>
      </c>
      <c r="BB28" s="12">
        <f>VLOOKUP(A28,'Données projet'!$A$87:$I$107,9,0)</f>
        <v>5.1282051282051295</v>
      </c>
      <c r="BC28" s="12">
        <f t="array" ref="BC28">INDEX(BB:BB,MIN(IF(ISNUMBER(BB28:BB224),ROW(BB28:BB224),"")))</f>
        <v>5.1282051282051295</v>
      </c>
      <c r="BD28" s="12">
        <f>IF('Données projet'!$A$88&gt;35,BD27+BC28-BL27,IF(A28&lt;'Données projet'!$A$88,$BA$205^A28,IF(A28='Données projet'!$A$88,'Données projet'!$B$88,BD27+BC28-BL27)))</f>
        <v>62.820512820512832</v>
      </c>
      <c r="BE28" s="13">
        <f>BD28*VLOOKUP('Données projet'!$B$11,Paramètres!$A$1:$I$89,3,0)*VLOOKUP('Données projet'!$B$11,Paramètres!$A$1:$I$89,5,0)</f>
        <v>65.660000000000011</v>
      </c>
      <c r="BF28" s="13">
        <f t="shared" si="37"/>
        <v>18.591700776040714</v>
      </c>
      <c r="BG28" s="20">
        <f t="shared" si="7"/>
        <v>146.73837885160424</v>
      </c>
      <c r="BH28" s="59">
        <f t="shared" si="8"/>
        <v>440.07171218493755</v>
      </c>
      <c r="BI28" s="59">
        <f ca="1">AVERAGE(OFFSET($BH$3,0,0,'Données projet'!$E$11+1,1))-AVERAGE(OFFSET($H$3,0,0,'Données projet'!$E$11+1,1))</f>
        <v>144.01698107732989</v>
      </c>
      <c r="BJ28" s="59">
        <f t="shared" si="38"/>
        <v>139.28039875117332</v>
      </c>
      <c r="BK28" s="15">
        <f>IF(ISNA(VLOOKUP(A28,'Données projet'!$A$87:$I$107,3,0)),0,VLOOKUP(A28,'Données projet'!$A$87:$I$107,3,0))</f>
        <v>2</v>
      </c>
      <c r="BL28" s="15">
        <f>IF(ISNA(VLOOKUP(A28,'Données projet'!$A$87:$I$107,4,0)),0,VLOOKUP(A28,'Données projet'!$A$87:$I$107,4,0))</f>
        <v>12.179487179487179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0.215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7.0181185401743438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7.0181185401743438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>
        <f>VLOOKUP(A28,'Données projet'!$A$113:$I$133,2,0)</f>
        <v>43.589743589743591</v>
      </c>
      <c r="BW28" s="12">
        <f>VLOOKUP(A28,'Données projet'!$A$113:$I$133,9,0)</f>
        <v>2.9487179487179498</v>
      </c>
      <c r="BX28" s="12">
        <f t="array" ref="BX28">INDEX(BW:BW,MIN(IF(ISNUMBER(BW28:BW224),ROW(BW28:BW224),"")))</f>
        <v>2.9487179487179498</v>
      </c>
      <c r="BY28" s="12">
        <f>IF('Données projet'!$A$114&gt;35,BY27+BX28-CG27,IF(A28&lt;'Données projet'!$A$114,$BV$205^A28,IF(A28='Données projet'!$A$114,'Données projet'!$B$114,BY27+BX28-CG27)))</f>
        <v>43.589743589743591</v>
      </c>
      <c r="BZ28" s="13">
        <f>BY28*VLOOKUP('Données projet'!$B$12,Paramètres!$A$1:$I$89,3,0)*VLOOKUP('Données projet'!$B$12,Paramètres!$A$1:$I$89,5,0)</f>
        <v>35.360000000000007</v>
      </c>
      <c r="CA28" s="13">
        <f t="shared" si="39"/>
        <v>10.760129410861797</v>
      </c>
      <c r="CB28" s="20">
        <f t="shared" si="10"/>
        <v>80.325892057250982</v>
      </c>
      <c r="CC28" s="59">
        <f t="shared" si="11"/>
        <v>373.65922539058431</v>
      </c>
      <c r="CD28" s="59">
        <f ca="1">AVERAGE(OFFSET($CC$3,0,0,'Données projet'!$E$12+1,1))-AVERAGE(OFFSET($H$3,0,0,'Données projet'!$E$12+1,1))</f>
        <v>72.953866894533007</v>
      </c>
      <c r="CE28" s="59">
        <f t="shared" si="40"/>
        <v>60.640359826163092</v>
      </c>
      <c r="CF28" s="15">
        <f>IF(ISNA(VLOOKUP(A28,'Données projet'!$A$113:$I$133,3,0)),0,VLOOKUP(A28,'Données projet'!$A$113:$I$133,3,0))</f>
        <v>3</v>
      </c>
      <c r="CG28" s="15">
        <f>IF(ISNA(VLOOKUP(A28,'Données projet'!$A$113:$I$133,4,0)),0,VLOOKUP(A28,'Données projet'!$A$113:$I$133,4,0))</f>
        <v>5.1282051282051277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0.1075</v>
      </c>
      <c r="CJ28" s="16">
        <f>IF(ISNA(VLOOKUP(A28,'Données projet'!$A$113:$I$133,7,0)),0%,VLOOKUP(A28,'Données projet'!$A$113:$I$133,7,0))</f>
        <v>0.25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0.97468076517113511</v>
      </c>
      <c r="CM28" s="21">
        <f>EXP(-LN(2)/2)*CM27+(1-EXP(-LN(2)/2))/(LN(2)/2)*CG28*CJ28*VLOOKUP('Données projet'!$B$12,Paramètres!$A$1:$I$89,3,0)*0.475*44/12</f>
        <v>1.1764164679578297</v>
      </c>
      <c r="CN28" s="22">
        <f t="shared" si="12"/>
        <v>2.1510972331289651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4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326.42505655450702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20.647142857142853</v>
      </c>
      <c r="N29" s="13">
        <f>IF('Données projet'!$A$36&gt;35,N28+M29-V28,IF(A29&lt;'Données projet'!$A$36,$K$205^A29,IF(A29='Données projet'!$A$36,'Données projet'!$B$36,N28+M29-V28)))</f>
        <v>213.45714285714288</v>
      </c>
      <c r="O29" s="13">
        <f>N29*VLOOKUP('Données projet'!$B$9,Paramètres!$A$1:$I$89,3,0)*VLOOKUP('Données projet'!$B$9,Paramètres!$A$1:$I$89,5,0)</f>
        <v>127.64737142857146</v>
      </c>
      <c r="P29" s="13">
        <f t="shared" si="33"/>
        <v>33.452159477647058</v>
      </c>
      <c r="Q29" s="20">
        <f t="shared" si="2"/>
        <v>280.58168299499727</v>
      </c>
      <c r="R29" s="59">
        <f t="shared" si="0"/>
        <v>573.91501632833058</v>
      </c>
      <c r="S29" s="59">
        <f ca="1">AVERAGE(OFFSET($R$3,0,0,'Données projet'!$E$9+1,1))-AVERAGE(OFFSET($H$3,0,0,'Données projet'!$E$9+1,1))</f>
        <v>235.90365770026909</v>
      </c>
      <c r="T29" s="59">
        <f t="shared" si="34"/>
        <v>348.09952585694253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17.521752754871869</v>
      </c>
      <c r="AA29" s="21">
        <f>EXP(-LN(2)/25)*AA28+(1-EXP(-LN(2)/25))/(LN(2)/25)*Calculateur!V29*Calculateur!X29*VLOOKUP('Données projet'!$B$9,Paramètres!$A$1:$I$89,3,0)*0.475*44/12</f>
        <v>15.14079496997112</v>
      </c>
      <c r="AB29" s="21">
        <f>EXP(-LN(2)/2)*AB28+(1-EXP(-LN(2)/2))/(LN(2)/2)*V29*Y29*VLOOKUP('Données projet'!$B$9,Paramètres!$A$1:$I$89,3,0)*0.475*44/12</f>
        <v>7.4130135358468214</v>
      </c>
      <c r="AC29" s="22">
        <f t="shared" si="3"/>
        <v>40.07556126068981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4.0942857142857143</v>
      </c>
      <c r="AI29" s="13">
        <f>IF('Données projet'!$A$62&gt;35,AI28+AH29-AQ28,IF(A29&lt;'Données projet'!$A$62,$AF$205^A29,IF(A29='Données projet'!$A$62,'Données projet'!$B$62,AI28+AH29-AQ28)))</f>
        <v>106.45142857142864</v>
      </c>
      <c r="AJ29" s="13">
        <f>AI29*VLOOKUP('Données projet'!$B$10,Paramètres!$A$1:$I$89,3,0)*VLOOKUP('Données projet'!$B$10,Paramètres!$A$1:$I$89,5,0)</f>
        <v>96.317252571428625</v>
      </c>
      <c r="AK29" s="13">
        <f t="shared" si="35"/>
        <v>26.082726965934707</v>
      </c>
      <c r="AL29" s="20">
        <f t="shared" si="4"/>
        <v>213.1799643609078</v>
      </c>
      <c r="AM29" s="59">
        <f t="shared" si="5"/>
        <v>506.51329769424115</v>
      </c>
      <c r="AN29" s="59">
        <f ca="1">AVERAGE(OFFSET($AM$3,0,0,'Données projet'!$E$10+1,1))-AVERAGE(OFFSET($H$3,0,0,'Données projet'!$E$10+1,1))</f>
        <v>490.21869105612649</v>
      </c>
      <c r="AO29" s="59">
        <f t="shared" si="36"/>
        <v>207.08773997010911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5.1282051282051295</v>
      </c>
      <c r="BD29" s="12">
        <f>IF('Données projet'!$A$88&gt;35,BD28+BC29-BL28,IF(A29&lt;'Données projet'!$A$88,$BA$205^A29,IF(A29='Données projet'!$A$88,'Données projet'!$B$88,BD28+BC29-BL28)))</f>
        <v>55.769230769230774</v>
      </c>
      <c r="BE29" s="13">
        <f>BD29*VLOOKUP('Données projet'!$B$11,Paramètres!$A$1:$I$89,3,0)*VLOOKUP('Données projet'!$B$11,Paramètres!$A$1:$I$89,5,0)</f>
        <v>58.290000000000006</v>
      </c>
      <c r="BF29" s="13">
        <f t="shared" si="37"/>
        <v>16.735202513714196</v>
      </c>
      <c r="BG29" s="20">
        <f t="shared" si="7"/>
        <v>130.66889437805222</v>
      </c>
      <c r="BH29" s="59">
        <f t="shared" si="8"/>
        <v>424.00222771138556</v>
      </c>
      <c r="BI29" s="59">
        <f ca="1">AVERAGE(OFFSET($BH$3,0,0,'Données projet'!$E$11+1,1))-AVERAGE(OFFSET($H$3,0,0,'Données projet'!$E$11+1,1))</f>
        <v>144.01698107732989</v>
      </c>
      <c r="BJ29" s="59">
        <f t="shared" si="38"/>
        <v>139.28039875117332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6.8262077196264626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6.8262077196264626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3.0769230769230744</v>
      </c>
      <c r="BY29" s="12">
        <f>IF('Données projet'!$A$114&gt;35,BY28+BX29-CG28,IF(A29&lt;'Données projet'!$A$114,$BV$205^A29,IF(A29='Données projet'!$A$114,'Données projet'!$B$114,BY28+BX29-CG28)))</f>
        <v>41.538461538461533</v>
      </c>
      <c r="BZ29" s="13">
        <f>BY29*VLOOKUP('Données projet'!$B$12,Paramètres!$A$1:$I$89,3,0)*VLOOKUP('Données projet'!$B$12,Paramètres!$A$1:$I$89,5,0)</f>
        <v>33.695999999999998</v>
      </c>
      <c r="CA29" s="13">
        <f t="shared" si="39"/>
        <v>10.311463159807191</v>
      </c>
      <c r="CB29" s="20">
        <f t="shared" si="10"/>
        <v>76.646331669997508</v>
      </c>
      <c r="CC29" s="59">
        <f t="shared" si="11"/>
        <v>369.97966500333081</v>
      </c>
      <c r="CD29" s="59">
        <f ca="1">AVERAGE(OFFSET($CC$3,0,0,'Données projet'!$E$12+1,1))-AVERAGE(OFFSET($H$3,0,0,'Données projet'!$E$12+1,1))</f>
        <v>72.953866894533007</v>
      </c>
      <c r="CE29" s="59">
        <f t="shared" si="40"/>
        <v>60.640359826163092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0.94802806839129661</v>
      </c>
      <c r="CM29" s="21">
        <f>EXP(-LN(2)/2)*CM28+(1-EXP(-LN(2)/2))/(LN(2)/2)*CG29*CJ29*VLOOKUP('Données projet'!$B$12,Paramètres!$A$1:$I$89,3,0)*0.475*44/12</f>
        <v>0.83185206199250827</v>
      </c>
      <c r="CN29" s="22">
        <f t="shared" si="12"/>
        <v>1.779880130383805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4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327.65972904304982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20.647142857142853</v>
      </c>
      <c r="N30" s="13">
        <f>IF('Données projet'!$A$36&gt;35,N29+M30-V29,IF(A30&lt;'Données projet'!$A$36,$K$205^A30,IF(A30='Données projet'!$A$36,'Données projet'!$B$36,N29+M30-V29)))</f>
        <v>234.10428571428574</v>
      </c>
      <c r="O30" s="13">
        <f>N30*VLOOKUP('Données projet'!$B$9,Paramètres!$A$1:$I$89,3,0)*VLOOKUP('Données projet'!$B$9,Paramètres!$A$1:$I$89,5,0)</f>
        <v>139.99436285714287</v>
      </c>
      <c r="P30" s="13">
        <f t="shared" si="33"/>
        <v>36.295714101712441</v>
      </c>
      <c r="Q30" s="20">
        <f t="shared" si="2"/>
        <v>307.03855070333964</v>
      </c>
      <c r="R30" s="59">
        <f t="shared" si="0"/>
        <v>600.37188403667301</v>
      </c>
      <c r="S30" s="59">
        <f ca="1">AVERAGE(OFFSET($R$3,0,0,'Données projet'!$E$9+1,1))-AVERAGE(OFFSET($H$3,0,0,'Données projet'!$E$9+1,1))</f>
        <v>235.90365770026909</v>
      </c>
      <c r="T30" s="59">
        <f t="shared" si="34"/>
        <v>348.09952585694253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17.178161870562736</v>
      </c>
      <c r="AA30" s="21">
        <f>EXP(-LN(2)/25)*AA29+(1-EXP(-LN(2)/25))/(LN(2)/25)*Calculateur!V30*Calculateur!X30*VLOOKUP('Données projet'!$B$9,Paramètres!$A$1:$I$89,3,0)*0.475*44/12</f>
        <v>14.726769135297458</v>
      </c>
      <c r="AB30" s="21">
        <f>EXP(-LN(2)/2)*AB29+(1-EXP(-LN(2)/2))/(LN(2)/2)*V30*Y30*VLOOKUP('Données projet'!$B$9,Paramètres!$A$1:$I$89,3,0)*0.475*44/12</f>
        <v>5.2417921402249537</v>
      </c>
      <c r="AC30" s="22">
        <f t="shared" si="3"/>
        <v>37.146723146085144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4.0942857142857143</v>
      </c>
      <c r="AI30" s="13">
        <f>IF('Données projet'!$A$62&gt;35,AI29+AH30-AQ29,IF(A30&lt;'Données projet'!$A$62,$AF$205^A30,IF(A30='Données projet'!$A$62,'Données projet'!$B$62,AI29+AH30-AQ29)))</f>
        <v>110.54571428571435</v>
      </c>
      <c r="AJ30" s="13">
        <f>AI30*VLOOKUP('Données projet'!$B$10,Paramètres!$A$1:$I$89,3,0)*VLOOKUP('Données projet'!$B$10,Paramètres!$A$1:$I$89,5,0)</f>
        <v>100.02176228571433</v>
      </c>
      <c r="AK30" s="13">
        <f t="shared" si="35"/>
        <v>26.967182047167292</v>
      </c>
      <c r="AL30" s="20">
        <f t="shared" si="4"/>
        <v>221.17241137976885</v>
      </c>
      <c r="AM30" s="59">
        <f t="shared" si="5"/>
        <v>514.5057447131021</v>
      </c>
      <c r="AN30" s="59">
        <f ca="1">AVERAGE(OFFSET($AM$3,0,0,'Données projet'!$E$10+1,1))-AVERAGE(OFFSET($H$3,0,0,'Données projet'!$E$10+1,1))</f>
        <v>490.21869105612649</v>
      </c>
      <c r="AO30" s="59">
        <f t="shared" si="36"/>
        <v>207.08773997010911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5.1282051282051295</v>
      </c>
      <c r="BD30" s="12">
        <f>IF('Données projet'!$A$88&gt;35,BD29+BC30-BL29,IF(A30&lt;'Données projet'!$A$88,$BA$205^A30,IF(A30='Données projet'!$A$88,'Données projet'!$B$88,BD29+BC30-BL29)))</f>
        <v>60.897435897435905</v>
      </c>
      <c r="BE30" s="13">
        <f>BD30*VLOOKUP('Données projet'!$B$11,Paramètres!$A$1:$I$89,3,0)*VLOOKUP('Données projet'!$B$11,Paramètres!$A$1:$I$89,5,0)</f>
        <v>63.650000000000013</v>
      </c>
      <c r="BF30" s="13">
        <f t="shared" si="37"/>
        <v>18.0879079069433</v>
      </c>
      <c r="BG30" s="20">
        <f t="shared" si="7"/>
        <v>142.36018960459293</v>
      </c>
      <c r="BH30" s="59">
        <f t="shared" si="8"/>
        <v>435.69352293792622</v>
      </c>
      <c r="BI30" s="59">
        <f ca="1">AVERAGE(OFFSET($BH$3,0,0,'Données projet'!$E$11+1,1))-AVERAGE(OFFSET($H$3,0,0,'Données projet'!$E$11+1,1))</f>
        <v>144.01698107732989</v>
      </c>
      <c r="BJ30" s="59">
        <f t="shared" si="38"/>
        <v>139.28039875117332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6.6395447105586145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6.6395447105586145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3.0769230769230744</v>
      </c>
      <c r="BY30" s="12">
        <f>IF('Données projet'!$A$114&gt;35,BY29+BX30-CG29,IF(A30&lt;'Données projet'!$A$114,$BV$205^A30,IF(A30='Données projet'!$A$114,'Données projet'!$B$114,BY29+BX30-CG29)))</f>
        <v>44.615384615384606</v>
      </c>
      <c r="BZ30" s="13">
        <f>BY30*VLOOKUP('Données projet'!$B$12,Paramètres!$A$1:$I$89,3,0)*VLOOKUP('Données projet'!$B$12,Paramètres!$A$1:$I$89,5,0)</f>
        <v>36.191999999999993</v>
      </c>
      <c r="CA30" s="13">
        <f t="shared" si="39"/>
        <v>10.983535130004645</v>
      </c>
      <c r="CB30" s="20">
        <f t="shared" si="10"/>
        <v>82.164057018091412</v>
      </c>
      <c r="CC30" s="59">
        <f t="shared" si="11"/>
        <v>375.49739035142471</v>
      </c>
      <c r="CD30" s="59">
        <f ca="1">AVERAGE(OFFSET($CC$3,0,0,'Données projet'!$E$12+1,1))-AVERAGE(OFFSET($H$3,0,0,'Données projet'!$E$12+1,1))</f>
        <v>72.953866894533007</v>
      </c>
      <c r="CE30" s="59">
        <f t="shared" si="40"/>
        <v>60.640359826163092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0.9221041910065072</v>
      </c>
      <c r="CM30" s="21">
        <f>EXP(-LN(2)/2)*CM29+(1-EXP(-LN(2)/2))/(LN(2)/2)*CG30*CJ30*VLOOKUP('Données projet'!$B$12,Paramètres!$A$1:$I$89,3,0)*0.475*44/12</f>
        <v>0.58820823397891497</v>
      </c>
      <c r="CN30" s="22">
        <f t="shared" si="12"/>
        <v>1.5103124249854223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4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328.89318071040799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20.647142857142853</v>
      </c>
      <c r="N31" s="13">
        <f>IF('Données projet'!$A$36&gt;35,N30+M31-V30,IF(A31&lt;'Données projet'!$A$36,$K$205^A31,IF(A31='Données projet'!$A$36,'Données projet'!$B$36,N30+M31-V30)))</f>
        <v>254.75142857142859</v>
      </c>
      <c r="O31" s="13">
        <f>N31*VLOOKUP('Données projet'!$B$9,Paramètres!$A$1:$I$89,3,0)*VLOOKUP('Données projet'!$B$9,Paramètres!$A$1:$I$89,5,0)</f>
        <v>152.34135428571432</v>
      </c>
      <c r="P31" s="13">
        <f t="shared" si="33"/>
        <v>39.110186201933324</v>
      </c>
      <c r="Q31" s="20">
        <f t="shared" si="2"/>
        <v>333.44476634931965</v>
      </c>
      <c r="R31" s="59">
        <f t="shared" si="0"/>
        <v>626.77809968265296</v>
      </c>
      <c r="S31" s="59">
        <f ca="1">AVERAGE(OFFSET($R$3,0,0,'Données projet'!$E$9+1,1))-AVERAGE(OFFSET($H$3,0,0,'Données projet'!$E$9+1,1))</f>
        <v>235.90365770026909</v>
      </c>
      <c r="T31" s="59">
        <f t="shared" si="34"/>
        <v>348.09952585694253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16.841308593925159</v>
      </c>
      <c r="AA31" s="21">
        <f>EXP(-LN(2)/25)*AA30+(1-EXP(-LN(2)/25))/(LN(2)/25)*Calculateur!V31*Calculateur!X31*VLOOKUP('Données projet'!$B$9,Paramètres!$A$1:$I$89,3,0)*0.475*44/12</f>
        <v>14.324064858845619</v>
      </c>
      <c r="AB31" s="21">
        <f>EXP(-LN(2)/2)*AB30+(1-EXP(-LN(2)/2))/(LN(2)/2)*V31*Y31*VLOOKUP('Données projet'!$B$9,Paramètres!$A$1:$I$89,3,0)*0.475*44/12</f>
        <v>3.7065067679234112</v>
      </c>
      <c r="AC31" s="22">
        <f t="shared" si="3"/>
        <v>34.871880220694194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4.0942857142857143</v>
      </c>
      <c r="AI31" s="13">
        <f>IF('Données projet'!$A$62&gt;35,AI30+AH31-AQ30,IF(A31&lt;'Données projet'!$A$62,$AF$205^A31,IF(A31='Données projet'!$A$62,'Données projet'!$B$62,AI30+AH31-AQ30)))</f>
        <v>114.64000000000007</v>
      </c>
      <c r="AJ31" s="13">
        <f>AI31*VLOOKUP('Données projet'!$B$10,Paramètres!$A$1:$I$89,3,0)*VLOOKUP('Données projet'!$B$10,Paramètres!$A$1:$I$89,5,0)</f>
        <v>103.72627200000005</v>
      </c>
      <c r="AK31" s="13">
        <f t="shared" si="35"/>
        <v>27.847831432539717</v>
      </c>
      <c r="AL31" s="20">
        <f t="shared" si="4"/>
        <v>229.15823014500677</v>
      </c>
      <c r="AM31" s="59">
        <f t="shared" si="5"/>
        <v>522.49156347834014</v>
      </c>
      <c r="AN31" s="59">
        <f ca="1">AVERAGE(OFFSET($AM$3,0,0,'Données projet'!$E$10+1,1))-AVERAGE(OFFSET($H$3,0,0,'Données projet'!$E$10+1,1))</f>
        <v>490.21869105612649</v>
      </c>
      <c r="AO31" s="59">
        <f t="shared" si="36"/>
        <v>207.08773997010911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5.1282051282051295</v>
      </c>
      <c r="BD31" s="12">
        <f>IF('Données projet'!$A$88&gt;35,BD30+BC31-BL30,IF(A31&lt;'Données projet'!$A$88,$BA$205^A31,IF(A31='Données projet'!$A$88,'Données projet'!$B$88,BD30+BC31-BL30)))</f>
        <v>66.025641025641036</v>
      </c>
      <c r="BE31" s="13">
        <f>BD31*VLOOKUP('Données projet'!$B$11,Paramètres!$A$1:$I$89,3,0)*VLOOKUP('Données projet'!$B$11,Paramètres!$A$1:$I$89,5,0)</f>
        <v>69.010000000000019</v>
      </c>
      <c r="BF31" s="13">
        <f t="shared" si="37"/>
        <v>19.427402242100008</v>
      </c>
      <c r="BG31" s="20">
        <f t="shared" si="7"/>
        <v>154.02847557165754</v>
      </c>
      <c r="BH31" s="59">
        <f t="shared" si="8"/>
        <v>447.36180890499088</v>
      </c>
      <c r="BI31" s="59">
        <f ca="1">AVERAGE(OFFSET($BH$3,0,0,'Données projet'!$E$11+1,1))-AVERAGE(OFFSET($H$3,0,0,'Données projet'!$E$11+1,1))</f>
        <v>144.01698107732989</v>
      </c>
      <c r="BJ31" s="59">
        <f t="shared" si="38"/>
        <v>139.28039875117332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6.4579860112899077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6.4579860112899077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3.0769230769230744</v>
      </c>
      <c r="BY31" s="12">
        <f>IF('Données projet'!$A$114&gt;35,BY30+BX31-CG30,IF(A31&lt;'Données projet'!$A$114,$BV$205^A31,IF(A31='Données projet'!$A$114,'Données projet'!$B$114,BY30+BX31-CG30)))</f>
        <v>47.692307692307679</v>
      </c>
      <c r="BZ31" s="13">
        <f>BY31*VLOOKUP('Données projet'!$B$12,Paramètres!$A$1:$I$89,3,0)*VLOOKUP('Données projet'!$B$12,Paramètres!$A$1:$I$89,5,0)</f>
        <v>38.687999999999988</v>
      </c>
      <c r="CA31" s="13">
        <f t="shared" si="39"/>
        <v>11.650229083154349</v>
      </c>
      <c r="CB31" s="20">
        <f t="shared" si="10"/>
        <v>87.672415653160456</v>
      </c>
      <c r="CC31" s="59">
        <f t="shared" si="11"/>
        <v>381.00574898649376</v>
      </c>
      <c r="CD31" s="59">
        <f ca="1">AVERAGE(OFFSET($CC$3,0,0,'Données projet'!$E$12+1,1))-AVERAGE(OFFSET($H$3,0,0,'Données projet'!$E$12+1,1))</f>
        <v>72.953866894533007</v>
      </c>
      <c r="CE31" s="59">
        <f t="shared" si="40"/>
        <v>60.640359826163092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0.89688920341208234</v>
      </c>
      <c r="CM31" s="21">
        <f>EXP(-LN(2)/2)*CM30+(1-EXP(-LN(2)/2))/(LN(2)/2)*CG31*CJ31*VLOOKUP('Données projet'!$B$12,Paramètres!$A$1:$I$89,3,0)*0.475*44/12</f>
        <v>0.41592603099625419</v>
      </c>
      <c r="CN31" s="22">
        <f t="shared" si="12"/>
        <v>1.3128152344083366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4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330.12546015243771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20.647142857142853</v>
      </c>
      <c r="N32" s="13">
        <f>IF('Données projet'!$A$36&gt;35,N31+M32-V31,IF(A32&lt;'Données projet'!$A$36,$K$205^A32,IF(A32='Données projet'!$A$36,'Données projet'!$B$36,N31+M32-V31)))</f>
        <v>275.39857142857147</v>
      </c>
      <c r="O32" s="13">
        <f>N32*VLOOKUP('Données projet'!$B$9,Paramètres!$A$1:$I$89,3,0)*VLOOKUP('Données projet'!$B$9,Paramètres!$A$1:$I$89,5,0)</f>
        <v>164.68834571428576</v>
      </c>
      <c r="P32" s="13">
        <f t="shared" si="33"/>
        <v>41.898200841275049</v>
      </c>
      <c r="Q32" s="20">
        <f t="shared" si="2"/>
        <v>359.80490191760168</v>
      </c>
      <c r="R32" s="59">
        <f t="shared" si="0"/>
        <v>653.13823525093494</v>
      </c>
      <c r="S32" s="59">
        <f ca="1">AVERAGE(OFFSET($R$3,0,0,'Données projet'!$E$9+1,1))-AVERAGE(OFFSET($H$3,0,0,'Données projet'!$E$9+1,1))</f>
        <v>235.90365770026909</v>
      </c>
      <c r="T32" s="59">
        <f t="shared" si="34"/>
        <v>348.09952585694253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16.511060804582236</v>
      </c>
      <c r="AA32" s="21">
        <f>EXP(-LN(2)/25)*AA31+(1-EXP(-LN(2)/25))/(LN(2)/25)*Calculateur!V32*Calculateur!X32*VLOOKUP('Données projet'!$B$9,Paramètres!$A$1:$I$89,3,0)*0.475*44/12</f>
        <v>13.932372552010651</v>
      </c>
      <c r="AB32" s="21">
        <f>EXP(-LN(2)/2)*AB31+(1-EXP(-LN(2)/2))/(LN(2)/2)*V32*Y32*VLOOKUP('Données projet'!$B$9,Paramètres!$A$1:$I$89,3,0)*0.475*44/12</f>
        <v>2.6208960701124773</v>
      </c>
      <c r="AC32" s="22">
        <f t="shared" si="3"/>
        <v>33.064329426705363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4.0942857142857143</v>
      </c>
      <c r="AI32" s="13">
        <f>IF('Données projet'!$A$62&gt;35,AI31+AH32-AQ31,IF(A32&lt;'Données projet'!$A$62,$AF$205^A32,IF(A32='Données projet'!$A$62,'Données projet'!$B$62,AI31+AH32-AQ31)))</f>
        <v>118.73428571428579</v>
      </c>
      <c r="AJ32" s="13">
        <f>AI32*VLOOKUP('Données projet'!$B$10,Paramètres!$A$1:$I$89,3,0)*VLOOKUP('Données projet'!$B$10,Paramètres!$A$1:$I$89,5,0)</f>
        <v>107.43078171428577</v>
      </c>
      <c r="AK32" s="13">
        <f t="shared" si="35"/>
        <v>28.724826611108305</v>
      </c>
      <c r="AL32" s="20">
        <f t="shared" si="4"/>
        <v>237.13768450006134</v>
      </c>
      <c r="AM32" s="59">
        <f t="shared" si="5"/>
        <v>530.47101783339463</v>
      </c>
      <c r="AN32" s="59">
        <f ca="1">AVERAGE(OFFSET($AM$3,0,0,'Données projet'!$E$10+1,1))-AVERAGE(OFFSET($H$3,0,0,'Données projet'!$E$10+1,1))</f>
        <v>490.21869105612649</v>
      </c>
      <c r="AO32" s="59">
        <f t="shared" si="36"/>
        <v>207.08773997010911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5.1282051282051295</v>
      </c>
      <c r="BD32" s="12">
        <f>IF('Données projet'!$A$88&gt;35,BD31+BC32-BL31,IF(A32&lt;'Données projet'!$A$88,$BA$205^A32,IF(A32='Données projet'!$A$88,'Données projet'!$B$88,BD31+BC32-BL31)))</f>
        <v>71.15384615384616</v>
      </c>
      <c r="BE32" s="13">
        <f>BD32*VLOOKUP('Données projet'!$B$11,Paramètres!$A$1:$I$89,3,0)*VLOOKUP('Données projet'!$B$11,Paramètres!$A$1:$I$89,5,0)</f>
        <v>74.37</v>
      </c>
      <c r="BF32" s="13">
        <f t="shared" si="37"/>
        <v>20.754828284827131</v>
      </c>
      <c r="BG32" s="20">
        <f t="shared" si="7"/>
        <v>165.67574259607392</v>
      </c>
      <c r="BH32" s="59">
        <f t="shared" si="8"/>
        <v>459.00907592940723</v>
      </c>
      <c r="BI32" s="59">
        <f ca="1">AVERAGE(OFFSET($BH$3,0,0,'Données projet'!$E$11+1,1))-AVERAGE(OFFSET($H$3,0,0,'Données projet'!$E$11+1,1))</f>
        <v>144.01698107732989</v>
      </c>
      <c r="BJ32" s="59">
        <f t="shared" si="38"/>
        <v>139.28039875117332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6.2813920442004605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6.2813920442004605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3.0769230769230744</v>
      </c>
      <c r="BY32" s="12">
        <f>IF('Données projet'!$A$114&gt;35,BY31+BX32-CG31,IF(A32&lt;'Données projet'!$A$114,$BV$205^A32,IF(A32='Données projet'!$A$114,'Données projet'!$B$114,BY31+BX32-CG31)))</f>
        <v>50.769230769230752</v>
      </c>
      <c r="BZ32" s="13">
        <f>BY32*VLOOKUP('Données projet'!$B$12,Paramètres!$A$1:$I$89,3,0)*VLOOKUP('Données projet'!$B$12,Paramètres!$A$1:$I$89,5,0)</f>
        <v>41.18399999999999</v>
      </c>
      <c r="CA32" s="13">
        <f t="shared" si="39"/>
        <v>12.311931477761835</v>
      </c>
      <c r="CB32" s="20">
        <f t="shared" si="10"/>
        <v>93.172080657101844</v>
      </c>
      <c r="CC32" s="59">
        <f t="shared" si="11"/>
        <v>386.50541399043516</v>
      </c>
      <c r="CD32" s="59">
        <f ca="1">AVERAGE(OFFSET($CC$3,0,0,'Données projet'!$E$12+1,1))-AVERAGE(OFFSET($H$3,0,0,'Données projet'!$E$12+1,1))</f>
        <v>72.953866894533007</v>
      </c>
      <c r="CE32" s="59">
        <f t="shared" si="40"/>
        <v>60.640359826163092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0.87236372097942561</v>
      </c>
      <c r="CM32" s="21">
        <f>EXP(-LN(2)/2)*CM31+(1-EXP(-LN(2)/2))/(LN(2)/2)*CG32*CJ32*VLOOKUP('Données projet'!$B$12,Paramètres!$A$1:$I$89,3,0)*0.475*44/12</f>
        <v>0.29410411698945754</v>
      </c>
      <c r="CN32" s="22">
        <f t="shared" si="12"/>
        <v>1.1664678379688831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4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331.35661242347447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20.647142857142853</v>
      </c>
      <c r="N33" s="13">
        <f>IF('Données projet'!$A$36&gt;35,N32+M33-V32,IF(A33&lt;'Données projet'!$A$36,$K$205^A33,IF(A33='Données projet'!$A$36,'Données projet'!$B$36,N32+M33-V32)))</f>
        <v>296.04571428571433</v>
      </c>
      <c r="O33" s="13">
        <f>N33*VLOOKUP('Données projet'!$B$9,Paramètres!$A$1:$I$89,3,0)*VLOOKUP('Données projet'!$B$9,Paramètres!$A$1:$I$89,5,0)</f>
        <v>177.03533714285717</v>
      </c>
      <c r="P33" s="13">
        <f t="shared" si="33"/>
        <v>44.661967132980401</v>
      </c>
      <c r="Q33" s="20">
        <f t="shared" si="2"/>
        <v>386.12280494708375</v>
      </c>
      <c r="R33" s="59">
        <f t="shared" si="0"/>
        <v>679.45613828041701</v>
      </c>
      <c r="S33" s="59">
        <f ca="1">AVERAGE(OFFSET($R$3,0,0,'Données projet'!$E$9+1,1))-AVERAGE(OFFSET($H$3,0,0,'Données projet'!$E$9+1,1))</f>
        <v>235.90365770026909</v>
      </c>
      <c r="T33" s="59">
        <f t="shared" si="34"/>
        <v>348.09952585694253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16.187288972957067</v>
      </c>
      <c r="AA33" s="21">
        <f>EXP(-LN(2)/25)*AA32+(1-EXP(-LN(2)/25))/(LN(2)/25)*Calculateur!V33*Calculateur!X33*VLOOKUP('Données projet'!$B$9,Paramètres!$A$1:$I$89,3,0)*0.475*44/12</f>
        <v>13.551391091904291</v>
      </c>
      <c r="AB33" s="21">
        <f>EXP(-LN(2)/2)*AB32+(1-EXP(-LN(2)/2))/(LN(2)/2)*V33*Y33*VLOOKUP('Données projet'!$B$9,Paramètres!$A$1:$I$89,3,0)*0.475*44/12</f>
        <v>1.8532533839617058</v>
      </c>
      <c r="AC33" s="22">
        <f t="shared" si="3"/>
        <v>31.591933448823063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4.0942857142857143</v>
      </c>
      <c r="AI33" s="13">
        <f>IF('Données projet'!$A$62&gt;35,AI32+AH33-AQ32,IF(A33&lt;'Données projet'!$A$62,$AF$205^A33,IF(A33='Données projet'!$A$62,'Données projet'!$B$62,AI32+AH33-AQ32)))</f>
        <v>122.82857142857151</v>
      </c>
      <c r="AJ33" s="13">
        <f>AI33*VLOOKUP('Données projet'!$B$10,Paramètres!$A$1:$I$89,3,0)*VLOOKUP('Données projet'!$B$10,Paramètres!$A$1:$I$89,5,0)</f>
        <v>111.13529142857149</v>
      </c>
      <c r="AK33" s="13">
        <f t="shared" si="35"/>
        <v>29.598308031859261</v>
      </c>
      <c r="AL33" s="20">
        <f t="shared" si="4"/>
        <v>245.11101906025024</v>
      </c>
      <c r="AM33" s="59">
        <f t="shared" si="5"/>
        <v>538.44435239358359</v>
      </c>
      <c r="AN33" s="59">
        <f ca="1">AVERAGE(OFFSET($AM$3,0,0,'Données projet'!$E$10+1,1))-AVERAGE(OFFSET($H$3,0,0,'Données projet'!$E$10+1,1))</f>
        <v>490.21869105612649</v>
      </c>
      <c r="AO33" s="59">
        <f t="shared" si="36"/>
        <v>207.08773997010911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76.282051282051285</v>
      </c>
      <c r="BB33" s="12">
        <f>VLOOKUP(A33,'Données projet'!$A$87:$I$107,9,0)</f>
        <v>5.1282051282051295</v>
      </c>
      <c r="BC33" s="12">
        <f t="array" ref="BC33">INDEX(BB:BB,MIN(IF(ISNUMBER(BB33:BB229),ROW(BB33:BB229),"")))</f>
        <v>5.1282051282051295</v>
      </c>
      <c r="BD33" s="12">
        <f>IF('Données projet'!$A$88&gt;35,BD32+BC33-BL32,IF(A33&lt;'Données projet'!$A$88,$BA$205^A33,IF(A33='Données projet'!$A$88,'Données projet'!$B$88,BD32+BC33-BL32)))</f>
        <v>76.282051282051285</v>
      </c>
      <c r="BE33" s="13">
        <f>BD33*VLOOKUP('Données projet'!$B$11,Paramètres!$A$1:$I$89,3,0)*VLOOKUP('Données projet'!$B$11,Paramètres!$A$1:$I$89,5,0)</f>
        <v>79.730000000000018</v>
      </c>
      <c r="BF33" s="13">
        <f t="shared" si="37"/>
        <v>22.071154741424582</v>
      </c>
      <c r="BG33" s="20">
        <f t="shared" si="7"/>
        <v>177.30367784131451</v>
      </c>
      <c r="BH33" s="59">
        <f t="shared" si="8"/>
        <v>470.6370111746478</v>
      </c>
      <c r="BI33" s="59">
        <f ca="1">AVERAGE(OFFSET($BH$3,0,0,'Données projet'!$E$11+1,1))-AVERAGE(OFFSET($H$3,0,0,'Données projet'!$E$11+1,1))</f>
        <v>144.01698107732989</v>
      </c>
      <c r="BJ33" s="59">
        <f t="shared" si="38"/>
        <v>139.28039875117332</v>
      </c>
      <c r="BK33" s="15">
        <f>IF(ISNA(VLOOKUP(A33,'Données projet'!$A$87:$I$107,3,0)),0,VLOOKUP(A33,'Données projet'!$A$87:$I$107,3,0))</f>
        <v>3</v>
      </c>
      <c r="BL33" s="15">
        <f>IF(ISNA(VLOOKUP(A33,'Données projet'!$A$87:$I$107,4,0)),0,VLOOKUP(A33,'Données projet'!$A$87:$I$107,4,0))</f>
        <v>12.820512820512819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0.215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9.2819472038718747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9.2819472038718747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53.84615384615384</v>
      </c>
      <c r="BW33" s="12">
        <f>VLOOKUP(A33,'Données projet'!$A$113:$I$133,9,0)</f>
        <v>3.0769230769230744</v>
      </c>
      <c r="BX33" s="12">
        <f t="array" ref="BX33">INDEX(BW:BW,MIN(IF(ISNUMBER(BW33:BW229),ROW(BW33:BW229),"")))</f>
        <v>3.0769230769230744</v>
      </c>
      <c r="BY33" s="12">
        <f>IF('Données projet'!$A$114&gt;35,BY32+BX33-CG32,IF(A33&lt;'Données projet'!$A$114,$BV$205^A33,IF(A33='Données projet'!$A$114,'Données projet'!$B$114,BY32+BX33-CG32)))</f>
        <v>53.846153846153825</v>
      </c>
      <c r="BZ33" s="13">
        <f>BY33*VLOOKUP('Données projet'!$B$12,Paramètres!$A$1:$I$89,3,0)*VLOOKUP('Données projet'!$B$12,Paramètres!$A$1:$I$89,5,0)</f>
        <v>43.679999999999986</v>
      </c>
      <c r="CA33" s="13">
        <f t="shared" si="39"/>
        <v>12.968979282088572</v>
      </c>
      <c r="CB33" s="20">
        <f t="shared" si="10"/>
        <v>98.663638916304237</v>
      </c>
      <c r="CC33" s="59">
        <f t="shared" si="11"/>
        <v>391.99697224963757</v>
      </c>
      <c r="CD33" s="59">
        <f ca="1">AVERAGE(OFFSET($CC$3,0,0,'Données projet'!$E$12+1,1))-AVERAGE(OFFSET($H$3,0,0,'Données projet'!$E$12+1,1))</f>
        <v>72.953866894533007</v>
      </c>
      <c r="CE33" s="59">
        <f t="shared" si="40"/>
        <v>60.640359826163092</v>
      </c>
      <c r="CF33" s="15">
        <f>IF(ISNA(VLOOKUP(A33,'Données projet'!$A$113:$I$133,3,0)),0,VLOOKUP(A33,'Données projet'!$A$113:$I$133,3,0))</f>
        <v>4</v>
      </c>
      <c r="CG33" s="15">
        <f>IF(ISNA(VLOOKUP(A33,'Données projet'!$A$113:$I$133,4,0)),0,VLOOKUP(A33,'Données projet'!$A$113:$I$133,4,0))</f>
        <v>5.7692307692307692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0.1075</v>
      </c>
      <c r="CJ33" s="16">
        <f>IF(ISNA(VLOOKUP(A33,'Données projet'!$A$113:$I$133,7,0)),0%,VLOOKUP(A33,'Données projet'!$A$113:$I$133,7,0))</f>
        <v>0.25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1.4024812148058126</v>
      </c>
      <c r="CM33" s="21">
        <f>EXP(-LN(2)/2)*CM32+(1-EXP(-LN(2)/2))/(LN(2)/2)*CG33*CJ33*VLOOKUP('Données projet'!$B$12,Paramètres!$A$1:$I$89,3,0)*0.475*44/12</f>
        <v>1.3118895055864315</v>
      </c>
      <c r="CN33" s="22">
        <f t="shared" si="12"/>
        <v>2.7143707203922443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4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332.58667940379132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20.647142857142853</v>
      </c>
      <c r="N34" s="13">
        <f>IF('Données projet'!$A$36&gt;35,N33+M34-V33,IF(A34&lt;'Données projet'!$A$36,$K$205^A34,IF(A34='Données projet'!$A$36,'Données projet'!$B$36,N33+M34-V33)))</f>
        <v>316.69285714285718</v>
      </c>
      <c r="O34" s="13">
        <f>N34*VLOOKUP('Données projet'!$B$9,Paramètres!$A$1:$I$89,3,0)*VLOOKUP('Données projet'!$B$9,Paramètres!$A$1:$I$89,5,0)</f>
        <v>189.38232857142862</v>
      </c>
      <c r="P34" s="13">
        <f t="shared" si="33"/>
        <v>47.403368599702098</v>
      </c>
      <c r="Q34" s="20">
        <f t="shared" si="2"/>
        <v>412.40175590638597</v>
      </c>
      <c r="R34" s="59">
        <f t="shared" si="0"/>
        <v>705.73508923971929</v>
      </c>
      <c r="S34" s="59">
        <f ca="1">AVERAGE(OFFSET($R$3,0,0,'Données projet'!$E$9+1,1))-AVERAGE(OFFSET($H$3,0,0,'Données projet'!$E$9+1,1))</f>
        <v>235.90365770026909</v>
      </c>
      <c r="T34" s="59">
        <f t="shared" si="34"/>
        <v>348.09952585694253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15.869866109468747</v>
      </c>
      <c r="AA34" s="21">
        <f>EXP(-LN(2)/25)*AA33+(1-EXP(-LN(2)/25))/(LN(2)/25)*Calculateur!V34*Calculateur!X34*VLOOKUP('Données projet'!$B$9,Paramètres!$A$1:$I$89,3,0)*0.475*44/12</f>
        <v>13.180827589859483</v>
      </c>
      <c r="AB34" s="21">
        <f>EXP(-LN(2)/2)*AB33+(1-EXP(-LN(2)/2))/(LN(2)/2)*V34*Y34*VLOOKUP('Données projet'!$B$9,Paramètres!$A$1:$I$89,3,0)*0.475*44/12</f>
        <v>1.3104480350562386</v>
      </c>
      <c r="AC34" s="22">
        <f t="shared" si="3"/>
        <v>30.361141734384468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4.0942857142857143</v>
      </c>
      <c r="AI34" s="13">
        <f>IF('Données projet'!$A$62&gt;35,AI33+AH34-AQ33,IF(A34&lt;'Données projet'!$A$62,$AF$205^A34,IF(A34='Données projet'!$A$62,'Données projet'!$B$62,AI33+AH34-AQ33)))</f>
        <v>126.92285714285723</v>
      </c>
      <c r="AJ34" s="13">
        <f>AI34*VLOOKUP('Données projet'!$B$10,Paramètres!$A$1:$I$89,3,0)*VLOOKUP('Données projet'!$B$10,Paramètres!$A$1:$I$89,5,0)</f>
        <v>114.83980114285721</v>
      </c>
      <c r="AK34" s="13">
        <f t="shared" si="35"/>
        <v>30.468406249196239</v>
      </c>
      <c r="AL34" s="20">
        <f t="shared" si="4"/>
        <v>253.07846120782642</v>
      </c>
      <c r="AM34" s="59">
        <f t="shared" si="5"/>
        <v>546.41179454115968</v>
      </c>
      <c r="AN34" s="59">
        <f ca="1">AVERAGE(OFFSET($AM$3,0,0,'Données projet'!$E$10+1,1))-AVERAGE(OFFSET($H$3,0,0,'Données projet'!$E$10+1,1))</f>
        <v>490.21869105612649</v>
      </c>
      <c r="AO34" s="59">
        <f t="shared" si="36"/>
        <v>207.08773997010911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4.6153846153846132</v>
      </c>
      <c r="BD34" s="12">
        <f>IF('Données projet'!$A$88&gt;35,BD33+BC34-BL33,IF(A34&lt;'Données projet'!$A$88,$BA$205^A34,IF(A34='Données projet'!$A$88,'Données projet'!$B$88,BD33+BC34-BL33)))</f>
        <v>68.07692307692308</v>
      </c>
      <c r="BE34" s="13">
        <f>BD34*VLOOKUP('Données projet'!$B$11,Paramètres!$A$1:$I$89,3,0)*VLOOKUP('Données projet'!$B$11,Paramètres!$A$1:$I$89,5,0)</f>
        <v>71.154000000000011</v>
      </c>
      <c r="BF34" s="13">
        <f t="shared" si="37"/>
        <v>19.959763152334045</v>
      </c>
      <c r="BG34" s="20">
        <f t="shared" si="7"/>
        <v>158.68980415698181</v>
      </c>
      <c r="BH34" s="59">
        <f t="shared" si="8"/>
        <v>452.02313749031509</v>
      </c>
      <c r="BI34" s="59">
        <f ca="1">AVERAGE(OFFSET($BH$3,0,0,'Données projet'!$E$11+1,1))-AVERAGE(OFFSET($H$3,0,0,'Données projet'!$E$11+1,1))</f>
        <v>144.01698107732989</v>
      </c>
      <c r="BJ34" s="59">
        <f t="shared" si="38"/>
        <v>139.28039875117332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9.028131869465609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9.028131869465609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3.0769230769230775</v>
      </c>
      <c r="BY34" s="12">
        <f>IF('Données projet'!$A$114&gt;35,BY33+BX34-CG33,IF(A34&lt;'Données projet'!$A$114,$BV$205^A34,IF(A34='Données projet'!$A$114,'Données projet'!$B$114,BY33+BX34-CG33)))</f>
        <v>51.153846153846139</v>
      </c>
      <c r="BZ34" s="13">
        <f>BY34*VLOOKUP('Données projet'!$B$12,Paramètres!$A$1:$I$89,3,0)*VLOOKUP('Données projet'!$B$12,Paramètres!$A$1:$I$89,5,0)</f>
        <v>41.495999999999995</v>
      </c>
      <c r="CA34" s="13">
        <f t="shared" si="39"/>
        <v>12.394310565265267</v>
      </c>
      <c r="CB34" s="20">
        <f t="shared" si="10"/>
        <v>93.858957567836981</v>
      </c>
      <c r="CC34" s="59">
        <f t="shared" si="11"/>
        <v>387.19229090117028</v>
      </c>
      <c r="CD34" s="59">
        <f ca="1">AVERAGE(OFFSET($CC$3,0,0,'Données projet'!$E$12+1,1))-AVERAGE(OFFSET($H$3,0,0,'Données projet'!$E$12+1,1))</f>
        <v>72.953866894533007</v>
      </c>
      <c r="CE34" s="59">
        <f t="shared" si="40"/>
        <v>60.640359826163092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1.364130292233666</v>
      </c>
      <c r="CM34" s="21">
        <f>EXP(-LN(2)/2)*CM33+(1-EXP(-LN(2)/2))/(LN(2)/2)*CG34*CJ34*VLOOKUP('Données projet'!$B$12,Paramètres!$A$1:$I$89,3,0)*0.475*44/12</f>
        <v>0.9276459655676329</v>
      </c>
      <c r="CN34" s="22">
        <f t="shared" si="12"/>
        <v>2.291776257801299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4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333.81570011831167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>
        <f>VLOOKUP(A35,'Données projet'!$A$35:$I$55,2,0)</f>
        <v>337.34</v>
      </c>
      <c r="L35" s="12">
        <f>VLOOKUP(A35,'Données projet'!$A$35:$I$55,9,0)</f>
        <v>20.647142857142853</v>
      </c>
      <c r="M35" s="12">
        <f t="array" ref="M35">INDEX(L:L,MIN(IF(ISNUMBER(L35:L231),ROW(L35:L231),"")))</f>
        <v>20.647142857142853</v>
      </c>
      <c r="N35" s="13">
        <f>IF('Données projet'!$A$36&gt;35,N34+M35-V34,IF(A35&lt;'Données projet'!$A$36,$K$205^A35,IF(A35='Données projet'!$A$36,'Données projet'!$B$36,N34+M35-V34)))</f>
        <v>337.34000000000003</v>
      </c>
      <c r="O35" s="13">
        <f>N35*VLOOKUP('Données projet'!$B$9,Paramètres!$A$1:$I$89,3,0)*VLOOKUP('Données projet'!$B$9,Paramètres!$A$1:$I$89,5,0)</f>
        <v>201.72932000000006</v>
      </c>
      <c r="P35" s="13">
        <f t="shared" si="33"/>
        <v>50.124029278198606</v>
      </c>
      <c r="Q35" s="20">
        <f t="shared" ref="Q35:Q66" si="53">(O35+P35)*0.475*44/12</f>
        <v>438.64458332619597</v>
      </c>
      <c r="R35" s="59">
        <f t="shared" si="0"/>
        <v>731.97791665952923</v>
      </c>
      <c r="S35" s="59">
        <f ca="1">AVERAGE(OFFSET($R$3,0,0,'Données projet'!$E$9+1,1))-AVERAGE(OFFSET($H$3,0,0,'Données projet'!$E$9+1,1))</f>
        <v>235.90365770026909</v>
      </c>
      <c r="T35" s="59">
        <f t="shared" si="34"/>
        <v>348.09952585694253</v>
      </c>
      <c r="U35" s="15">
        <f>IF(ISNA(VLOOKUP(A35,'Données projet'!$A$35:$I$55,3,0)),0,VLOOKUP(A35,'Données projet'!$A$35:$I$55,3,0))</f>
        <v>4</v>
      </c>
      <c r="V35" s="15">
        <f>IF(ISNA(VLOOKUP(A35,'Données projet'!$A$35:$I$55,4,0)),0,VLOOKUP(A35,'Données projet'!$A$35:$I$55,4,0))</f>
        <v>76.71999999999997</v>
      </c>
      <c r="W35" s="16">
        <f>IF(ISNA(VLOOKUP(A35,'Données projet'!$A$35:$I$55,5,0)),0%,VLOOKUP(A35,'Données projet'!$A$35:$I$55,5,0)*VLOOKUP('Données projet'!$B$9,Paramètres!$A$1:$I$89,7,0))</f>
        <v>0.27</v>
      </c>
      <c r="X35" s="16">
        <f>IF(ISNA(VLOOKUP(A35,'Données projet'!$A$35:$I$55,6,0)),0%,VLOOKUP(A35,'Données projet'!$A$35:$I$55,6,0)*VLOOKUP('Données projet'!$B$9,Paramètres!$A$1:$I$89,7,0))</f>
        <v>9.0000000000000011E-2</v>
      </c>
      <c r="Y35" s="16">
        <f>IF(ISNA(VLOOKUP(A35,'Données projet'!$A$35:$I$55,7,0)),0%,VLOOKUP(A35,'Données projet'!$A$35:$I$55,7,0))</f>
        <v>0.2</v>
      </c>
      <c r="Z35" s="21">
        <f>EXP(-LN(2)/35)*Z34+(1-EXP(-LN(2)/35))/(LN(2)/35)*V35*W35*VLOOKUP('Données projet'!$B$9,Paramètres!$A$1:$I$89,3,0)*0.475*44/12</f>
        <v>31.991101794667173</v>
      </c>
      <c r="AA35" s="21">
        <f>EXP(-LN(2)/25)*AA34+(1-EXP(-LN(2)/25))/(LN(2)/25)*Calculateur!V35*Calculateur!X35*VLOOKUP('Données projet'!$B$9,Paramètres!$A$1:$I$89,3,0)*0.475*44/12</f>
        <v>18.276308274839035</v>
      </c>
      <c r="AB35" s="21">
        <f>EXP(-LN(2)/2)*AB34+(1-EXP(-LN(2)/2))/(LN(2)/2)*V35*Y35*VLOOKUP('Données projet'!$B$9,Paramètres!$A$1:$I$89,3,0)*0.475*44/12</f>
        <v>11.315664171182013</v>
      </c>
      <c r="AC35" s="22">
        <f t="shared" si="3"/>
        <v>61.583074240688227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4.0942857142857143</v>
      </c>
      <c r="AI35" s="13">
        <f>IF('Données projet'!$A$62&gt;35,AI34+AH35-AQ34,IF(A35&lt;'Données projet'!$A$62,$AF$205^A35,IF(A35='Données projet'!$A$62,'Données projet'!$B$62,AI34+AH35-AQ34)))</f>
        <v>131.01714285714294</v>
      </c>
      <c r="AJ35" s="13">
        <f>AI35*VLOOKUP('Données projet'!$B$10,Paramètres!$A$1:$I$89,3,0)*VLOOKUP('Données projet'!$B$10,Paramètres!$A$1:$I$89,5,0)</f>
        <v>118.54431085714293</v>
      </c>
      <c r="AK35" s="13">
        <f t="shared" si="35"/>
        <v>31.335242916471387</v>
      </c>
      <c r="AL35" s="20">
        <f t="shared" si="4"/>
        <v>261.04022282237821</v>
      </c>
      <c r="AM35" s="59">
        <f t="shared" si="5"/>
        <v>554.37355615571153</v>
      </c>
      <c r="AN35" s="59">
        <f ca="1">AVERAGE(OFFSET($AM$3,0,0,'Données projet'!$E$10+1,1))-AVERAGE(OFFSET($H$3,0,0,'Données projet'!$E$10+1,1))</f>
        <v>490.21869105612649</v>
      </c>
      <c r="AO35" s="59">
        <f t="shared" si="36"/>
        <v>207.08773997010911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4.6153846153846132</v>
      </c>
      <c r="BD35" s="12">
        <f>IF('Données projet'!$A$88&gt;35,BD34+BC35-BL34,IF(A35&lt;'Données projet'!$A$88,$BA$205^A35,IF(A35='Données projet'!$A$88,'Données projet'!$B$88,BD34+BC35-BL34)))</f>
        <v>72.692307692307693</v>
      </c>
      <c r="BE35" s="13">
        <f>BD35*VLOOKUP('Données projet'!$B$11,Paramètres!$A$1:$I$89,3,0)*VLOOKUP('Données projet'!$B$11,Paramètres!$A$1:$I$89,5,0)</f>
        <v>75.978000000000009</v>
      </c>
      <c r="BF35" s="13">
        <f t="shared" si="37"/>
        <v>21.150851474041495</v>
      </c>
      <c r="BG35" s="20">
        <f t="shared" si="7"/>
        <v>169.16608298395562</v>
      </c>
      <c r="BH35" s="59">
        <f t="shared" si="8"/>
        <v>462.49941631728893</v>
      </c>
      <c r="BI35" s="59">
        <f ca="1">AVERAGE(OFFSET($BH$3,0,0,'Données projet'!$E$11+1,1))-AVERAGE(OFFSET($H$3,0,0,'Données projet'!$E$11+1,1))</f>
        <v>144.01698107732989</v>
      </c>
      <c r="BJ35" s="59">
        <f t="shared" si="38"/>
        <v>139.28039875117332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8.7812571287262511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8.7812571287262511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3.0769230769230775</v>
      </c>
      <c r="BY35" s="12">
        <f>IF('Données projet'!$A$114&gt;35,BY34+BX35-CG34,IF(A35&lt;'Données projet'!$A$114,$BV$205^A35,IF(A35='Données projet'!$A$114,'Données projet'!$B$114,BY34+BX35-CG34)))</f>
        <v>54.230769230769219</v>
      </c>
      <c r="BZ35" s="13">
        <f>BY35*VLOOKUP('Données projet'!$B$12,Paramètres!$A$1:$I$89,3,0)*VLOOKUP('Données projet'!$B$12,Paramètres!$A$1:$I$89,5,0)</f>
        <v>43.991999999999997</v>
      </c>
      <c r="CA35" s="13">
        <f t="shared" si="39"/>
        <v>13.05079813120688</v>
      </c>
      <c r="CB35" s="20">
        <f t="shared" si="10"/>
        <v>99.349540078518643</v>
      </c>
      <c r="CC35" s="59">
        <f t="shared" si="11"/>
        <v>392.68287341185197</v>
      </c>
      <c r="CD35" s="59">
        <f ca="1">AVERAGE(OFFSET($CC$3,0,0,'Données projet'!$E$12+1,1))-AVERAGE(OFFSET($H$3,0,0,'Données projet'!$E$12+1,1))</f>
        <v>72.953866894533007</v>
      </c>
      <c r="CE35" s="59">
        <f t="shared" si="40"/>
        <v>60.640359826163092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1.3268280776560422</v>
      </c>
      <c r="CM35" s="21">
        <f>EXP(-LN(2)/2)*CM34+(1-EXP(-LN(2)/2))/(LN(2)/2)*CG35*CJ35*VLOOKUP('Données projet'!$B$12,Paramètres!$A$1:$I$89,3,0)*0.475*44/12</f>
        <v>0.65594475279321585</v>
      </c>
      <c r="CN35" s="22">
        <f t="shared" si="12"/>
        <v>1.982772830449258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4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335.04371101436357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18.866923076923076</v>
      </c>
      <c r="N36" s="13">
        <f>IF('Données projet'!$A$36&gt;35,N35+M36-V35,IF(A36&lt;'Données projet'!$A$36,$K$205^A36,IF(A36='Données projet'!$A$36,'Données projet'!$B$36,N35+M36-V35)))</f>
        <v>279.48692307692312</v>
      </c>
      <c r="O36" s="13">
        <f>N36*VLOOKUP('Données projet'!$B$9,Paramètres!$A$1:$I$89,3,0)*VLOOKUP('Données projet'!$B$9,Paramètres!$A$1:$I$89,5,0)</f>
        <v>167.13318000000004</v>
      </c>
      <c r="P36" s="13">
        <f t="shared" si="33"/>
        <v>42.447317110592564</v>
      </c>
      <c r="Q36" s="20">
        <f t="shared" si="53"/>
        <v>365.01936580094872</v>
      </c>
      <c r="R36" s="59">
        <f t="shared" si="0"/>
        <v>658.35269913428203</v>
      </c>
      <c r="S36" s="59">
        <f ca="1">AVERAGE(OFFSET($R$3,0,0,'Données projet'!$E$9+1,1))-AVERAGE(OFFSET($H$3,0,0,'Données projet'!$E$9+1,1))</f>
        <v>235.90365770026909</v>
      </c>
      <c r="T36" s="59">
        <f t="shared" si="34"/>
        <v>348.09952585694253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31.363775801119132</v>
      </c>
      <c r="AA36" s="21">
        <f>EXP(-LN(2)/25)*AA35+(1-EXP(-LN(2)/25))/(LN(2)/25)*Calculateur!V36*Calculateur!X36*VLOOKUP('Données projet'!$B$9,Paramètres!$A$1:$I$89,3,0)*0.475*44/12</f>
        <v>17.77654166395428</v>
      </c>
      <c r="AB36" s="21">
        <f>EXP(-LN(2)/2)*AB35+(1-EXP(-LN(2)/2))/(LN(2)/2)*V36*Y36*VLOOKUP('Données projet'!$B$9,Paramètres!$A$1:$I$89,3,0)*0.475*44/12</f>
        <v>8.0013828690724562</v>
      </c>
      <c r="AC36" s="22">
        <f t="shared" si="3"/>
        <v>57.141700334145867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4.0942857142857143</v>
      </c>
      <c r="AI36" s="13">
        <f>IF('Données projet'!$A$62&gt;35,AI35+AH36-AQ35,IF(A36&lt;'Données projet'!$A$62,$AF$205^A36,IF(A36='Données projet'!$A$62,'Données projet'!$B$62,AI35+AH36-AQ35)))</f>
        <v>135.11142857142866</v>
      </c>
      <c r="AJ36" s="13">
        <f>AI36*VLOOKUP('Données projet'!$B$10,Paramètres!$A$1:$I$89,3,0)*VLOOKUP('Données projet'!$B$10,Paramètres!$A$1:$I$89,5,0)</f>
        <v>122.24882057142865</v>
      </c>
      <c r="AK36" s="13">
        <f t="shared" si="35"/>
        <v>32.198931651835657</v>
      </c>
      <c r="AL36" s="20">
        <f t="shared" si="4"/>
        <v>268.99650178885196</v>
      </c>
      <c r="AM36" s="59">
        <f t="shared" si="5"/>
        <v>562.32983512218527</v>
      </c>
      <c r="AN36" s="59">
        <f ca="1">AVERAGE(OFFSET($AM$3,0,0,'Données projet'!$E$10+1,1))-AVERAGE(OFFSET($H$3,0,0,'Données projet'!$E$10+1,1))</f>
        <v>490.21869105612649</v>
      </c>
      <c r="AO36" s="59">
        <f t="shared" si="36"/>
        <v>207.08773997010911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4.6153846153846132</v>
      </c>
      <c r="BD36" s="12">
        <f>IF('Données projet'!$A$88&gt;35,BD35+BC36-BL35,IF(A36&lt;'Données projet'!$A$88,$BA$205^A36,IF(A36='Données projet'!$A$88,'Données projet'!$B$88,BD35+BC36-BL35)))</f>
        <v>77.307692307692307</v>
      </c>
      <c r="BE36" s="13">
        <f>BD36*VLOOKUP('Données projet'!$B$11,Paramètres!$A$1:$I$89,3,0)*VLOOKUP('Données projet'!$B$11,Paramètres!$A$1:$I$89,5,0)</f>
        <v>80.802000000000007</v>
      </c>
      <c r="BF36" s="13">
        <f t="shared" si="37"/>
        <v>22.333163311057419</v>
      </c>
      <c r="BG36" s="20">
        <f t="shared" si="7"/>
        <v>179.6270761000917</v>
      </c>
      <c r="BH36" s="59">
        <f t="shared" si="8"/>
        <v>472.96040943342501</v>
      </c>
      <c r="BI36" s="59">
        <f ca="1">AVERAGE(OFFSET($BH$3,0,0,'Données projet'!$E$11+1,1))-AVERAGE(OFFSET($H$3,0,0,'Données projet'!$E$11+1,1))</f>
        <v>144.01698107732989</v>
      </c>
      <c r="BJ36" s="59">
        <f t="shared" si="38"/>
        <v>139.28039875117332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8.541133190754989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8.541133190754989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3.0769230769230775</v>
      </c>
      <c r="BY36" s="12">
        <f>IF('Données projet'!$A$114&gt;35,BY35+BX36-CG35,IF(A36&lt;'Données projet'!$A$114,$BV$205^A36,IF(A36='Données projet'!$A$114,'Données projet'!$B$114,BY35+BX36-CG35)))</f>
        <v>57.307692307692299</v>
      </c>
      <c r="BZ36" s="13">
        <f>BY36*VLOOKUP('Données projet'!$B$12,Paramètres!$A$1:$I$89,3,0)*VLOOKUP('Données projet'!$B$12,Paramètres!$A$1:$I$89,5,0)</f>
        <v>46.488</v>
      </c>
      <c r="CA36" s="13">
        <f t="shared" si="39"/>
        <v>13.70296192228238</v>
      </c>
      <c r="CB36" s="20">
        <f t="shared" si="10"/>
        <v>104.83259201464182</v>
      </c>
      <c r="CC36" s="59">
        <f t="shared" si="11"/>
        <v>398.16592534797513</v>
      </c>
      <c r="CD36" s="59">
        <f ca="1">AVERAGE(OFFSET($CC$3,0,0,'Données projet'!$E$12+1,1))-AVERAGE(OFFSET($H$3,0,0,'Données projet'!$E$12+1,1))</f>
        <v>72.953866894533007</v>
      </c>
      <c r="CE36" s="59">
        <f t="shared" si="40"/>
        <v>60.640359826163092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1.2905458940976815</v>
      </c>
      <c r="CM36" s="21">
        <f>EXP(-LN(2)/2)*CM35+(1-EXP(-LN(2)/2))/(LN(2)/2)*CG36*CJ36*VLOOKUP('Données projet'!$B$12,Paramètres!$A$1:$I$89,3,0)*0.475*44/12</f>
        <v>0.46382298278381651</v>
      </c>
      <c r="CN36" s="22">
        <f t="shared" si="12"/>
        <v>1.754368876881498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4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336.27074620482119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18.866923076923076</v>
      </c>
      <c r="N37" s="13">
        <f>IF('Données projet'!$A$36&gt;35,N36+M37-V36,IF(A37&lt;'Données projet'!$A$36,$K$205^A37,IF(A37='Données projet'!$A$36,'Données projet'!$B$36,N36+M37-V36)))</f>
        <v>298.35384615384618</v>
      </c>
      <c r="O37" s="13">
        <f>N37*VLOOKUP('Données projet'!$B$9,Paramètres!$A$1:$I$89,3,0)*VLOOKUP('Données projet'!$B$9,Paramètres!$A$1:$I$89,5,0)</f>
        <v>178.41560000000004</v>
      </c>
      <c r="P37" s="13">
        <f t="shared" si="33"/>
        <v>44.9695051812256</v>
      </c>
      <c r="Q37" s="20">
        <f t="shared" si="53"/>
        <v>389.06239152396802</v>
      </c>
      <c r="R37" s="59">
        <f t="shared" si="0"/>
        <v>682.39572485730127</v>
      </c>
      <c r="S37" s="59">
        <f ca="1">AVERAGE(OFFSET($R$3,0,0,'Données projet'!$E$9+1,1))-AVERAGE(OFFSET($H$3,0,0,'Données projet'!$E$9+1,1))</f>
        <v>235.90365770026909</v>
      </c>
      <c r="T37" s="59">
        <f t="shared" si="34"/>
        <v>348.09952585694253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30.748751287673493</v>
      </c>
      <c r="AA37" s="21">
        <f>EXP(-LN(2)/25)*AA36+(1-EXP(-LN(2)/25))/(LN(2)/25)*Calculateur!V37*Calculateur!X37*VLOOKUP('Données projet'!$B$9,Paramètres!$A$1:$I$89,3,0)*0.475*44/12</f>
        <v>17.290441197325752</v>
      </c>
      <c r="AB37" s="21">
        <f>EXP(-LN(2)/2)*AB36+(1-EXP(-LN(2)/2))/(LN(2)/2)*V37*Y37*VLOOKUP('Données projet'!$B$9,Paramètres!$A$1:$I$89,3,0)*0.475*44/12</f>
        <v>5.6578320855910071</v>
      </c>
      <c r="AC37" s="22">
        <f t="shared" si="3"/>
        <v>53.697024570590258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4.0942857142857143</v>
      </c>
      <c r="AI37" s="13">
        <f>IF('Données projet'!$A$62&gt;35,AI36+AH37-AQ36,IF(A37&lt;'Données projet'!$A$62,$AF$205^A37,IF(A37='Données projet'!$A$62,'Données projet'!$B$62,AI36+AH37-AQ36)))</f>
        <v>139.20571428571438</v>
      </c>
      <c r="AJ37" s="13">
        <f>AI37*VLOOKUP('Données projet'!$B$10,Paramètres!$A$1:$I$89,3,0)*VLOOKUP('Données projet'!$B$10,Paramètres!$A$1:$I$89,5,0)</f>
        <v>125.95333028571436</v>
      </c>
      <c r="AK37" s="13">
        <f t="shared" si="35"/>
        <v>33.059578796189285</v>
      </c>
      <c r="AL37" s="20">
        <f t="shared" si="4"/>
        <v>276.94748331764885</v>
      </c>
      <c r="AM37" s="59">
        <f t="shared" si="5"/>
        <v>570.28081665098216</v>
      </c>
      <c r="AN37" s="59">
        <f ca="1">AVERAGE(OFFSET($AM$3,0,0,'Données projet'!$E$10+1,1))-AVERAGE(OFFSET($H$3,0,0,'Données projet'!$E$10+1,1))</f>
        <v>490.21869105612649</v>
      </c>
      <c r="AO37" s="59">
        <f t="shared" si="36"/>
        <v>207.08773997010911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4.6153846153846132</v>
      </c>
      <c r="BD37" s="12">
        <f>IF('Données projet'!$A$88&gt;35,BD36+BC37-BL36,IF(A37&lt;'Données projet'!$A$88,$BA$205^A37,IF(A37='Données projet'!$A$88,'Données projet'!$B$88,BD36+BC37-BL36)))</f>
        <v>81.92307692307692</v>
      </c>
      <c r="BE37" s="13">
        <f>BD37*VLOOKUP('Données projet'!$B$11,Paramètres!$A$1:$I$89,3,0)*VLOOKUP('Données projet'!$B$11,Paramètres!$A$1:$I$89,5,0)</f>
        <v>85.626000000000005</v>
      </c>
      <c r="BF37" s="13">
        <f t="shared" si="37"/>
        <v>23.507282308556064</v>
      </c>
      <c r="BG37" s="20">
        <f t="shared" si="7"/>
        <v>190.07380002073512</v>
      </c>
      <c r="BH37" s="59">
        <f t="shared" si="8"/>
        <v>483.40713335406843</v>
      </c>
      <c r="BI37" s="59">
        <f ca="1">AVERAGE(OFFSET($BH$3,0,0,'Données projet'!$E$11+1,1))-AVERAGE(OFFSET($H$3,0,0,'Données projet'!$E$11+1,1))</f>
        <v>144.01698107732989</v>
      </c>
      <c r="BJ37" s="59">
        <f t="shared" si="38"/>
        <v>139.28039875117332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8.3075754544951206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8.3075754544951206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3.0769230769230775</v>
      </c>
      <c r="BY37" s="12">
        <f>IF('Données projet'!$A$114&gt;35,BY36+BX37-CG36,IF(A37&lt;'Données projet'!$A$114,$BV$205^A37,IF(A37='Données projet'!$A$114,'Données projet'!$B$114,BY36+BX37-CG36)))</f>
        <v>60.38461538461538</v>
      </c>
      <c r="BZ37" s="13">
        <f>BY37*VLOOKUP('Données projet'!$B$12,Paramètres!$A$1:$I$89,3,0)*VLOOKUP('Données projet'!$B$12,Paramètres!$A$1:$I$89,5,0)</f>
        <v>48.984000000000002</v>
      </c>
      <c r="CA37" s="13">
        <f t="shared" si="39"/>
        <v>14.351060556422677</v>
      </c>
      <c r="CB37" s="20">
        <f t="shared" si="10"/>
        <v>110.30856380243615</v>
      </c>
      <c r="CC37" s="59">
        <f t="shared" si="11"/>
        <v>403.64189713576945</v>
      </c>
      <c r="CD37" s="59">
        <f ca="1">AVERAGE(OFFSET($CC$3,0,0,'Données projet'!$E$12+1,1))-AVERAGE(OFFSET($H$3,0,0,'Données projet'!$E$12+1,1))</f>
        <v>72.953866894533007</v>
      </c>
      <c r="CE37" s="59">
        <f t="shared" si="40"/>
        <v>60.640359826163092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1.2552558487567214</v>
      </c>
      <c r="CM37" s="21">
        <f>EXP(-LN(2)/2)*CM36+(1-EXP(-LN(2)/2))/(LN(2)/2)*CG37*CJ37*VLOOKUP('Données projet'!$B$12,Paramètres!$A$1:$I$89,3,0)*0.475*44/12</f>
        <v>0.32797237639660798</v>
      </c>
      <c r="CN37" s="22">
        <f t="shared" si="12"/>
        <v>1.5832282251533294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4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337.49683768183723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18.866923076923076</v>
      </c>
      <c r="N38" s="13">
        <f>IF('Données projet'!$A$36&gt;35,N37+M38-V37,IF(A38&lt;'Données projet'!$A$36,$K$205^A38,IF(A38='Données projet'!$A$36,'Données projet'!$B$36,N37+M38-V37)))</f>
        <v>317.22076923076924</v>
      </c>
      <c r="O38" s="13">
        <f>N38*VLOOKUP('Données projet'!$B$9,Paramètres!$A$1:$I$89,3,0)*VLOOKUP('Données projet'!$B$9,Paramètres!$A$1:$I$89,5,0)</f>
        <v>189.69802000000001</v>
      </c>
      <c r="P38" s="13">
        <f t="shared" si="33"/>
        <v>47.473183181443147</v>
      </c>
      <c r="Q38" s="20">
        <f t="shared" si="53"/>
        <v>413.07317887434687</v>
      </c>
      <c r="R38" s="59">
        <f t="shared" si="0"/>
        <v>706.40651220768018</v>
      </c>
      <c r="S38" s="59">
        <f ca="1">AVERAGE(OFFSET($R$3,0,0,'Données projet'!$E$9+1,1))-AVERAGE(OFFSET($H$3,0,0,'Données projet'!$E$9+1,1))</f>
        <v>235.90365770026909</v>
      </c>
      <c r="T38" s="59">
        <f t="shared" si="34"/>
        <v>348.09952585694253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30.145787029808609</v>
      </c>
      <c r="AA38" s="21">
        <f>EXP(-LN(2)/25)*AA37+(1-EXP(-LN(2)/25))/(LN(2)/25)*Calculateur!V38*Calculateur!X38*VLOOKUP('Données projet'!$B$9,Paramètres!$A$1:$I$89,3,0)*0.475*44/12</f>
        <v>16.817633173520093</v>
      </c>
      <c r="AB38" s="21">
        <f>EXP(-LN(2)/2)*AB37+(1-EXP(-LN(2)/2))/(LN(2)/2)*V38*Y38*VLOOKUP('Données projet'!$B$9,Paramètres!$A$1:$I$89,3,0)*0.475*44/12</f>
        <v>4.0006914345362281</v>
      </c>
      <c r="AC38" s="22">
        <f t="shared" si="3"/>
        <v>50.964111637864931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4.0942857142857143</v>
      </c>
      <c r="AI38" s="13">
        <f>IF('Données projet'!$A$62&gt;35,AI37+AH38-AQ37,IF(A38&lt;'Données projet'!$A$62,$AF$205^A38,IF(A38='Données projet'!$A$62,'Données projet'!$B$62,AI37+AH38-AQ37)))</f>
        <v>143.3000000000001</v>
      </c>
      <c r="AJ38" s="13">
        <f>AI38*VLOOKUP('Données projet'!$B$10,Paramètres!$A$1:$I$89,3,0)*VLOOKUP('Données projet'!$B$10,Paramètres!$A$1:$I$89,5,0)</f>
        <v>129.65784000000008</v>
      </c>
      <c r="AK38" s="13">
        <f t="shared" si="35"/>
        <v>33.917284079455818</v>
      </c>
      <c r="AL38" s="20">
        <f t="shared" si="4"/>
        <v>284.89334110505234</v>
      </c>
      <c r="AM38" s="59">
        <f t="shared" si="5"/>
        <v>578.22667443838566</v>
      </c>
      <c r="AN38" s="59">
        <f ca="1">AVERAGE(OFFSET($AM$3,0,0,'Données projet'!$E$10+1,1))-AVERAGE(OFFSET($H$3,0,0,'Données projet'!$E$10+1,1))</f>
        <v>490.21869105612649</v>
      </c>
      <c r="AO38" s="59">
        <f t="shared" si="36"/>
        <v>207.08773997010911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86.538461538461533</v>
      </c>
      <c r="BB38" s="12">
        <f>VLOOKUP(A38,'Données projet'!$A$87:$I$107,9,0)</f>
        <v>4.6153846153846132</v>
      </c>
      <c r="BC38" s="12">
        <f t="array" ref="BC38">INDEX(BB:BB,MIN(IF(ISNUMBER(BB38:BB234),ROW(BB38:BB234),"")))</f>
        <v>4.6153846153846132</v>
      </c>
      <c r="BD38" s="12">
        <f>IF('Données projet'!$A$88&gt;35,BD37+BC38-BL37,IF(A38&lt;'Données projet'!$A$88,$BA$205^A38,IF(A38='Données projet'!$A$88,'Données projet'!$B$88,BD37+BC38-BL37)))</f>
        <v>86.538461538461533</v>
      </c>
      <c r="BE38" s="13">
        <f>BD38*VLOOKUP('Données projet'!$B$11,Paramètres!$A$1:$I$89,3,0)*VLOOKUP('Données projet'!$B$11,Paramètres!$A$1:$I$89,5,0)</f>
        <v>90.45</v>
      </c>
      <c r="BF38" s="13">
        <f t="shared" si="37"/>
        <v>24.673722634554377</v>
      </c>
      <c r="BG38" s="20">
        <f t="shared" si="7"/>
        <v>200.50715025518218</v>
      </c>
      <c r="BH38" s="59">
        <f t="shared" si="8"/>
        <v>493.8404835885155</v>
      </c>
      <c r="BI38" s="59">
        <f ca="1">AVERAGE(OFFSET($BH$3,0,0,'Données projet'!$E$11+1,1))-AVERAGE(OFFSET($H$3,0,0,'Données projet'!$E$11+1,1))</f>
        <v>144.01698107732989</v>
      </c>
      <c r="BJ38" s="59">
        <f t="shared" si="38"/>
        <v>139.28039875117332</v>
      </c>
      <c r="BK38" s="15">
        <f>IF(ISNA(VLOOKUP(A38,'Données projet'!$A$87:$I$107,3,0)),0,VLOOKUP(A38,'Données projet'!$A$87:$I$107,3,0))</f>
        <v>4</v>
      </c>
      <c r="BL38" s="15">
        <f>IF(ISNA(VLOOKUP(A38,'Données projet'!$A$87:$I$107,4,0)),0,VLOOKUP(A38,'Données projet'!$A$87:$I$107,4,0))</f>
        <v>12.820512820512819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0.215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11.252724522259671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11.252724522259671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63.46153846153846</v>
      </c>
      <c r="BW38" s="12">
        <f>VLOOKUP(A38,'Données projet'!$A$113:$I$133,9,0)</f>
        <v>3.0769230769230775</v>
      </c>
      <c r="BX38" s="12">
        <f t="array" ref="BX38">INDEX(BW:BW,MIN(IF(ISNUMBER(BW38:BW234),ROW(BW38:BW234),"")))</f>
        <v>3.0769230769230775</v>
      </c>
      <c r="BY38" s="12">
        <f>IF('Données projet'!$A$114&gt;35,BY37+BX38-CG37,IF(A38&lt;'Données projet'!$A$114,$BV$205^A38,IF(A38='Données projet'!$A$114,'Données projet'!$B$114,BY37+BX38-CG37)))</f>
        <v>63.46153846153846</v>
      </c>
      <c r="BZ38" s="13">
        <f>BY38*VLOOKUP('Données projet'!$B$12,Paramètres!$A$1:$I$89,3,0)*VLOOKUP('Données projet'!$B$12,Paramètres!$A$1:$I$89,5,0)</f>
        <v>51.480000000000004</v>
      </c>
      <c r="CA38" s="13">
        <f t="shared" si="39"/>
        <v>14.995324806875232</v>
      </c>
      <c r="CB38" s="20">
        <f t="shared" si="10"/>
        <v>115.77785737197435</v>
      </c>
      <c r="CC38" s="59">
        <f t="shared" si="11"/>
        <v>409.11119070530765</v>
      </c>
      <c r="CD38" s="59">
        <f ca="1">AVERAGE(OFFSET($CC$3,0,0,'Données projet'!$E$12+1,1))-AVERAGE(OFFSET($H$3,0,0,'Données projet'!$E$12+1,1))</f>
        <v>72.953866894533007</v>
      </c>
      <c r="CE38" s="59">
        <f t="shared" si="40"/>
        <v>60.640359826163092</v>
      </c>
      <c r="CF38" s="15">
        <f>IF(ISNA(VLOOKUP(A38,'Données projet'!$A$113:$I$133,3,0)),0,VLOOKUP(A38,'Données projet'!$A$113:$I$133,3,0))</f>
        <v>5</v>
      </c>
      <c r="CG38" s="15">
        <f>IF(ISNA(VLOOKUP(A38,'Données projet'!$A$113:$I$133,4,0)),0,VLOOKUP(A38,'Données projet'!$A$113:$I$133,4,0))</f>
        <v>6.4102564102564097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0.1075</v>
      </c>
      <c r="CJ38" s="16">
        <f>IF(ISNA(VLOOKUP(A38,'Données projet'!$A$113:$I$133,7,0)),0%,VLOOKUP(A38,'Données projet'!$A$113:$I$133,7,0))</f>
        <v>0.25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1.8364556178416365</v>
      </c>
      <c r="CM38" s="21">
        <f>EXP(-LN(2)/2)*CM37+(1-EXP(-LN(2)/2))/(LN(2)/2)*CG38*CJ38*VLOOKUP('Données projet'!$B$12,Paramètres!$A$1:$I$89,3,0)*0.475*44/12</f>
        <v>1.4584964803789129</v>
      </c>
      <c r="CN38" s="22">
        <f t="shared" si="12"/>
        <v>3.2949520982205494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4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338.72201550546265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18.866923076923076</v>
      </c>
      <c r="N39" s="13">
        <f>IF('Données projet'!$A$36&gt;35,N38+M39-V38,IF(A39&lt;'Données projet'!$A$36,$K$205^A39,IF(A39='Données projet'!$A$36,'Données projet'!$B$36,N38+M39-V38)))</f>
        <v>336.08769230769229</v>
      </c>
      <c r="O39" s="13">
        <f>N39*VLOOKUP('Données projet'!$B$9,Paramètres!$A$1:$I$89,3,0)*VLOOKUP('Données projet'!$B$9,Paramètres!$A$1:$I$89,5,0)</f>
        <v>200.98043999999999</v>
      </c>
      <c r="P39" s="13">
        <f t="shared" si="33"/>
        <v>49.959577398655227</v>
      </c>
      <c r="Q39" s="20">
        <f t="shared" si="53"/>
        <v>437.05386363599115</v>
      </c>
      <c r="R39" s="59">
        <f t="shared" si="0"/>
        <v>730.38719696932446</v>
      </c>
      <c r="S39" s="59">
        <f ca="1">AVERAGE(OFFSET($R$3,0,0,'Données projet'!$E$9+1,1))-AVERAGE(OFFSET($H$3,0,0,'Données projet'!$E$9+1,1))</f>
        <v>235.90365770026909</v>
      </c>
      <c r="T39" s="59">
        <f t="shared" si="34"/>
        <v>348.09952585694253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29.554646533268574</v>
      </c>
      <c r="AA39" s="21">
        <f>EXP(-LN(2)/25)*AA38+(1-EXP(-LN(2)/25))/(LN(2)/25)*Calculateur!V39*Calculateur!X39*VLOOKUP('Données projet'!$B$9,Paramètres!$A$1:$I$89,3,0)*0.475*44/12</f>
        <v>16.357754109989294</v>
      </c>
      <c r="AB39" s="21">
        <f>EXP(-LN(2)/2)*AB38+(1-EXP(-LN(2)/2))/(LN(2)/2)*V39*Y39*VLOOKUP('Données projet'!$B$9,Paramètres!$A$1:$I$89,3,0)*0.475*44/12</f>
        <v>2.8289160427955036</v>
      </c>
      <c r="AC39" s="22">
        <f t="shared" si="3"/>
        <v>48.741316686053374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4.0942857142857143</v>
      </c>
      <c r="AI39" s="13">
        <f>IF('Données projet'!$A$62&gt;35,AI38+AH39-AQ38,IF(A39&lt;'Données projet'!$A$62,$AF$205^A39,IF(A39='Données projet'!$A$62,'Données projet'!$B$62,AI38+AH39-AQ38)))</f>
        <v>147.39428571428581</v>
      </c>
      <c r="AJ39" s="13">
        <f>AI39*VLOOKUP('Données projet'!$B$10,Paramètres!$A$1:$I$89,3,0)*VLOOKUP('Données projet'!$B$10,Paramètres!$A$1:$I$89,5,0)</f>
        <v>133.36234971428578</v>
      </c>
      <c r="AK39" s="13">
        <f t="shared" si="35"/>
        <v>34.772141208569977</v>
      </c>
      <c r="AL39" s="20">
        <f t="shared" si="4"/>
        <v>292.83423835730713</v>
      </c>
      <c r="AM39" s="59">
        <f t="shared" si="5"/>
        <v>586.16757169064044</v>
      </c>
      <c r="AN39" s="59">
        <f ca="1">AVERAGE(OFFSET($AM$3,0,0,'Données projet'!$E$10+1,1))-AVERAGE(OFFSET($H$3,0,0,'Données projet'!$E$10+1,1))</f>
        <v>490.21869105612649</v>
      </c>
      <c r="AO39" s="59">
        <f t="shared" si="36"/>
        <v>207.08773997010911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4.4871794871794863</v>
      </c>
      <c r="BD39" s="12">
        <f>IF('Données projet'!$A$88&gt;35,BD38+BC39-BL38,IF(A39&lt;'Données projet'!$A$88,$BA$205^A39,IF(A39='Données projet'!$A$88,'Données projet'!$B$88,BD38+BC39-BL38)))</f>
        <v>78.205128205128204</v>
      </c>
      <c r="BE39" s="13">
        <f>BD39*VLOOKUP('Données projet'!$B$11,Paramètres!$A$1:$I$89,3,0)*VLOOKUP('Données projet'!$B$11,Paramètres!$A$1:$I$89,5,0)</f>
        <v>81.740000000000009</v>
      </c>
      <c r="BF39" s="13">
        <f t="shared" si="37"/>
        <v>22.56208894179845</v>
      </c>
      <c r="BG39" s="20">
        <f t="shared" si="7"/>
        <v>181.65947157363232</v>
      </c>
      <c r="BH39" s="59">
        <f t="shared" si="8"/>
        <v>474.9928049069656</v>
      </c>
      <c r="BI39" s="59">
        <f ca="1">AVERAGE(OFFSET($BH$3,0,0,'Données projet'!$E$11+1,1))-AVERAGE(OFFSET($H$3,0,0,'Données projet'!$E$11+1,1))</f>
        <v>144.01698107732989</v>
      </c>
      <c r="BJ39" s="59">
        <f t="shared" si="38"/>
        <v>139.28039875117332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10.945018178443416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10.945018178443416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3.0769230769230758</v>
      </c>
      <c r="BY39" s="12">
        <f>IF('Données projet'!$A$114&gt;35,BY38+BX39-CG38,IF(A39&lt;'Données projet'!$A$114,$BV$205^A39,IF(A39='Données projet'!$A$114,'Données projet'!$B$114,BY38+BX39-CG38)))</f>
        <v>60.128205128205124</v>
      </c>
      <c r="BZ39" s="13">
        <f>BY39*VLOOKUP('Données projet'!$B$12,Paramètres!$A$1:$I$89,3,0)*VLOOKUP('Données projet'!$B$12,Paramètres!$A$1:$I$89,5,0)</f>
        <v>48.776000000000003</v>
      </c>
      <c r="CA39" s="13">
        <f t="shared" si="39"/>
        <v>14.297201805363601</v>
      </c>
      <c r="CB39" s="20">
        <f t="shared" si="10"/>
        <v>109.85249314434161</v>
      </c>
      <c r="CC39" s="59">
        <f t="shared" si="11"/>
        <v>403.18582647767494</v>
      </c>
      <c r="CD39" s="59">
        <f ca="1">AVERAGE(OFFSET($CC$3,0,0,'Données projet'!$E$12+1,1))-AVERAGE(OFFSET($H$3,0,0,'Données projet'!$E$12+1,1))</f>
        <v>72.953866894533007</v>
      </c>
      <c r="CE39" s="59">
        <f t="shared" si="40"/>
        <v>60.640359826163092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1.7862376423967532</v>
      </c>
      <c r="CM39" s="21">
        <f>EXP(-LN(2)/2)*CM38+(1-EXP(-LN(2)/2))/(LN(2)/2)*CG39*CJ39*VLOOKUP('Données projet'!$B$12,Paramètres!$A$1:$I$89,3,0)*0.475*44/12</f>
        <v>1.0313127516126417</v>
      </c>
      <c r="CN39" s="22">
        <f t="shared" si="12"/>
        <v>2.8175503940093947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4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339.94630797071892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18.866923076923076</v>
      </c>
      <c r="N40" s="13">
        <f>IF('Données projet'!$A$36&gt;35,N39+M40-V39,IF(A40&lt;'Données projet'!$A$36,$K$205^A40,IF(A40='Données projet'!$A$36,'Données projet'!$B$36,N39+M40-V39)))</f>
        <v>354.95461538461535</v>
      </c>
      <c r="O40" s="13">
        <f>N40*VLOOKUP('Données projet'!$B$9,Paramètres!$A$1:$I$89,3,0)*VLOOKUP('Données projet'!$B$9,Paramètres!$A$1:$I$89,5,0)</f>
        <v>212.26285999999999</v>
      </c>
      <c r="P40" s="13">
        <f t="shared" si="33"/>
        <v>52.429768664137946</v>
      </c>
      <c r="Q40" s="20">
        <f t="shared" si="53"/>
        <v>461.00632825670687</v>
      </c>
      <c r="R40" s="59">
        <f t="shared" si="0"/>
        <v>754.33966159004012</v>
      </c>
      <c r="S40" s="59">
        <f ca="1">AVERAGE(OFFSET($R$3,0,0,'Données projet'!$E$9+1,1))-AVERAGE(OFFSET($H$3,0,0,'Données projet'!$E$9+1,1))</f>
        <v>235.90365770026909</v>
      </c>
      <c r="T40" s="59">
        <f t="shared" si="34"/>
        <v>348.09952585694253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28.975097941305588</v>
      </c>
      <c r="AA40" s="21">
        <f>EXP(-LN(2)/25)*AA39+(1-EXP(-LN(2)/25))/(LN(2)/25)*Calculateur!V40*Calculateur!X40*VLOOKUP('Données projet'!$B$9,Paramètres!$A$1:$I$89,3,0)*0.475*44/12</f>
        <v>15.910450463634735</v>
      </c>
      <c r="AB40" s="21">
        <f>EXP(-LN(2)/2)*AB39+(1-EXP(-LN(2)/2))/(LN(2)/2)*V40*Y40*VLOOKUP('Données projet'!$B$9,Paramètres!$A$1:$I$89,3,0)*0.475*44/12</f>
        <v>2.0003457172681141</v>
      </c>
      <c r="AC40" s="22">
        <f t="shared" si="3"/>
        <v>46.885894122208434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4.0942857142857143</v>
      </c>
      <c r="AI40" s="13">
        <f>IF('Données projet'!$A$62&gt;35,AI39+AH40-AQ39,IF(A40&lt;'Données projet'!$A$62,$AF$205^A40,IF(A40='Données projet'!$A$62,'Données projet'!$B$62,AI39+AH40-AQ39)))</f>
        <v>151.48857142857153</v>
      </c>
      <c r="AJ40" s="13">
        <f>AI40*VLOOKUP('Données projet'!$B$10,Paramètres!$A$1:$I$89,3,0)*VLOOKUP('Données projet'!$B$10,Paramètres!$A$1:$I$89,5,0)</f>
        <v>137.06685942857152</v>
      </c>
      <c r="AK40" s="13">
        <f t="shared" si="35"/>
        <v>35.624238388297236</v>
      </c>
      <c r="AL40" s="20">
        <f t="shared" si="4"/>
        <v>300.77032869771307</v>
      </c>
      <c r="AM40" s="59">
        <f t="shared" si="5"/>
        <v>594.10366203104638</v>
      </c>
      <c r="AN40" s="59">
        <f ca="1">AVERAGE(OFFSET($AM$3,0,0,'Données projet'!$E$10+1,1))-AVERAGE(OFFSET($H$3,0,0,'Données projet'!$E$10+1,1))</f>
        <v>490.21869105612649</v>
      </c>
      <c r="AO40" s="59">
        <f t="shared" si="36"/>
        <v>207.08773997010911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4.4871794871794863</v>
      </c>
      <c r="BD40" s="12">
        <f>IF('Données projet'!$A$88&gt;35,BD39+BC40-BL39,IF(A40&lt;'Données projet'!$A$88,$BA$205^A40,IF(A40='Données projet'!$A$88,'Données projet'!$B$88,BD39+BC40-BL39)))</f>
        <v>82.692307692307693</v>
      </c>
      <c r="BE40" s="13">
        <f>BD40*VLOOKUP('Données projet'!$B$11,Paramètres!$A$1:$I$89,3,0)*VLOOKUP('Données projet'!$B$11,Paramètres!$A$1:$I$89,5,0)</f>
        <v>86.43</v>
      </c>
      <c r="BF40" s="13">
        <f t="shared" si="37"/>
        <v>23.702209286798929</v>
      </c>
      <c r="BG40" s="20">
        <f t="shared" si="7"/>
        <v>191.81359784117481</v>
      </c>
      <c r="BH40" s="59">
        <f t="shared" si="8"/>
        <v>485.14693117450815</v>
      </c>
      <c r="BI40" s="59">
        <f ca="1">AVERAGE(OFFSET($BH$3,0,0,'Données projet'!$E$11+1,1))-AVERAGE(OFFSET($H$3,0,0,'Données projet'!$E$11+1,1))</f>
        <v>144.01698107732989</v>
      </c>
      <c r="BJ40" s="59">
        <f t="shared" si="38"/>
        <v>139.28039875117332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10.64572608078039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10.64572608078039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3.0769230769230758</v>
      </c>
      <c r="BY40" s="12">
        <f>IF('Données projet'!$A$114&gt;35,BY39+BX40-CG39,IF(A40&lt;'Données projet'!$A$114,$BV$205^A40,IF(A40='Données projet'!$A$114,'Données projet'!$B$114,BY39+BX40-CG39)))</f>
        <v>63.205128205128197</v>
      </c>
      <c r="BZ40" s="13">
        <f>BY40*VLOOKUP('Données projet'!$B$12,Paramètres!$A$1:$I$89,3,0)*VLOOKUP('Données projet'!$B$12,Paramètres!$A$1:$I$89,5,0)</f>
        <v>51.272000000000006</v>
      </c>
      <c r="CA40" s="13">
        <f t="shared" si="39"/>
        <v>14.941777374871691</v>
      </c>
      <c r="CB40" s="20">
        <f t="shared" si="10"/>
        <v>115.32232892790154</v>
      </c>
      <c r="CC40" s="59">
        <f t="shared" si="11"/>
        <v>408.65566226123485</v>
      </c>
      <c r="CD40" s="59">
        <f ca="1">AVERAGE(OFFSET($CC$3,0,0,'Données projet'!$E$12+1,1))-AVERAGE(OFFSET($H$3,0,0,'Données projet'!$E$12+1,1))</f>
        <v>72.953866894533007</v>
      </c>
      <c r="CE40" s="59">
        <f t="shared" si="40"/>
        <v>60.640359826163092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1.7373928801312588</v>
      </c>
      <c r="CM40" s="21">
        <f>EXP(-LN(2)/2)*CM39+(1-EXP(-LN(2)/2))/(LN(2)/2)*CG40*CJ40*VLOOKUP('Données projet'!$B$12,Paramètres!$A$1:$I$89,3,0)*0.475*44/12</f>
        <v>0.72924824018945655</v>
      </c>
      <c r="CN40" s="22">
        <f t="shared" si="12"/>
        <v>2.4666411203207153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4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341.16974175610096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18.866923076923076</v>
      </c>
      <c r="N41" s="13">
        <f>IF('Données projet'!$A$36&gt;35,N40+M41-V40,IF(A41&lt;'Données projet'!$A$36,$K$205^A41,IF(A41='Données projet'!$A$36,'Données projet'!$B$36,N40+M41-V40)))</f>
        <v>373.82153846153841</v>
      </c>
      <c r="O41" s="13">
        <f>N41*VLOOKUP('Données projet'!$B$9,Paramètres!$A$1:$I$89,3,0)*VLOOKUP('Données projet'!$B$9,Paramètres!$A$1:$I$89,5,0)</f>
        <v>223.54527999999999</v>
      </c>
      <c r="P41" s="13">
        <f t="shared" si="33"/>
        <v>54.884716420835495</v>
      </c>
      <c r="Q41" s="20">
        <f t="shared" si="53"/>
        <v>484.93224376628842</v>
      </c>
      <c r="R41" s="59">
        <f t="shared" si="0"/>
        <v>778.26557709962174</v>
      </c>
      <c r="S41" s="59">
        <f ca="1">AVERAGE(OFFSET($R$3,0,0,'Données projet'!$E$9+1,1))-AVERAGE(OFFSET($H$3,0,0,'Données projet'!$E$9+1,1))</f>
        <v>235.90365770026909</v>
      </c>
      <c r="T41" s="59">
        <f t="shared" si="34"/>
        <v>348.09952585694253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28.406913943741259</v>
      </c>
      <c r="AA41" s="21">
        <f>EXP(-LN(2)/25)*AA40+(1-EXP(-LN(2)/25))/(LN(2)/25)*Calculateur!V41*Calculateur!X41*VLOOKUP('Données projet'!$B$9,Paramètres!$A$1:$I$89,3,0)*0.475*44/12</f>
        <v>15.475378359012417</v>
      </c>
      <c r="AB41" s="21">
        <f>EXP(-LN(2)/2)*AB40+(1-EXP(-LN(2)/2))/(LN(2)/2)*V41*Y41*VLOOKUP('Données projet'!$B$9,Paramètres!$A$1:$I$89,3,0)*0.475*44/12</f>
        <v>1.4144580213977518</v>
      </c>
      <c r="AC41" s="22">
        <f t="shared" si="3"/>
        <v>45.296750324151425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4.0942857142857143</v>
      </c>
      <c r="AI41" s="13">
        <f>IF('Données projet'!$A$62&gt;35,AI40+AH41-AQ40,IF(A41&lt;'Données projet'!$A$62,$AF$205^A41,IF(A41='Données projet'!$A$62,'Données projet'!$B$62,AI40+AH41-AQ40)))</f>
        <v>155.58285714285725</v>
      </c>
      <c r="AJ41" s="13">
        <f>AI41*VLOOKUP('Données projet'!$B$10,Paramètres!$A$1:$I$89,3,0)*VLOOKUP('Données projet'!$B$10,Paramètres!$A$1:$I$89,5,0)</f>
        <v>140.77136914285722</v>
      </c>
      <c r="AK41" s="13">
        <f t="shared" si="35"/>
        <v>36.473658784165018</v>
      </c>
      <c r="AL41" s="20">
        <f t="shared" si="4"/>
        <v>308.70175697289704</v>
      </c>
      <c r="AM41" s="59">
        <f t="shared" si="5"/>
        <v>602.03509030623036</v>
      </c>
      <c r="AN41" s="59">
        <f ca="1">AVERAGE(OFFSET($AM$3,0,0,'Données projet'!$E$10+1,1))-AVERAGE(OFFSET($H$3,0,0,'Données projet'!$E$10+1,1))</f>
        <v>490.21869105612649</v>
      </c>
      <c r="AO41" s="59">
        <f t="shared" si="36"/>
        <v>207.08773997010911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4.4871794871794863</v>
      </c>
      <c r="BD41" s="12">
        <f>IF('Données projet'!$A$88&gt;35,BD40+BC41-BL40,IF(A41&lt;'Données projet'!$A$88,$BA$205^A41,IF(A41='Données projet'!$A$88,'Données projet'!$B$88,BD40+BC41-BL40)))</f>
        <v>87.179487179487182</v>
      </c>
      <c r="BE41" s="13">
        <f>BD41*VLOOKUP('Données projet'!$B$11,Paramètres!$A$1:$I$89,3,0)*VLOOKUP('Données projet'!$B$11,Paramètres!$A$1:$I$89,5,0)</f>
        <v>91.120000000000019</v>
      </c>
      <c r="BF41" s="13">
        <f t="shared" si="37"/>
        <v>24.835147287678563</v>
      </c>
      <c r="BG41" s="20">
        <f t="shared" si="7"/>
        <v>201.95521485937351</v>
      </c>
      <c r="BH41" s="59">
        <f t="shared" si="8"/>
        <v>495.2885481927068</v>
      </c>
      <c r="BI41" s="59">
        <f ca="1">AVERAGE(OFFSET($BH$3,0,0,'Données projet'!$E$11+1,1))-AVERAGE(OFFSET($H$3,0,0,'Données projet'!$E$11+1,1))</f>
        <v>144.01698107732989</v>
      </c>
      <c r="BJ41" s="59">
        <f t="shared" si="38"/>
        <v>139.28039875117332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10.354618141267046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10.354618141267046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3.0769230769230758</v>
      </c>
      <c r="BY41" s="12">
        <f>IF('Données projet'!$A$114&gt;35,BY40+BX41-CG40,IF(A41&lt;'Données projet'!$A$114,$BV$205^A41,IF(A41='Données projet'!$A$114,'Données projet'!$B$114,BY40+BX41-CG40)))</f>
        <v>66.28205128205127</v>
      </c>
      <c r="BZ41" s="13">
        <f>BY41*VLOOKUP('Données projet'!$B$12,Paramètres!$A$1:$I$89,3,0)*VLOOKUP('Données projet'!$B$12,Paramètres!$A$1:$I$89,5,0)</f>
        <v>53.767999999999994</v>
      </c>
      <c r="CA41" s="13">
        <f t="shared" si="39"/>
        <v>15.582709246136304</v>
      </c>
      <c r="CB41" s="20">
        <f t="shared" si="10"/>
        <v>120.78581860368736</v>
      </c>
      <c r="CC41" s="59">
        <f t="shared" si="11"/>
        <v>414.11915193702066</v>
      </c>
      <c r="CD41" s="59">
        <f ca="1">AVERAGE(OFFSET($CC$3,0,0,'Données projet'!$E$12+1,1))-AVERAGE(OFFSET($H$3,0,0,'Données projet'!$E$12+1,1))</f>
        <v>72.953866894533007</v>
      </c>
      <c r="CE41" s="59">
        <f t="shared" si="40"/>
        <v>60.640359826163092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1.6898837804585489</v>
      </c>
      <c r="CM41" s="21">
        <f>EXP(-LN(2)/2)*CM40+(1-EXP(-LN(2)/2))/(LN(2)/2)*CG41*CJ41*VLOOKUP('Données projet'!$B$12,Paramètres!$A$1:$I$89,3,0)*0.475*44/12</f>
        <v>0.51565637580632095</v>
      </c>
      <c r="CN41" s="22">
        <f t="shared" si="12"/>
        <v>2.20554015626487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4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342.3923420560082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18.866923076923076</v>
      </c>
      <c r="N42" s="13">
        <f>IF('Données projet'!$A$36&gt;35,N41+M42-V41,IF(A42&lt;'Données projet'!$A$36,$K$205^A42,IF(A42='Données projet'!$A$36,'Données projet'!$B$36,N41+M42-V41)))</f>
        <v>392.68846153846147</v>
      </c>
      <c r="O42" s="13">
        <f>N42*VLOOKUP('Données projet'!$B$9,Paramètres!$A$1:$I$89,3,0)*VLOOKUP('Données projet'!$B$9,Paramètres!$A$1:$I$89,5,0)</f>
        <v>234.82769999999996</v>
      </c>
      <c r="P42" s="13">
        <f t="shared" si="33"/>
        <v>57.325277794145698</v>
      </c>
      <c r="Q42" s="20">
        <f t="shared" si="53"/>
        <v>508.8331029914703</v>
      </c>
      <c r="R42" s="59">
        <f t="shared" si="0"/>
        <v>802.16643632480361</v>
      </c>
      <c r="S42" s="59">
        <f ca="1">AVERAGE(OFFSET($R$3,0,0,'Données projet'!$E$9+1,1))-AVERAGE(OFFSET($H$3,0,0,'Données projet'!$E$9+1,1))</f>
        <v>235.90365770026909</v>
      </c>
      <c r="T42" s="59">
        <f t="shared" si="34"/>
        <v>348.09952585694253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27.849871687811149</v>
      </c>
      <c r="AA42" s="21">
        <f>EXP(-LN(2)/25)*AA41+(1-EXP(-LN(2)/25))/(LN(2)/25)*Calculateur!V42*Calculateur!X42*VLOOKUP('Données projet'!$B$9,Paramètres!$A$1:$I$89,3,0)*0.475*44/12</f>
        <v>15.052203323970444</v>
      </c>
      <c r="AB42" s="21">
        <f>EXP(-LN(2)/2)*AB41+(1-EXP(-LN(2)/2))/(LN(2)/2)*V42*Y42*VLOOKUP('Données projet'!$B$9,Paramètres!$A$1:$I$89,3,0)*0.475*44/12</f>
        <v>1.000172858634057</v>
      </c>
      <c r="AC42" s="22">
        <f t="shared" si="3"/>
        <v>43.90224787041565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4.0942857142857143</v>
      </c>
      <c r="AI42" s="13">
        <f>IF('Données projet'!$A$62&gt;35,AI41+AH42-AQ41,IF(A42&lt;'Données projet'!$A$62,$AF$205^A42,IF(A42='Données projet'!$A$62,'Données projet'!$B$62,AI41+AH42-AQ41)))</f>
        <v>159.67714285714297</v>
      </c>
      <c r="AJ42" s="13">
        <f>AI42*VLOOKUP('Données projet'!$B$10,Paramètres!$A$1:$I$89,3,0)*VLOOKUP('Données projet'!$B$10,Paramètres!$A$1:$I$89,5,0)</f>
        <v>144.47587885714296</v>
      </c>
      <c r="AK42" s="13">
        <f t="shared" si="35"/>
        <v>37.320480935293446</v>
      </c>
      <c r="AL42" s="20">
        <f t="shared" si="4"/>
        <v>316.62865997182678</v>
      </c>
      <c r="AM42" s="59">
        <f t="shared" si="5"/>
        <v>609.96199330516015</v>
      </c>
      <c r="AN42" s="59">
        <f ca="1">AVERAGE(OFFSET($AM$3,0,0,'Données projet'!$E$10+1,1))-AVERAGE(OFFSET($H$3,0,0,'Données projet'!$E$10+1,1))</f>
        <v>490.21869105612649</v>
      </c>
      <c r="AO42" s="59">
        <f t="shared" si="36"/>
        <v>207.08773997010911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4.4871794871794863</v>
      </c>
      <c r="BD42" s="12">
        <f>IF('Données projet'!$A$88&gt;35,BD41+BC42-BL41,IF(A42&lt;'Données projet'!$A$88,$BA$205^A42,IF(A42='Données projet'!$A$88,'Données projet'!$B$88,BD41+BC42-BL41)))</f>
        <v>91.666666666666671</v>
      </c>
      <c r="BE42" s="13">
        <f>BD42*VLOOKUP('Données projet'!$B$11,Paramètres!$A$1:$I$89,3,0)*VLOOKUP('Données projet'!$B$11,Paramètres!$A$1:$I$89,5,0)</f>
        <v>95.810000000000016</v>
      </c>
      <c r="BF42" s="13">
        <f t="shared" si="37"/>
        <v>25.961314793499493</v>
      </c>
      <c r="BG42" s="20">
        <f t="shared" si="7"/>
        <v>212.08503993201165</v>
      </c>
      <c r="BH42" s="59">
        <f t="shared" si="8"/>
        <v>505.41837326534494</v>
      </c>
      <c r="BI42" s="59">
        <f ca="1">AVERAGE(OFFSET($BH$3,0,0,'Données projet'!$E$11+1,1))-AVERAGE(OFFSET($H$3,0,0,'Données projet'!$E$11+1,1))</f>
        <v>144.01698107732989</v>
      </c>
      <c r="BJ42" s="59">
        <f t="shared" si="38"/>
        <v>139.28039875117332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10.071470563668397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10.071470563668397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3.0769230769230758</v>
      </c>
      <c r="BY42" s="12">
        <f>IF('Données projet'!$A$114&gt;35,BY41+BX42-CG41,IF(A42&lt;'Données projet'!$A$114,$BV$205^A42,IF(A42='Données projet'!$A$114,'Données projet'!$B$114,BY41+BX42-CG41)))</f>
        <v>69.358974358974351</v>
      </c>
      <c r="BZ42" s="13">
        <f>BY42*VLOOKUP('Données projet'!$B$12,Paramètres!$A$1:$I$89,3,0)*VLOOKUP('Données projet'!$B$12,Paramètres!$A$1:$I$89,5,0)</f>
        <v>56.263999999999996</v>
      </c>
      <c r="CA42" s="13">
        <f t="shared" si="39"/>
        <v>16.220185883468393</v>
      </c>
      <c r="CB42" s="20">
        <f t="shared" si="10"/>
        <v>126.24329041370743</v>
      </c>
      <c r="CC42" s="59">
        <f t="shared" si="11"/>
        <v>419.57662374704074</v>
      </c>
      <c r="CD42" s="59">
        <f ca="1">AVERAGE(OFFSET($CC$3,0,0,'Données projet'!$E$12+1,1))-AVERAGE(OFFSET($H$3,0,0,'Données projet'!$E$12+1,1))</f>
        <v>72.953866894533007</v>
      </c>
      <c r="CE42" s="59">
        <f t="shared" si="40"/>
        <v>60.640359826163092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1.6436738196147842</v>
      </c>
      <c r="CM42" s="21">
        <f>EXP(-LN(2)/2)*CM41+(1-EXP(-LN(2)/2))/(LN(2)/2)*CG42*CJ42*VLOOKUP('Données projet'!$B$12,Paramètres!$A$1:$I$89,3,0)*0.475*44/12</f>
        <v>0.36462412009472833</v>
      </c>
      <c r="CN42" s="22">
        <f t="shared" si="12"/>
        <v>2.0082979397095126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4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343.61413269921093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18.866923076923076</v>
      </c>
      <c r="N43" s="13">
        <f>IF('Données projet'!$A$36&gt;35,N42+M43-V42,IF(A43&lt;'Données projet'!$A$36,$K$205^A43,IF(A43='Données projet'!$A$36,'Données projet'!$B$36,N42+M43-V42)))</f>
        <v>411.55538461538453</v>
      </c>
      <c r="O43" s="13">
        <f>N43*VLOOKUP('Données projet'!$B$9,Paramètres!$A$1:$I$89,3,0)*VLOOKUP('Données projet'!$B$9,Paramètres!$A$1:$I$89,5,0)</f>
        <v>246.11011999999997</v>
      </c>
      <c r="P43" s="13">
        <f t="shared" si="33"/>
        <v>59.752222893746506</v>
      </c>
      <c r="Q43" s="20">
        <f t="shared" si="53"/>
        <v>532.71024720660841</v>
      </c>
      <c r="R43" s="59">
        <f t="shared" si="0"/>
        <v>826.04358053994179</v>
      </c>
      <c r="S43" s="59">
        <f ca="1">AVERAGE(OFFSET($R$3,0,0,'Données projet'!$E$9+1,1))-AVERAGE(OFFSET($H$3,0,0,'Données projet'!$E$9+1,1))</f>
        <v>235.90365770026909</v>
      </c>
      <c r="T43" s="59">
        <f t="shared" si="34"/>
        <v>348.09952585694253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27.303752690757602</v>
      </c>
      <c r="AA43" s="21">
        <f>EXP(-LN(2)/25)*AA42+(1-EXP(-LN(2)/25))/(LN(2)/25)*Calculateur!V43*Calculateur!X43*VLOOKUP('Données projet'!$B$9,Paramètres!$A$1:$I$89,3,0)*0.475*44/12</f>
        <v>14.640600032515502</v>
      </c>
      <c r="AB43" s="21">
        <f>EXP(-LN(2)/2)*AB42+(1-EXP(-LN(2)/2))/(LN(2)/2)*V43*Y43*VLOOKUP('Données projet'!$B$9,Paramètres!$A$1:$I$89,3,0)*0.475*44/12</f>
        <v>0.70722901069887589</v>
      </c>
      <c r="AC43" s="22">
        <f t="shared" si="3"/>
        <v>42.65158173397198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4.0942857142857143</v>
      </c>
      <c r="AI43" s="13">
        <f>IF('Données projet'!$A$62&gt;35,AI42+AH43-AQ42,IF(A43&lt;'Données projet'!$A$62,$AF$205^A43,IF(A43='Données projet'!$A$62,'Données projet'!$B$62,AI42+AH43-AQ42)))</f>
        <v>163.77142857142869</v>
      </c>
      <c r="AJ43" s="13">
        <f>AI43*VLOOKUP('Données projet'!$B$10,Paramètres!$A$1:$I$89,3,0)*VLOOKUP('Données projet'!$B$10,Paramètres!$A$1:$I$89,5,0)</f>
        <v>148.18038857142867</v>
      </c>
      <c r="AK43" s="13">
        <f t="shared" si="35"/>
        <v>38.16477912369308</v>
      </c>
      <c r="AL43" s="20">
        <f t="shared" si="4"/>
        <v>324.55116706900372</v>
      </c>
      <c r="AM43" s="59">
        <f t="shared" si="5"/>
        <v>617.88450040233704</v>
      </c>
      <c r="AN43" s="59">
        <f ca="1">AVERAGE(OFFSET($AM$3,0,0,'Données projet'!$E$10+1,1))-AVERAGE(OFFSET($H$3,0,0,'Données projet'!$E$10+1,1))</f>
        <v>490.21869105612649</v>
      </c>
      <c r="AO43" s="59">
        <f t="shared" si="36"/>
        <v>207.08773997010911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96.153846153846146</v>
      </c>
      <c r="BB43" s="12">
        <f>VLOOKUP(A43,'Données projet'!$A$87:$I$107,9,0)</f>
        <v>4.4871794871794863</v>
      </c>
      <c r="BC43" s="12">
        <f t="array" ref="BC43">INDEX(BB:BB,MIN(IF(ISNUMBER(BB43:BB239),ROW(BB43:BB239),"")))</f>
        <v>4.4871794871794863</v>
      </c>
      <c r="BD43" s="12">
        <f>IF('Données projet'!$A$88&gt;35,BD42+BC43-BL42,IF(A43&lt;'Données projet'!$A$88,$BA$205^A43,IF(A43='Données projet'!$A$88,'Données projet'!$B$88,BD42+BC43-BL42)))</f>
        <v>96.15384615384616</v>
      </c>
      <c r="BE43" s="13">
        <f>BD43*VLOOKUP('Données projet'!$B$11,Paramètres!$A$1:$I$89,3,0)*VLOOKUP('Données projet'!$B$11,Paramètres!$A$1:$I$89,5,0)</f>
        <v>100.50000000000001</v>
      </c>
      <c r="BF43" s="13">
        <f t="shared" si="37"/>
        <v>27.081081054477867</v>
      </c>
      <c r="BG43" s="20">
        <f t="shared" si="7"/>
        <v>222.20371616988231</v>
      </c>
      <c r="BH43" s="59">
        <f t="shared" si="8"/>
        <v>515.5370495032156</v>
      </c>
      <c r="BI43" s="59">
        <f ca="1">AVERAGE(OFFSET($BH$3,0,0,'Données projet'!$E$11+1,1))-AVERAGE(OFFSET($H$3,0,0,'Données projet'!$E$11+1,1))</f>
        <v>144.01698107732989</v>
      </c>
      <c r="BJ43" s="59">
        <f t="shared" si="38"/>
        <v>139.28039875117332</v>
      </c>
      <c r="BK43" s="15">
        <f>IF(ISNA(VLOOKUP(A43,'Données projet'!$A$87:$I$107,3,0)),0,VLOOKUP(A43,'Données projet'!$A$87:$I$107,3,0))</f>
        <v>5</v>
      </c>
      <c r="BL43" s="15">
        <f>IF(ISNA(VLOOKUP(A43,'Données projet'!$A$87:$I$107,4,0)),0,VLOOKUP(A43,'Données projet'!$A$87:$I$107,4,0))</f>
        <v>12.820512820512819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0.215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12.968385826913392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12.968385826913392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72.435897435897431</v>
      </c>
      <c r="BW43" s="12">
        <f>VLOOKUP(A43,'Données projet'!$A$113:$I$133,9,0)</f>
        <v>3.0769230769230758</v>
      </c>
      <c r="BX43" s="12">
        <f t="array" ref="BX43">INDEX(BW:BW,MIN(IF(ISNUMBER(BW43:BW239),ROW(BW43:BW239),"")))</f>
        <v>3.0769230769230758</v>
      </c>
      <c r="BY43" s="12">
        <f>IF('Données projet'!$A$114&gt;35,BY42+BX43-CG42,IF(A43&lt;'Données projet'!$A$114,$BV$205^A43,IF(A43='Données projet'!$A$114,'Données projet'!$B$114,BY42+BX43-CG42)))</f>
        <v>72.435897435897431</v>
      </c>
      <c r="BZ43" s="13">
        <f>BY43*VLOOKUP('Données projet'!$B$12,Paramètres!$A$1:$I$89,3,0)*VLOOKUP('Données projet'!$B$12,Paramètres!$A$1:$I$89,5,0)</f>
        <v>58.76</v>
      </c>
      <c r="CA43" s="13">
        <f t="shared" si="39"/>
        <v>16.854378084351904</v>
      </c>
      <c r="CB43" s="20">
        <f t="shared" si="10"/>
        <v>131.69504183024623</v>
      </c>
      <c r="CC43" s="59">
        <f t="shared" si="11"/>
        <v>425.02837516357954</v>
      </c>
      <c r="CD43" s="59">
        <f ca="1">AVERAGE(OFFSET($CC$3,0,0,'Données projet'!$E$12+1,1))-AVERAGE(OFFSET($H$3,0,0,'Données projet'!$E$12+1,1))</f>
        <v>72.953866894533007</v>
      </c>
      <c r="CE43" s="59">
        <f t="shared" si="40"/>
        <v>60.640359826163092</v>
      </c>
      <c r="CF43" s="15">
        <f>IF(ISNA(VLOOKUP(A43,'Données projet'!$A$113:$I$133,3,0)),0,VLOOKUP(A43,'Données projet'!$A$113:$I$133,3,0))</f>
        <v>6</v>
      </c>
      <c r="CG43" s="15">
        <f>IF(ISNA(VLOOKUP(A43,'Données projet'!$A$113:$I$133,4,0)),0,VLOOKUP(A43,'Données projet'!$A$113:$I$133,4,0))</f>
        <v>6.4102564102564097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0.1075</v>
      </c>
      <c r="CJ43" s="16">
        <f>IF(ISNA(VLOOKUP(A43,'Données projet'!$A$113:$I$133,7,0)),0%,VLOOKUP(A43,'Données projet'!$A$113:$I$133,7,0))</f>
        <v>0.25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2.2142522788605721</v>
      </c>
      <c r="CM43" s="21">
        <f>EXP(-LN(2)/2)*CM42+(1-EXP(-LN(2)/2))/(LN(2)/2)*CG43*CJ43*VLOOKUP('Données projet'!$B$12,Paramètres!$A$1:$I$89,3,0)*0.475*44/12</f>
        <v>1.4844131768901652</v>
      </c>
      <c r="CN43" s="22">
        <f t="shared" si="12"/>
        <v>3.6986654557507372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4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344.83513625513632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18.866923076923076</v>
      </c>
      <c r="N44" s="13">
        <f>IF('Données projet'!$A$36&gt;35,N43+M44-V43,IF(A44&lt;'Données projet'!$A$36,$K$205^A44,IF(A44='Données projet'!$A$36,'Données projet'!$B$36,N43+M44-V43)))</f>
        <v>430.42230769230758</v>
      </c>
      <c r="O44" s="13">
        <f>N44*VLOOKUP('Données projet'!$B$9,Paramètres!$A$1:$I$89,3,0)*VLOOKUP('Données projet'!$B$9,Paramètres!$A$1:$I$89,5,0)</f>
        <v>257.39253999999994</v>
      </c>
      <c r="P44" s="13">
        <f t="shared" si="33"/>
        <v>62.166247230149494</v>
      </c>
      <c r="Q44" s="20">
        <f t="shared" si="53"/>
        <v>556.56488775917694</v>
      </c>
      <c r="R44" s="59">
        <f t="shared" si="0"/>
        <v>849.89822109251031</v>
      </c>
      <c r="S44" s="59">
        <f ca="1">AVERAGE(OFFSET($R$3,0,0,'Données projet'!$E$9+1,1))-AVERAGE(OFFSET($H$3,0,0,'Données projet'!$E$9+1,1))</f>
        <v>235.90365770026909</v>
      </c>
      <c r="T44" s="59">
        <f t="shared" si="34"/>
        <v>348.09952585694253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26.768342754136576</v>
      </c>
      <c r="AA44" s="21">
        <f>EXP(-LN(2)/25)*AA43+(1-EXP(-LN(2)/25))/(LN(2)/25)*Calculateur!V44*Calculateur!X44*VLOOKUP('Données projet'!$B$9,Paramètres!$A$1:$I$89,3,0)*0.475*44/12</f>
        <v>14.240252054710671</v>
      </c>
      <c r="AB44" s="21">
        <f>EXP(-LN(2)/2)*AB43+(1-EXP(-LN(2)/2))/(LN(2)/2)*V44*Y44*VLOOKUP('Données projet'!$B$9,Paramètres!$A$1:$I$89,3,0)*0.475*44/12</f>
        <v>0.50008642931702851</v>
      </c>
      <c r="AC44" s="22">
        <f t="shared" si="3"/>
        <v>41.508681238164279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4.0942857142857143</v>
      </c>
      <c r="AI44" s="13">
        <f>IF('Données projet'!$A$62&gt;35,AI43+AH44-AQ43,IF(A44&lt;'Données projet'!$A$62,$AF$205^A44,IF(A44='Données projet'!$A$62,'Données projet'!$B$62,AI43+AH44-AQ43)))</f>
        <v>167.8657142857144</v>
      </c>
      <c r="AJ44" s="13">
        <f>AI44*VLOOKUP('Données projet'!$B$10,Paramètres!$A$1:$I$89,3,0)*VLOOKUP('Données projet'!$B$10,Paramètres!$A$1:$I$89,5,0)</f>
        <v>151.88489828571437</v>
      </c>
      <c r="AK44" s="13">
        <f t="shared" si="35"/>
        <v>39.006623705593562</v>
      </c>
      <c r="AL44" s="20">
        <f t="shared" si="4"/>
        <v>332.46940080152797</v>
      </c>
      <c r="AM44" s="59">
        <f t="shared" si="5"/>
        <v>625.80273413486134</v>
      </c>
      <c r="AN44" s="59">
        <f ca="1">AVERAGE(OFFSET($AM$3,0,0,'Données projet'!$E$10+1,1))-AVERAGE(OFFSET($H$3,0,0,'Données projet'!$E$10+1,1))</f>
        <v>490.21869105612649</v>
      </c>
      <c r="AO44" s="59">
        <f t="shared" si="36"/>
        <v>207.08773997010911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4.1025641025641022</v>
      </c>
      <c r="BD44" s="12">
        <f>IF('Données projet'!$A$88&gt;35,BD43+BC44-BL43,IF(A44&lt;'Données projet'!$A$88,$BA$205^A44,IF(A44='Données projet'!$A$88,'Données projet'!$B$88,BD43+BC44-BL43)))</f>
        <v>87.435897435897445</v>
      </c>
      <c r="BE44" s="13">
        <f>BD44*VLOOKUP('Données projet'!$B$11,Paramètres!$A$1:$I$89,3,0)*VLOOKUP('Données projet'!$B$11,Paramètres!$A$1:$I$89,5,0)</f>
        <v>91.388000000000019</v>
      </c>
      <c r="BF44" s="13">
        <f t="shared" si="37"/>
        <v>24.899678416779619</v>
      </c>
      <c r="BG44" s="20">
        <f t="shared" si="7"/>
        <v>202.53437324255788</v>
      </c>
      <c r="BH44" s="59">
        <f t="shared" si="8"/>
        <v>495.86770657589119</v>
      </c>
      <c r="BI44" s="59">
        <f ca="1">AVERAGE(OFFSET($BH$3,0,0,'Données projet'!$E$11+1,1))-AVERAGE(OFFSET($H$3,0,0,'Données projet'!$E$11+1,1))</f>
        <v>144.01698107732989</v>
      </c>
      <c r="BJ44" s="59">
        <f t="shared" si="38"/>
        <v>139.28039875117332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12.613764634498676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12.613764634498676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3.0769230769230775</v>
      </c>
      <c r="BY44" s="12">
        <f>IF('Données projet'!$A$114&gt;35,BY43+BX44-CG43,IF(A44&lt;'Données projet'!$A$114,$BV$205^A44,IF(A44='Données projet'!$A$114,'Données projet'!$B$114,BY43+BX44-CG43)))</f>
        <v>69.102564102564102</v>
      </c>
      <c r="BZ44" s="13">
        <f>BY44*VLOOKUP('Données projet'!$B$12,Paramètres!$A$1:$I$89,3,0)*VLOOKUP('Données projet'!$B$12,Paramètres!$A$1:$I$89,5,0)</f>
        <v>56.056000000000004</v>
      </c>
      <c r="CA44" s="13">
        <f t="shared" si="39"/>
        <v>16.167190526120404</v>
      </c>
      <c r="CB44" s="20">
        <f t="shared" si="10"/>
        <v>125.7887234996597</v>
      </c>
      <c r="CC44" s="59">
        <f t="shared" si="11"/>
        <v>419.122056832993</v>
      </c>
      <c r="CD44" s="59">
        <f ca="1">AVERAGE(OFFSET($CC$3,0,0,'Données projet'!$E$12+1,1))-AVERAGE(OFFSET($H$3,0,0,'Données projet'!$E$12+1,1))</f>
        <v>72.953866894533007</v>
      </c>
      <c r="CE44" s="59">
        <f t="shared" si="40"/>
        <v>60.640359826163092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2.1537034338526633</v>
      </c>
      <c r="CM44" s="21">
        <f>EXP(-LN(2)/2)*CM43+(1-EXP(-LN(2)/2))/(LN(2)/2)*CG44*CJ44*VLOOKUP('Données projet'!$B$12,Paramètres!$A$1:$I$89,3,0)*0.475*44/12</f>
        <v>1.0496386234617019</v>
      </c>
      <c r="CN44" s="22">
        <f t="shared" si="12"/>
        <v>3.2033420573143649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4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346.05537412949326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18.866923076923076</v>
      </c>
      <c r="N45" s="13">
        <f>IF('Données projet'!$A$36&gt;35,N44+M45-V44,IF(A45&lt;'Données projet'!$A$36,$K$205^A45,IF(A45='Données projet'!$A$36,'Données projet'!$B$36,N44+M45-V44)))</f>
        <v>449.28923076923064</v>
      </c>
      <c r="O45" s="13">
        <f>N45*VLOOKUP('Données projet'!$B$9,Paramètres!$A$1:$I$89,3,0)*VLOOKUP('Données projet'!$B$9,Paramètres!$A$1:$I$89,5,0)</f>
        <v>268.67495999999994</v>
      </c>
      <c r="P45" s="13">
        <f t="shared" si="33"/>
        <v>64.567981892760415</v>
      </c>
      <c r="Q45" s="20">
        <f t="shared" si="53"/>
        <v>580.39812379655757</v>
      </c>
      <c r="R45" s="59">
        <f t="shared" si="0"/>
        <v>873.73145712989094</v>
      </c>
      <c r="S45" s="59">
        <f ca="1">AVERAGE(OFFSET($R$3,0,0,'Données projet'!$E$9+1,1))-AVERAGE(OFFSET($H$3,0,0,'Données projet'!$E$9+1,1))</f>
        <v>235.90365770026909</v>
      </c>
      <c r="T45" s="59">
        <f t="shared" si="34"/>
        <v>348.09952585694253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26.243431879804874</v>
      </c>
      <c r="AA45" s="21">
        <f>EXP(-LN(2)/25)*AA44+(1-EXP(-LN(2)/25))/(LN(2)/25)*Calculateur!V45*Calculateur!X45*VLOOKUP('Données projet'!$B$9,Paramètres!$A$1:$I$89,3,0)*0.475*44/12</f>
        <v>13.850851613412299</v>
      </c>
      <c r="AB45" s="21">
        <f>EXP(-LN(2)/2)*AB44+(1-EXP(-LN(2)/2))/(LN(2)/2)*V45*Y45*VLOOKUP('Données projet'!$B$9,Paramètres!$A$1:$I$89,3,0)*0.475*44/12</f>
        <v>0.35361450534943795</v>
      </c>
      <c r="AC45" s="22">
        <f t="shared" si="3"/>
        <v>40.447897998566617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171.96</v>
      </c>
      <c r="AG45" s="12">
        <f>VLOOKUP(A45,'Données projet'!$A$61:$I$81,9,0)</f>
        <v>4.0942857142857143</v>
      </c>
      <c r="AH45" s="12">
        <f t="array" ref="AH45">INDEX(AG:AG,MIN(IF(ISNUMBER(AG45:AG241),ROW(AG45:AG241),"")))</f>
        <v>4.0942857142857143</v>
      </c>
      <c r="AI45" s="13">
        <f>IF('Données projet'!$A$62&gt;35,AI44+AH45-AQ44,IF(A45&lt;'Données projet'!$A$62,$AF$205^A45,IF(A45='Données projet'!$A$62,'Données projet'!$B$62,AI44+AH45-AQ44)))</f>
        <v>171.96000000000012</v>
      </c>
      <c r="AJ45" s="13">
        <f>AI45*VLOOKUP('Données projet'!$B$10,Paramètres!$A$1:$I$89,3,0)*VLOOKUP('Données projet'!$B$10,Paramètres!$A$1:$I$89,5,0)</f>
        <v>155.58940800000011</v>
      </c>
      <c r="AK45" s="13">
        <f t="shared" si="35"/>
        <v>39.846081409537142</v>
      </c>
      <c r="AL45" s="20">
        <f t="shared" si="4"/>
        <v>340.3834773882773</v>
      </c>
      <c r="AM45" s="59">
        <f t="shared" si="5"/>
        <v>633.71681072161061</v>
      </c>
      <c r="AN45" s="59">
        <f ca="1">AVERAGE(OFFSET($AM$3,0,0,'Données projet'!$E$10+1,1))-AVERAGE(OFFSET($H$3,0,0,'Données projet'!$E$10+1,1))</f>
        <v>490.21869105612649</v>
      </c>
      <c r="AO45" s="59">
        <f t="shared" si="36"/>
        <v>207.08773997010911</v>
      </c>
      <c r="AP45" s="15">
        <f>IF(ISNA(VLOOKUP(A45,'Données projet'!$A$61:$I$81,3,0)),0,VLOOKUP(A45,'Données projet'!$A$61:$I$81,3,0))</f>
        <v>1</v>
      </c>
      <c r="AQ45" s="15">
        <f>IF(ISNA(VLOOKUP(A45,'Données projet'!$A$61:$I$81,4,0)),0,VLOOKUP(A45,'Données projet'!$A$61:$I$81,4,0))</f>
        <v>44.510000000000005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0.34400000000000003</v>
      </c>
      <c r="AT45" s="16">
        <f>IF(ISNA(VLOOKUP(A45,'Données projet'!$A$61:$I$81,7,0)),0%,VLOOKUP(A45,'Données projet'!$A$61:$I$81,7,0))</f>
        <v>0.2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15.254654682209745</v>
      </c>
      <c r="AW45" s="21">
        <f>EXP(-LN(2)/2)*AW44+(1-EXP(-LN(2)/2))/(LN(2)/2)*AQ45*AT45*VLOOKUP('Données projet'!$B$10,Paramètres!$A$1:$I$89,3,0)*0.475*44/12</f>
        <v>7.599665462085774</v>
      </c>
      <c r="AX45" s="21">
        <f t="shared" si="6"/>
        <v>22.854320144295521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4.1025641025641022</v>
      </c>
      <c r="BD45" s="12">
        <f>IF('Données projet'!$A$88&gt;35,BD44+BC45-BL44,IF(A45&lt;'Données projet'!$A$88,$BA$205^A45,IF(A45='Données projet'!$A$88,'Données projet'!$B$88,BD44+BC45-BL44)))</f>
        <v>91.538461538461547</v>
      </c>
      <c r="BE45" s="13">
        <f>BD45*VLOOKUP('Données projet'!$B$11,Paramètres!$A$1:$I$89,3,0)*VLOOKUP('Données projet'!$B$11,Paramètres!$A$1:$I$89,5,0)</f>
        <v>95.676000000000016</v>
      </c>
      <c r="BF45" s="13">
        <f t="shared" si="37"/>
        <v>25.929229078869259</v>
      </c>
      <c r="BG45" s="20">
        <f t="shared" si="7"/>
        <v>211.79577397903063</v>
      </c>
      <c r="BH45" s="59">
        <f t="shared" si="8"/>
        <v>505.12910731236394</v>
      </c>
      <c r="BI45" s="59">
        <f ca="1">AVERAGE(OFFSET($BH$3,0,0,'Données projet'!$E$11+1,1))-AVERAGE(OFFSET($H$3,0,0,'Données projet'!$E$11+1,1))</f>
        <v>144.01698107732989</v>
      </c>
      <c r="BJ45" s="59">
        <f t="shared" si="38"/>
        <v>139.28039875117332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12.268840577239256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12.268840577239256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3.0769230769230775</v>
      </c>
      <c r="BY45" s="12">
        <f>IF('Données projet'!$A$114&gt;35,BY44+BX45-CG44,IF(A45&lt;'Données projet'!$A$114,$BV$205^A45,IF(A45='Données projet'!$A$114,'Données projet'!$B$114,BY44+BX45-CG44)))</f>
        <v>72.179487179487182</v>
      </c>
      <c r="BZ45" s="13">
        <f>BY45*VLOOKUP('Données projet'!$B$12,Paramètres!$A$1:$I$89,3,0)*VLOOKUP('Données projet'!$B$12,Paramètres!$A$1:$I$89,5,0)</f>
        <v>58.552000000000007</v>
      </c>
      <c r="CA45" s="13">
        <f t="shared" si="39"/>
        <v>16.801650294444062</v>
      </c>
      <c r="CB45" s="20">
        <f t="shared" si="10"/>
        <v>131.24094092949005</v>
      </c>
      <c r="CC45" s="59">
        <f t="shared" si="11"/>
        <v>424.57427426282334</v>
      </c>
      <c r="CD45" s="59">
        <f ca="1">AVERAGE(OFFSET($CC$3,0,0,'Données projet'!$E$12+1,1))-AVERAGE(OFFSET($H$3,0,0,'Données projet'!$E$12+1,1))</f>
        <v>72.953866894533007</v>
      </c>
      <c r="CE45" s="59">
        <f t="shared" si="40"/>
        <v>60.640359826163092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2.0948103001956211</v>
      </c>
      <c r="CM45" s="21">
        <f>EXP(-LN(2)/2)*CM44+(1-EXP(-LN(2)/2))/(LN(2)/2)*CG45*CJ45*VLOOKUP('Données projet'!$B$12,Paramètres!$A$1:$I$89,3,0)*0.475*44/12</f>
        <v>0.74220658844508269</v>
      </c>
      <c r="CN45" s="22">
        <f t="shared" si="12"/>
        <v>2.8370168886407039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4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347.27486665053362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18.866923076923076</v>
      </c>
      <c r="N46" s="13">
        <f>IF('Données projet'!$A$36&gt;35,N45+M46-V45,IF(A46&lt;'Données projet'!$A$36,$K$205^A46,IF(A46='Données projet'!$A$36,'Données projet'!$B$36,N45+M46-V45)))</f>
        <v>468.1561538461537</v>
      </c>
      <c r="O46" s="13">
        <f>N46*VLOOKUP('Données projet'!$B$9,Paramètres!$A$1:$I$89,3,0)*VLOOKUP('Données projet'!$B$9,Paramètres!$A$1:$I$89,5,0)</f>
        <v>279.95737999999994</v>
      </c>
      <c r="P46" s="13">
        <f t="shared" si="33"/>
        <v>66.958001970133111</v>
      </c>
      <c r="Q46" s="20">
        <f t="shared" si="53"/>
        <v>604.21095693131508</v>
      </c>
      <c r="R46" s="59">
        <f t="shared" si="0"/>
        <v>897.54429026464845</v>
      </c>
      <c r="S46" s="59">
        <f ca="1">AVERAGE(OFFSET($R$3,0,0,'Données projet'!$E$9+1,1))-AVERAGE(OFFSET($H$3,0,0,'Données projet'!$E$9+1,1))</f>
        <v>235.90365770026909</v>
      </c>
      <c r="T46" s="59">
        <f t="shared" si="34"/>
        <v>348.09952585694253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25.728814187554796</v>
      </c>
      <c r="AA46" s="21">
        <f>EXP(-LN(2)/25)*AA45+(1-EXP(-LN(2)/25))/(LN(2)/25)*Calculateur!V46*Calculateur!X46*VLOOKUP('Données projet'!$B$9,Paramètres!$A$1:$I$89,3,0)*0.475*44/12</f>
        <v>13.47209934765891</v>
      </c>
      <c r="AB46" s="21">
        <f>EXP(-LN(2)/2)*AB45+(1-EXP(-LN(2)/2))/(LN(2)/2)*V46*Y46*VLOOKUP('Données projet'!$B$9,Paramètres!$A$1:$I$89,3,0)*0.475*44/12</f>
        <v>0.25004321465851426</v>
      </c>
      <c r="AC46" s="22">
        <f t="shared" si="3"/>
        <v>39.450956749872219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10.110000000000001</v>
      </c>
      <c r="AI46" s="13">
        <f>IF('Données projet'!$A$62&gt;35,AI45+AH46-AQ45,IF(A46&lt;'Données projet'!$A$62,$AF$205^A46,IF(A46='Données projet'!$A$62,'Données projet'!$B$62,AI45+AH46-AQ45)))</f>
        <v>137.56000000000012</v>
      </c>
      <c r="AJ46" s="13">
        <f>AI46*VLOOKUP('Données projet'!$B$10,Paramètres!$A$1:$I$89,3,0)*VLOOKUP('Données projet'!$B$10,Paramètres!$A$1:$I$89,5,0)</f>
        <v>124.4642880000001</v>
      </c>
      <c r="AK46" s="13">
        <f t="shared" si="35"/>
        <v>32.713997336243899</v>
      </c>
      <c r="AL46" s="20">
        <f t="shared" si="4"/>
        <v>273.75218029395825</v>
      </c>
      <c r="AM46" s="59">
        <f t="shared" si="5"/>
        <v>567.08551362729156</v>
      </c>
      <c r="AN46" s="59">
        <f ca="1">AVERAGE(OFFSET($AM$3,0,0,'Données projet'!$E$10+1,1))-AVERAGE(OFFSET($H$3,0,0,'Données projet'!$E$10+1,1))</f>
        <v>490.21869105612649</v>
      </c>
      <c r="AO46" s="59">
        <f t="shared" si="36"/>
        <v>207.08773997010911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14.837515347717295</v>
      </c>
      <c r="AW46" s="21">
        <f>EXP(-LN(2)/2)*AW45+(1-EXP(-LN(2)/2))/(LN(2)/2)*AQ46*AT46*VLOOKUP('Données projet'!$B$10,Paramètres!$A$1:$I$89,3,0)*0.475*44/12</f>
        <v>5.3737749829900485</v>
      </c>
      <c r="AX46" s="21">
        <f t="shared" si="6"/>
        <v>20.211290330707342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4.1025641025641022</v>
      </c>
      <c r="BD46" s="12">
        <f>IF('Données projet'!$A$88&gt;35,BD45+BC46-BL45,IF(A46&lt;'Données projet'!$A$88,$BA$205^A46,IF(A46='Données projet'!$A$88,'Données projet'!$B$88,BD45+BC46-BL45)))</f>
        <v>95.641025641025649</v>
      </c>
      <c r="BE46" s="13">
        <f>BD46*VLOOKUP('Données projet'!$B$11,Paramètres!$A$1:$I$89,3,0)*VLOOKUP('Données projet'!$B$11,Paramètres!$A$1:$I$89,5,0)</f>
        <v>99.964000000000013</v>
      </c>
      <c r="BF46" s="13">
        <f t="shared" si="37"/>
        <v>26.953420865059883</v>
      </c>
      <c r="BG46" s="20">
        <f t="shared" si="7"/>
        <v>221.0478413399793</v>
      </c>
      <c r="BH46" s="59">
        <f t="shared" si="8"/>
        <v>514.38117467331267</v>
      </c>
      <c r="BI46" s="59">
        <f ca="1">AVERAGE(OFFSET($BH$3,0,0,'Données projet'!$E$11+1,1))-AVERAGE(OFFSET($H$3,0,0,'Données projet'!$E$11+1,1))</f>
        <v>144.01698107732989</v>
      </c>
      <c r="BJ46" s="59">
        <f t="shared" si="38"/>
        <v>139.28039875117332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11.933348486464364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11.933348486464364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3.0769230769230775</v>
      </c>
      <c r="BY46" s="12">
        <f>IF('Données projet'!$A$114&gt;35,BY45+BX46-CG45,IF(A46&lt;'Données projet'!$A$114,$BV$205^A46,IF(A46='Données projet'!$A$114,'Données projet'!$B$114,BY45+BX46-CG45)))</f>
        <v>75.256410256410263</v>
      </c>
      <c r="BZ46" s="13">
        <f>BY46*VLOOKUP('Données projet'!$B$12,Paramètres!$A$1:$I$89,3,0)*VLOOKUP('Données projet'!$B$12,Paramètres!$A$1:$I$89,5,0)</f>
        <v>61.048000000000009</v>
      </c>
      <c r="CA46" s="13">
        <f t="shared" si="39"/>
        <v>17.432968673131619</v>
      </c>
      <c r="CB46" s="20">
        <f t="shared" si="10"/>
        <v>136.68768710570427</v>
      </c>
      <c r="CC46" s="59">
        <f t="shared" si="11"/>
        <v>430.02102043903756</v>
      </c>
      <c r="CD46" s="59">
        <f ca="1">AVERAGE(OFFSET($CC$3,0,0,'Données projet'!$E$12+1,1))-AVERAGE(OFFSET($H$3,0,0,'Données projet'!$E$12+1,1))</f>
        <v>72.953866894533007</v>
      </c>
      <c r="CE46" s="59">
        <f t="shared" si="40"/>
        <v>60.640359826163092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2.0375276023754858</v>
      </c>
      <c r="CM46" s="21">
        <f>EXP(-LN(2)/2)*CM45+(1-EXP(-LN(2)/2))/(LN(2)/2)*CG46*CJ46*VLOOKUP('Données projet'!$B$12,Paramètres!$A$1:$I$89,3,0)*0.475*44/12</f>
        <v>0.52481931173085106</v>
      </c>
      <c r="CN46" s="22">
        <f t="shared" si="12"/>
        <v>2.5623469141063371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4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348.49363314706295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18.866923076923076</v>
      </c>
      <c r="N47" s="13">
        <f>IF('Données projet'!$A$36&gt;35,N46+M47-V46,IF(A47&lt;'Données projet'!$A$36,$K$205^A47,IF(A47='Données projet'!$A$36,'Données projet'!$B$36,N46+M47-V46)))</f>
        <v>487.02307692307676</v>
      </c>
      <c r="O47" s="13">
        <f>N47*VLOOKUP('Données projet'!$B$9,Paramètres!$A$1:$I$89,3,0)*VLOOKUP('Données projet'!$B$9,Paramètres!$A$1:$I$89,5,0)</f>
        <v>291.23979999999995</v>
      </c>
      <c r="P47" s="13">
        <f t="shared" si="33"/>
        <v>69.336833574646718</v>
      </c>
      <c r="Q47" s="20">
        <f t="shared" si="53"/>
        <v>628.0043034758429</v>
      </c>
      <c r="R47" s="59">
        <f t="shared" si="0"/>
        <v>921.33763680917627</v>
      </c>
      <c r="S47" s="59">
        <f ca="1">AVERAGE(OFFSET($R$3,0,0,'Données projet'!$E$9+1,1))-AVERAGE(OFFSET($H$3,0,0,'Données projet'!$E$9+1,1))</f>
        <v>235.90365770026909</v>
      </c>
      <c r="T47" s="59">
        <f t="shared" si="34"/>
        <v>348.09952585694253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25.224287834363942</v>
      </c>
      <c r="AA47" s="21">
        <f>EXP(-LN(2)/25)*AA46+(1-EXP(-LN(2)/25))/(LN(2)/25)*Calculateur!V47*Calculateur!X47*VLOOKUP('Données projet'!$B$9,Paramètres!$A$1:$I$89,3,0)*0.475*44/12</f>
        <v>13.103704082530262</v>
      </c>
      <c r="AB47" s="21">
        <f>EXP(-LN(2)/2)*AB46+(1-EXP(-LN(2)/2))/(LN(2)/2)*V47*Y47*VLOOKUP('Données projet'!$B$9,Paramètres!$A$1:$I$89,3,0)*0.475*44/12</f>
        <v>0.17680725267471897</v>
      </c>
      <c r="AC47" s="22">
        <f t="shared" si="3"/>
        <v>38.504799169568926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10.110000000000001</v>
      </c>
      <c r="AI47" s="13">
        <f>IF('Données projet'!$A$62&gt;35,AI46+AH47-AQ46,IF(A47&lt;'Données projet'!$A$62,$AF$205^A47,IF(A47='Données projet'!$A$62,'Données projet'!$B$62,AI46+AH47-AQ46)))</f>
        <v>147.67000000000013</v>
      </c>
      <c r="AJ47" s="13">
        <f>AI47*VLOOKUP('Données projet'!$B$10,Paramètres!$A$1:$I$89,3,0)*VLOOKUP('Données projet'!$B$10,Paramètres!$A$1:$I$89,5,0)</f>
        <v>133.61181600000012</v>
      </c>
      <c r="AK47" s="13">
        <f t="shared" si="35"/>
        <v>34.829608206917271</v>
      </c>
      <c r="AL47" s="20">
        <f t="shared" si="4"/>
        <v>293.36881382704775</v>
      </c>
      <c r="AM47" s="59">
        <f t="shared" si="5"/>
        <v>586.70214716038106</v>
      </c>
      <c r="AN47" s="59">
        <f ca="1">AVERAGE(OFFSET($AM$3,0,0,'Données projet'!$E$10+1,1))-AVERAGE(OFFSET($H$3,0,0,'Données projet'!$E$10+1,1))</f>
        <v>490.21869105612649</v>
      </c>
      <c r="AO47" s="59">
        <f t="shared" si="36"/>
        <v>207.08773997010911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14.431782710262945</v>
      </c>
      <c r="AW47" s="21">
        <f>EXP(-LN(2)/2)*AW46+(1-EXP(-LN(2)/2))/(LN(2)/2)*AQ47*AT47*VLOOKUP('Données projet'!$B$10,Paramètres!$A$1:$I$89,3,0)*0.475*44/12</f>
        <v>3.7998327310428874</v>
      </c>
      <c r="AX47" s="21">
        <f t="shared" si="6"/>
        <v>18.231615441305834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4.1025641025641022</v>
      </c>
      <c r="BD47" s="12">
        <f>IF('Données projet'!$A$88&gt;35,BD46+BC47-BL46,IF(A47&lt;'Données projet'!$A$88,$BA$205^A47,IF(A47='Données projet'!$A$88,'Données projet'!$B$88,BD46+BC47-BL46)))</f>
        <v>99.743589743589752</v>
      </c>
      <c r="BE47" s="13">
        <f>BD47*VLOOKUP('Données projet'!$B$11,Paramètres!$A$1:$I$89,3,0)*VLOOKUP('Données projet'!$B$11,Paramètres!$A$1:$I$89,5,0)</f>
        <v>104.25200000000002</v>
      </c>
      <c r="BF47" s="13">
        <f t="shared" si="37"/>
        <v>27.972509924429293</v>
      </c>
      <c r="BG47" s="20">
        <f t="shared" si="7"/>
        <v>230.29102145171439</v>
      </c>
      <c r="BH47" s="59">
        <f t="shared" si="8"/>
        <v>523.62435478504767</v>
      </c>
      <c r="BI47" s="59">
        <f ca="1">AVERAGE(OFFSET($BH$3,0,0,'Données projet'!$E$11+1,1))-AVERAGE(OFFSET($H$3,0,0,'Données projet'!$E$11+1,1))</f>
        <v>144.01698107732989</v>
      </c>
      <c r="BJ47" s="59">
        <f t="shared" si="38"/>
        <v>139.28039875117332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11.607030444554473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11.607030444554473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3.0769230769230775</v>
      </c>
      <c r="BY47" s="12">
        <f>IF('Données projet'!$A$114&gt;35,BY46+BX47-CG46,IF(A47&lt;'Données projet'!$A$114,$BV$205^A47,IF(A47='Données projet'!$A$114,'Données projet'!$B$114,BY46+BX47-CG46)))</f>
        <v>78.333333333333343</v>
      </c>
      <c r="BZ47" s="13">
        <f>BY47*VLOOKUP('Données projet'!$B$12,Paramètres!$A$1:$I$89,3,0)*VLOOKUP('Données projet'!$B$12,Paramètres!$A$1:$I$89,5,0)</f>
        <v>63.544000000000018</v>
      </c>
      <c r="CA47" s="13">
        <f t="shared" si="39"/>
        <v>18.06128879147133</v>
      </c>
      <c r="CB47" s="20">
        <f t="shared" si="10"/>
        <v>142.12921131181261</v>
      </c>
      <c r="CC47" s="59">
        <f t="shared" si="11"/>
        <v>435.46254464514595</v>
      </c>
      <c r="CD47" s="59">
        <f ca="1">AVERAGE(OFFSET($CC$3,0,0,'Données projet'!$E$12+1,1))-AVERAGE(OFFSET($H$3,0,0,'Données projet'!$E$12+1,1))</f>
        <v>72.953866894533007</v>
      </c>
      <c r="CE47" s="59">
        <f t="shared" si="40"/>
        <v>60.640359826163092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1.9818113029396083</v>
      </c>
      <c r="CM47" s="21">
        <f>EXP(-LN(2)/2)*CM46+(1-EXP(-LN(2)/2))/(LN(2)/2)*CG47*CJ47*VLOOKUP('Données projet'!$B$12,Paramètres!$A$1:$I$89,3,0)*0.475*44/12</f>
        <v>0.3711032942225414</v>
      </c>
      <c r="CN47" s="22">
        <f t="shared" si="12"/>
        <v>2.3529145971621497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4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349.7116920191595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505.89</v>
      </c>
      <c r="L48" s="12">
        <f>VLOOKUP(A48,'Données projet'!$A$35:$I$55,9,0)</f>
        <v>18.866923076923076</v>
      </c>
      <c r="M48" s="12">
        <f t="array" ref="M48">INDEX(L:L,MIN(IF(ISNUMBER(L48:L244),ROW(L48:L244),"")))</f>
        <v>18.866923076923076</v>
      </c>
      <c r="N48" s="13">
        <f>IF('Données projet'!$A$36&gt;35,N47+M48-V47,IF(A48&lt;'Données projet'!$A$36,$K$205^A48,IF(A48='Données projet'!$A$36,'Données projet'!$B$36,N47+M48-V47)))</f>
        <v>505.88999999999982</v>
      </c>
      <c r="O48" s="13">
        <f>N48*VLOOKUP('Données projet'!$B$9,Paramètres!$A$1:$I$89,3,0)*VLOOKUP('Données projet'!$B$9,Paramètres!$A$1:$I$89,5,0)</f>
        <v>302.52221999999995</v>
      </c>
      <c r="P48" s="13">
        <f t="shared" si="33"/>
        <v>71.704959748038519</v>
      </c>
      <c r="Q48" s="20">
        <f t="shared" si="53"/>
        <v>651.77900472783369</v>
      </c>
      <c r="R48" s="59">
        <f t="shared" si="0"/>
        <v>945.11233806116707</v>
      </c>
      <c r="S48" s="59">
        <f ca="1">AVERAGE(OFFSET($R$3,0,0,'Données projet'!$E$9+1,1))-AVERAGE(OFFSET($H$3,0,0,'Données projet'!$E$9+1,1))</f>
        <v>235.90365770026909</v>
      </c>
      <c r="T48" s="59">
        <f t="shared" si="34"/>
        <v>348.09952585694253</v>
      </c>
      <c r="U48" s="15">
        <f>IF(ISNA(VLOOKUP(A48,'Données projet'!$A$35:$I$55,3,0)),0,VLOOKUP(A48,'Données projet'!$A$35:$I$55,3,0))</f>
        <v>5</v>
      </c>
      <c r="V48" s="15">
        <f>IF(ISNA(VLOOKUP(A48,'Données projet'!$A$35:$I$55,4,0)),0,VLOOKUP(A48,'Données projet'!$A$35:$I$55,4,0))</f>
        <v>505.89</v>
      </c>
      <c r="W48" s="16">
        <f>IF(ISNA(VLOOKUP(A48,'Données projet'!$A$35:$I$55,5,0)),0%,VLOOKUP(A48,'Données projet'!$A$35:$I$55,5,0)*VLOOKUP('Données projet'!$B$9,Paramètres!$A$1:$I$89,7,0))</f>
        <v>0.27</v>
      </c>
      <c r="X48" s="16">
        <f>IF(ISNA(VLOOKUP(A48,'Données projet'!$A$35:$I$55,6,0)),0%,VLOOKUP(A48,'Données projet'!$A$35:$I$55,6,0)*VLOOKUP('Données projet'!$B$9,Paramètres!$A$1:$I$89,7,0))</f>
        <v>9.0000000000000011E-2</v>
      </c>
      <c r="Y48" s="16">
        <f>IF(ISNA(VLOOKUP(A48,'Données projet'!$A$35:$I$55,7,0)),0%,VLOOKUP(A48,'Données projet'!$A$35:$I$55,7,0))</f>
        <v>0.2</v>
      </c>
      <c r="Z48" s="21">
        <f>EXP(-LN(2)/35)*Z47+(1-EXP(-LN(2)/35))/(LN(2)/35)*V48*W48*VLOOKUP('Données projet'!$B$9,Paramètres!$A$1:$I$89,3,0)*0.475*44/12</f>
        <v>133.08476542404691</v>
      </c>
      <c r="AA48" s="21">
        <f>EXP(-LN(2)/25)*AA47+(1-EXP(-LN(2)/25))/(LN(2)/25)*Calculateur!V48*Calculateur!X48*VLOOKUP('Données projet'!$B$9,Paramètres!$A$1:$I$89,3,0)*0.475*44/12</f>
        <v>48.721540982729643</v>
      </c>
      <c r="AB48" s="21">
        <f>EXP(-LN(2)/2)*AB47+(1-EXP(-LN(2)/2))/(LN(2)/2)*V48*Y48*VLOOKUP('Données projet'!$B$9,Paramètres!$A$1:$I$89,3,0)*0.475*44/12</f>
        <v>68.630107248010646</v>
      </c>
      <c r="AC48" s="22">
        <f t="shared" si="3"/>
        <v>250.4364136547872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10.110000000000001</v>
      </c>
      <c r="AI48" s="13">
        <f>IF('Données projet'!$A$62&gt;35,AI47+AH48-AQ47,IF(A48&lt;'Données projet'!$A$62,$AF$205^A48,IF(A48='Données projet'!$A$62,'Données projet'!$B$62,AI47+AH48-AQ47)))</f>
        <v>157.78000000000014</v>
      </c>
      <c r="AJ48" s="13">
        <f>AI48*VLOOKUP('Données projet'!$B$10,Paramètres!$A$1:$I$89,3,0)*VLOOKUP('Données projet'!$B$10,Paramètres!$A$1:$I$89,5,0)</f>
        <v>142.75934400000011</v>
      </c>
      <c r="AK48" s="13">
        <f t="shared" si="35"/>
        <v>36.928412609012774</v>
      </c>
      <c r="AL48" s="20">
        <f t="shared" si="4"/>
        <v>312.95617609403075</v>
      </c>
      <c r="AM48" s="59">
        <f t="shared" si="5"/>
        <v>606.28950942736401</v>
      </c>
      <c r="AN48" s="59">
        <f ca="1">AVERAGE(OFFSET($AM$3,0,0,'Données projet'!$E$10+1,1))-AVERAGE(OFFSET($H$3,0,0,'Données projet'!$E$10+1,1))</f>
        <v>490.21869105612649</v>
      </c>
      <c r="AO48" s="59">
        <f t="shared" si="36"/>
        <v>207.08773997010911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14.037144853116336</v>
      </c>
      <c r="AW48" s="21">
        <f>EXP(-LN(2)/2)*AW47+(1-EXP(-LN(2)/2))/(LN(2)/2)*AQ48*AT48*VLOOKUP('Données projet'!$B$10,Paramètres!$A$1:$I$89,3,0)*0.475*44/12</f>
        <v>2.6868874914950243</v>
      </c>
      <c r="AX48" s="21">
        <f t="shared" si="6"/>
        <v>16.724032344611359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103.84615384615384</v>
      </c>
      <c r="BB48" s="12">
        <f>VLOOKUP(A48,'Données projet'!$A$87:$I$107,9,0)</f>
        <v>4.1025641025641022</v>
      </c>
      <c r="BC48" s="12">
        <f t="array" ref="BC48">INDEX(BB:BB,MIN(IF(ISNUMBER(BB48:BB244),ROW(BB48:BB244),"")))</f>
        <v>4.1025641025641022</v>
      </c>
      <c r="BD48" s="12">
        <f>IF('Données projet'!$A$88&gt;35,BD47+BC48-BL47,IF(A48&lt;'Données projet'!$A$88,$BA$205^A48,IF(A48='Données projet'!$A$88,'Données projet'!$B$88,BD47+BC48-BL47)))</f>
        <v>103.84615384615385</v>
      </c>
      <c r="BE48" s="13">
        <f>BD48*VLOOKUP('Données projet'!$B$11,Paramètres!$A$1:$I$89,3,0)*VLOOKUP('Données projet'!$B$11,Paramètres!$A$1:$I$89,5,0)</f>
        <v>108.54</v>
      </c>
      <c r="BF48" s="13">
        <f t="shared" si="37"/>
        <v>28.986730142355373</v>
      </c>
      <c r="BG48" s="20">
        <f t="shared" si="7"/>
        <v>239.52572166460229</v>
      </c>
      <c r="BH48" s="59">
        <f t="shared" si="8"/>
        <v>532.85905499793557</v>
      </c>
      <c r="BI48" s="59">
        <f ca="1">AVERAGE(OFFSET($BH$3,0,0,'Données projet'!$E$11+1,1))-AVERAGE(OFFSET($H$3,0,0,'Données projet'!$E$11+1,1))</f>
        <v>144.01698107732989</v>
      </c>
      <c r="BJ48" s="59">
        <f t="shared" si="38"/>
        <v>139.28039875117332</v>
      </c>
      <c r="BK48" s="15">
        <f>IF(ISNA(VLOOKUP(A48,'Données projet'!$A$87:$I$107,3,0)),0,VLOOKUP(A48,'Données projet'!$A$87:$I$107,3,0))</f>
        <v>6</v>
      </c>
      <c r="BL48" s="15">
        <f>IF(ISNA(VLOOKUP(A48,'Données projet'!$A$87:$I$107,4,0)),0,VLOOKUP(A48,'Données projet'!$A$87:$I$107,4,0))</f>
        <v>12.179487179487179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0.215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14.303339734332848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14.303339734332848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81.410256410256409</v>
      </c>
      <c r="BW48" s="12">
        <f>VLOOKUP(A48,'Données projet'!$A$113:$I$133,9,0)</f>
        <v>3.0769230769230775</v>
      </c>
      <c r="BX48" s="12">
        <f t="array" ref="BX48">INDEX(BW:BW,MIN(IF(ISNUMBER(BW48:BW244),ROW(BW48:BW244),"")))</f>
        <v>3.0769230769230775</v>
      </c>
      <c r="BY48" s="12">
        <f>IF('Données projet'!$A$114&gt;35,BY47+BX48-CG47,IF(A48&lt;'Données projet'!$A$114,$BV$205^A48,IF(A48='Données projet'!$A$114,'Données projet'!$B$114,BY47+BX48-CG47)))</f>
        <v>81.410256410256423</v>
      </c>
      <c r="BZ48" s="13">
        <f>BY48*VLOOKUP('Données projet'!$B$12,Paramètres!$A$1:$I$89,3,0)*VLOOKUP('Données projet'!$B$12,Paramètres!$A$1:$I$89,5,0)</f>
        <v>66.04000000000002</v>
      </c>
      <c r="CA48" s="13">
        <f t="shared" si="39"/>
        <v>18.686741897950633</v>
      </c>
      <c r="CB48" s="20">
        <f t="shared" si="10"/>
        <v>147.56574213893074</v>
      </c>
      <c r="CC48" s="59">
        <f t="shared" si="11"/>
        <v>440.89907547226403</v>
      </c>
      <c r="CD48" s="59">
        <f ca="1">AVERAGE(OFFSET($CC$3,0,0,'Données projet'!$E$12+1,1))-AVERAGE(OFFSET($H$3,0,0,'Données projet'!$E$12+1,1))</f>
        <v>72.953866894533007</v>
      </c>
      <c r="CE48" s="59">
        <f t="shared" si="40"/>
        <v>60.640359826163092</v>
      </c>
      <c r="CF48" s="15">
        <f>IF(ISNA(VLOOKUP(A48,'Données projet'!$A$113:$I$133,3,0)),0,VLOOKUP(A48,'Données projet'!$A$113:$I$133,3,0))</f>
        <v>7</v>
      </c>
      <c r="CG48" s="15">
        <f>IF(ISNA(VLOOKUP(A48,'Données projet'!$A$113:$I$133,4,0)),0,VLOOKUP(A48,'Données projet'!$A$113:$I$133,4,0))</f>
        <v>7.0512820512820511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0.1075</v>
      </c>
      <c r="CJ48" s="16">
        <f>IF(ISNA(VLOOKUP(A48,'Données projet'!$A$113:$I$133,7,0)),0%,VLOOKUP(A48,'Données projet'!$A$113:$I$133,7,0))</f>
        <v>0.25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2.6046958555500215</v>
      </c>
      <c r="CM48" s="21">
        <f>EXP(-LN(2)/2)*CM47+(1-EXP(-LN(2)/2))/(LN(2)/2)*CG48*CJ48*VLOOKUP('Données projet'!$B$12,Paramètres!$A$1:$I$89,3,0)*0.475*44/12</f>
        <v>1.611653143751131</v>
      </c>
      <c r="CN48" s="22">
        <f t="shared" si="12"/>
        <v>4.216348999301152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4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350.92906080242972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-1.7053025658242404E-13</v>
      </c>
      <c r="O49" s="13">
        <f>N49*VLOOKUP('Données projet'!$B$9,Paramètres!$A$1:$I$89,3,0)*VLOOKUP('Données projet'!$B$9,Paramètres!$A$1:$I$89,5,0)</f>
        <v>-1.0197709343628959E-13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235.90365770026909</v>
      </c>
      <c r="T49" s="59">
        <f t="shared" si="34"/>
        <v>348.09952585694253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130.47505434777301</v>
      </c>
      <c r="AA49" s="21">
        <f>EXP(-LN(2)/25)*AA48+(1-EXP(-LN(2)/25))/(LN(2)/25)*Calculateur!V49*Calculateur!X49*VLOOKUP('Données projet'!$B$9,Paramètres!$A$1:$I$89,3,0)*0.475*44/12</f>
        <v>47.389247882402415</v>
      </c>
      <c r="AB49" s="21">
        <f>EXP(-LN(2)/2)*AB48+(1-EXP(-LN(2)/2))/(LN(2)/2)*V49*Y49*VLOOKUP('Données projet'!$B$9,Paramètres!$A$1:$I$89,3,0)*0.475*44/12</f>
        <v>48.528814228628356</v>
      </c>
      <c r="AC49" s="22">
        <f t="shared" si="3"/>
        <v>226.3931164588038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10.110000000000001</v>
      </c>
      <c r="AI49" s="13">
        <f>IF('Données projet'!$A$62&gt;35,AI48+AH49-AQ48,IF(A49&lt;'Données projet'!$A$62,$AF$205^A49,IF(A49='Données projet'!$A$62,'Données projet'!$B$62,AI48+AH49-AQ48)))</f>
        <v>167.89000000000016</v>
      </c>
      <c r="AJ49" s="13">
        <f>AI49*VLOOKUP('Données projet'!$B$10,Paramètres!$A$1:$I$89,3,0)*VLOOKUP('Données projet'!$B$10,Paramètres!$A$1:$I$89,5,0)</f>
        <v>151.90687200000013</v>
      </c>
      <c r="AK49" s="13">
        <f t="shared" si="35"/>
        <v>39.011610015763097</v>
      </c>
      <c r="AL49" s="20">
        <f t="shared" si="4"/>
        <v>332.51635617745427</v>
      </c>
      <c r="AM49" s="59">
        <f t="shared" si="5"/>
        <v>625.84968951078758</v>
      </c>
      <c r="AN49" s="59">
        <f ca="1">AVERAGE(OFFSET($AM$3,0,0,'Données projet'!$E$10+1,1))-AVERAGE(OFFSET($H$3,0,0,'Données projet'!$E$10+1,1))</f>
        <v>490.21869105612649</v>
      </c>
      <c r="AO49" s="59">
        <f t="shared" si="36"/>
        <v>207.08773997010911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13.653298388926505</v>
      </c>
      <c r="AW49" s="21">
        <f>EXP(-LN(2)/2)*AW48+(1-EXP(-LN(2)/2))/(LN(2)/2)*AQ49*AT49*VLOOKUP('Données projet'!$B$10,Paramètres!$A$1:$I$89,3,0)*0.475*44/12</f>
        <v>1.8999163655214437</v>
      </c>
      <c r="AX49" s="21">
        <f t="shared" si="6"/>
        <v>15.553214754447948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3.8461538461538454</v>
      </c>
      <c r="BD49" s="12">
        <f>IF('Données projet'!$A$88&gt;35,BD48+BC49-BL48,IF(A49&lt;'Données projet'!$A$88,$BA$205^A49,IF(A49='Données projet'!$A$88,'Données projet'!$B$88,BD48+BC49-BL48)))</f>
        <v>95.512820512820511</v>
      </c>
      <c r="BE49" s="13">
        <f>BD49*VLOOKUP('Données projet'!$B$11,Paramètres!$A$1:$I$89,3,0)*VLOOKUP('Données projet'!$B$11,Paramètres!$A$1:$I$89,5,0)</f>
        <v>99.83</v>
      </c>
      <c r="BF49" s="13">
        <f t="shared" si="37"/>
        <v>26.92149338297099</v>
      </c>
      <c r="BG49" s="20">
        <f t="shared" si="7"/>
        <v>220.75885097534115</v>
      </c>
      <c r="BH49" s="59">
        <f t="shared" si="8"/>
        <v>514.0921843086744</v>
      </c>
      <c r="BI49" s="59">
        <f ca="1">AVERAGE(OFFSET($BH$3,0,0,'Données projet'!$E$11+1,1))-AVERAGE(OFFSET($H$3,0,0,'Données projet'!$E$11+1,1))</f>
        <v>144.01698107732989</v>
      </c>
      <c r="BJ49" s="59">
        <f t="shared" si="38"/>
        <v>139.28039875117332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13.912214157117571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13.912214157117571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2.9487179487179445</v>
      </c>
      <c r="BY49" s="12">
        <f>IF('Données projet'!$A$114&gt;35,BY48+BX49-CG48,IF(A49&lt;'Données projet'!$A$114,$BV$205^A49,IF(A49='Données projet'!$A$114,'Données projet'!$B$114,BY48+BX49-CG48)))</f>
        <v>77.307692307692321</v>
      </c>
      <c r="BZ49" s="13">
        <f>BY49*VLOOKUP('Données projet'!$B$12,Paramètres!$A$1:$I$89,3,0)*VLOOKUP('Données projet'!$B$12,Paramètres!$A$1:$I$89,5,0)</f>
        <v>62.712000000000018</v>
      </c>
      <c r="CA49" s="13">
        <f t="shared" si="39"/>
        <v>17.85217356216183</v>
      </c>
      <c r="CB49" s="20">
        <f t="shared" si="10"/>
        <v>140.3159356207652</v>
      </c>
      <c r="CC49" s="59">
        <f t="shared" si="11"/>
        <v>433.64926895409849</v>
      </c>
      <c r="CD49" s="59">
        <f ca="1">AVERAGE(OFFSET($CC$3,0,0,'Données projet'!$E$12+1,1))-AVERAGE(OFFSET($H$3,0,0,'Données projet'!$E$12+1,1))</f>
        <v>72.953866894533007</v>
      </c>
      <c r="CE49" s="59">
        <f t="shared" si="40"/>
        <v>60.640359826163092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2.5334703104050043</v>
      </c>
      <c r="CM49" s="21">
        <f>EXP(-LN(2)/2)*CM48+(1-EXP(-LN(2)/2))/(LN(2)/2)*CG49*CJ49*VLOOKUP('Données projet'!$B$12,Paramètres!$A$1:$I$89,3,0)*0.475*44/12</f>
        <v>1.1396108668670424</v>
      </c>
      <c r="CN49" s="22">
        <f t="shared" si="12"/>
        <v>3.6730811772720466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4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352.14575622651876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-1.7053025658242404E-13</v>
      </c>
      <c r="O50" s="13">
        <f>N50*VLOOKUP('Données projet'!$B$9,Paramètres!$A$1:$I$89,3,0)*VLOOKUP('Données projet'!$B$9,Paramètres!$A$1:$I$89,5,0)</f>
        <v>-1.0197709343628959E-13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235.90365770026909</v>
      </c>
      <c r="T50" s="59">
        <f t="shared" si="34"/>
        <v>348.09952585694253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127.91651811393827</v>
      </c>
      <c r="AA50" s="21">
        <f>EXP(-LN(2)/25)*AA49+(1-EXP(-LN(2)/25))/(LN(2)/25)*Calculateur!V50*Calculateur!X50*VLOOKUP('Données projet'!$B$9,Paramètres!$A$1:$I$89,3,0)*0.475*44/12</f>
        <v>46.093386406965884</v>
      </c>
      <c r="AB50" s="21">
        <f>EXP(-LN(2)/2)*AB49+(1-EXP(-LN(2)/2))/(LN(2)/2)*V50*Y50*VLOOKUP('Données projet'!$B$9,Paramètres!$A$1:$I$89,3,0)*0.475*44/12</f>
        <v>34.31505362400533</v>
      </c>
      <c r="AC50" s="22">
        <f t="shared" si="3"/>
        <v>208.32495814490949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10.110000000000001</v>
      </c>
      <c r="AI50" s="13">
        <f>IF('Données projet'!$A$62&gt;35,AI49+AH50-AQ49,IF(A50&lt;'Données projet'!$A$62,$AF$205^A50,IF(A50='Données projet'!$A$62,'Données projet'!$B$62,AI49+AH50-AQ49)))</f>
        <v>178.00000000000017</v>
      </c>
      <c r="AJ50" s="13">
        <f>AI50*VLOOKUP('Données projet'!$B$10,Paramètres!$A$1:$I$89,3,0)*VLOOKUP('Données projet'!$B$10,Paramètres!$A$1:$I$89,5,0)</f>
        <v>161.05440000000016</v>
      </c>
      <c r="AK50" s="13">
        <f t="shared" si="35"/>
        <v>41.080247278685491</v>
      </c>
      <c r="AL50" s="20">
        <f t="shared" si="4"/>
        <v>352.05117734371078</v>
      </c>
      <c r="AM50" s="59">
        <f t="shared" si="5"/>
        <v>645.38451067704409</v>
      </c>
      <c r="AN50" s="59">
        <f ca="1">AVERAGE(OFFSET($AM$3,0,0,'Données projet'!$E$10+1,1))-AVERAGE(OFFSET($H$3,0,0,'Données projet'!$E$10+1,1))</f>
        <v>490.21869105612649</v>
      </c>
      <c r="AO50" s="59">
        <f t="shared" si="36"/>
        <v>207.08773997010911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13.279948226485553</v>
      </c>
      <c r="AW50" s="21">
        <f>EXP(-LN(2)/2)*AW49+(1-EXP(-LN(2)/2))/(LN(2)/2)*AQ50*AT50*VLOOKUP('Données projet'!$B$10,Paramètres!$A$1:$I$89,3,0)*0.475*44/12</f>
        <v>1.3434437457475121</v>
      </c>
      <c r="AX50" s="21">
        <f t="shared" si="6"/>
        <v>14.623391972233065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3.8461538461538454</v>
      </c>
      <c r="BD50" s="12">
        <f>IF('Données projet'!$A$88&gt;35,BD49+BC50-BL49,IF(A50&lt;'Données projet'!$A$88,$BA$205^A50,IF(A50='Données projet'!$A$88,'Données projet'!$B$88,BD49+BC50-BL49)))</f>
        <v>99.358974358974351</v>
      </c>
      <c r="BE50" s="13">
        <f>BD50*VLOOKUP('Données projet'!$B$11,Paramètres!$A$1:$I$89,3,0)*VLOOKUP('Données projet'!$B$11,Paramètres!$A$1:$I$89,5,0)</f>
        <v>103.85</v>
      </c>
      <c r="BF50" s="13">
        <f t="shared" si="37"/>
        <v>27.87718062624047</v>
      </c>
      <c r="BG50" s="20">
        <f t="shared" si="7"/>
        <v>229.42483959070213</v>
      </c>
      <c r="BH50" s="59">
        <f t="shared" si="8"/>
        <v>522.75817292403542</v>
      </c>
      <c r="BI50" s="59">
        <f ca="1">AVERAGE(OFFSET($BH$3,0,0,'Données projet'!$E$11+1,1))-AVERAGE(OFFSET($H$3,0,0,'Données projet'!$E$11+1,1))</f>
        <v>144.01698107732989</v>
      </c>
      <c r="BJ50" s="59">
        <f t="shared" si="38"/>
        <v>139.28039875117332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13.531783929379646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13.531783929379646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2.9487179487179445</v>
      </c>
      <c r="BY50" s="12">
        <f>IF('Données projet'!$A$114&gt;35,BY49+BX50-CG49,IF(A50&lt;'Données projet'!$A$114,$BV$205^A50,IF(A50='Données projet'!$A$114,'Données projet'!$B$114,BY49+BX50-CG49)))</f>
        <v>80.256410256410263</v>
      </c>
      <c r="BZ50" s="13">
        <f>BY50*VLOOKUP('Données projet'!$B$12,Paramètres!$A$1:$I$89,3,0)*VLOOKUP('Données projet'!$B$12,Paramètres!$A$1:$I$89,5,0)</f>
        <v>65.104000000000013</v>
      </c>
      <c r="CA50" s="13">
        <f t="shared" si="39"/>
        <v>18.452525080925881</v>
      </c>
      <c r="CB50" s="20">
        <f t="shared" si="10"/>
        <v>145.52761451594594</v>
      </c>
      <c r="CC50" s="59">
        <f t="shared" si="11"/>
        <v>438.86094784927923</v>
      </c>
      <c r="CD50" s="59">
        <f ca="1">AVERAGE(OFFSET($CC$3,0,0,'Données projet'!$E$12+1,1))-AVERAGE(OFFSET($H$3,0,0,'Données projet'!$E$12+1,1))</f>
        <v>72.953866894533007</v>
      </c>
      <c r="CE50" s="59">
        <f t="shared" si="40"/>
        <v>60.640359826163092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2.4641924315375663</v>
      </c>
      <c r="CM50" s="21">
        <f>EXP(-LN(2)/2)*CM49+(1-EXP(-LN(2)/2))/(LN(2)/2)*CG50*CJ50*VLOOKUP('Données projet'!$B$12,Paramètres!$A$1:$I$89,3,0)*0.475*44/12</f>
        <v>0.8058265718755655</v>
      </c>
      <c r="CN50" s="22">
        <f t="shared" si="12"/>
        <v>3.2700190034131316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4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353.361794268501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-1.7053025658242404E-13</v>
      </c>
      <c r="O51" s="13">
        <f>N51*VLOOKUP('Données projet'!$B$9,Paramètres!$A$1:$I$89,3,0)*VLOOKUP('Données projet'!$B$9,Paramètres!$A$1:$I$89,5,0)</f>
        <v>-1.0197709343628959E-13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235.90365770026909</v>
      </c>
      <c r="T51" s="59">
        <f t="shared" si="34"/>
        <v>348.09952585694253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125.40815321509602</v>
      </c>
      <c r="AA51" s="21">
        <f>EXP(-LN(2)/25)*AA50+(1-EXP(-LN(2)/25))/(LN(2)/25)*Calculateur!V51*Calculateur!X51*VLOOKUP('Données projet'!$B$9,Paramètres!$A$1:$I$89,3,0)*0.475*44/12</f>
        <v>44.832960331721559</v>
      </c>
      <c r="AB51" s="21">
        <f>EXP(-LN(2)/2)*AB50+(1-EXP(-LN(2)/2))/(LN(2)/2)*V51*Y51*VLOOKUP('Données projet'!$B$9,Paramètres!$A$1:$I$89,3,0)*0.475*44/12</f>
        <v>24.264407114314182</v>
      </c>
      <c r="AC51" s="22">
        <f t="shared" si="3"/>
        <v>194.50552066113175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10.110000000000001</v>
      </c>
      <c r="AI51" s="13">
        <f>IF('Données projet'!$A$62&gt;35,AI50+AH51-AQ50,IF(A51&lt;'Données projet'!$A$62,$AF$205^A51,IF(A51='Données projet'!$A$62,'Données projet'!$B$62,AI50+AH51-AQ50)))</f>
        <v>188.11000000000018</v>
      </c>
      <c r="AJ51" s="13">
        <f>AI51*VLOOKUP('Données projet'!$B$10,Paramètres!$A$1:$I$89,3,0)*VLOOKUP('Données projet'!$B$10,Paramètres!$A$1:$I$89,5,0)</f>
        <v>170.20192800000018</v>
      </c>
      <c r="AK51" s="13">
        <f t="shared" si="35"/>
        <v>43.135245614983553</v>
      </c>
      <c r="AL51" s="20">
        <f t="shared" si="4"/>
        <v>371.56224404609662</v>
      </c>
      <c r="AM51" s="59">
        <f t="shared" si="5"/>
        <v>664.89557737942994</v>
      </c>
      <c r="AN51" s="59">
        <f ca="1">AVERAGE(OFFSET($AM$3,0,0,'Données projet'!$E$10+1,1))-AVERAGE(OFFSET($H$3,0,0,'Données projet'!$E$10+1,1))</f>
        <v>490.21869105612649</v>
      </c>
      <c r="AO51" s="59">
        <f t="shared" si="36"/>
        <v>207.08773997010911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12.916807343870181</v>
      </c>
      <c r="AW51" s="21">
        <f>EXP(-LN(2)/2)*AW50+(1-EXP(-LN(2)/2))/(LN(2)/2)*AQ51*AT51*VLOOKUP('Données projet'!$B$10,Paramètres!$A$1:$I$89,3,0)*0.475*44/12</f>
        <v>0.94995818276072186</v>
      </c>
      <c r="AX51" s="21">
        <f t="shared" si="6"/>
        <v>13.866765526630903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3.8461538461538454</v>
      </c>
      <c r="BD51" s="12">
        <f>IF('Données projet'!$A$88&gt;35,BD50+BC51-BL50,IF(A51&lt;'Données projet'!$A$88,$BA$205^A51,IF(A51='Données projet'!$A$88,'Données projet'!$B$88,BD50+BC51-BL50)))</f>
        <v>103.20512820512819</v>
      </c>
      <c r="BE51" s="13">
        <f>BD51*VLOOKUP('Données projet'!$B$11,Paramètres!$A$1:$I$89,3,0)*VLOOKUP('Données projet'!$B$11,Paramètres!$A$1:$I$89,5,0)</f>
        <v>107.87</v>
      </c>
      <c r="BF51" s="13">
        <f t="shared" si="37"/>
        <v>28.82857028093072</v>
      </c>
      <c r="BG51" s="20">
        <f t="shared" si="7"/>
        <v>238.08334323928764</v>
      </c>
      <c r="BH51" s="59">
        <f t="shared" si="8"/>
        <v>531.41667657262099</v>
      </c>
      <c r="BI51" s="59">
        <f ca="1">AVERAGE(OFFSET($BH$3,0,0,'Données projet'!$E$11+1,1))-AVERAGE(OFFSET($H$3,0,0,'Données projet'!$E$11+1,1))</f>
        <v>144.01698107732989</v>
      </c>
      <c r="BJ51" s="59">
        <f t="shared" si="38"/>
        <v>139.28039875117332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13.16175658622517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13.16175658622517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2.9487179487179445</v>
      </c>
      <c r="BY51" s="12">
        <f>IF('Données projet'!$A$114&gt;35,BY50+BX51-CG50,IF(A51&lt;'Données projet'!$A$114,$BV$205^A51,IF(A51='Données projet'!$A$114,'Données projet'!$B$114,BY50+BX51-CG50)))</f>
        <v>83.205128205128204</v>
      </c>
      <c r="BZ51" s="13">
        <f>BY51*VLOOKUP('Données projet'!$B$12,Paramètres!$A$1:$I$89,3,0)*VLOOKUP('Données projet'!$B$12,Paramètres!$A$1:$I$89,5,0)</f>
        <v>67.495999999999995</v>
      </c>
      <c r="CA51" s="13">
        <f t="shared" si="39"/>
        <v>19.050313963345932</v>
      </c>
      <c r="CB51" s="20">
        <f t="shared" si="10"/>
        <v>150.73483015282747</v>
      </c>
      <c r="CC51" s="59">
        <f t="shared" si="11"/>
        <v>444.06816348616076</v>
      </c>
      <c r="CD51" s="59">
        <f ca="1">AVERAGE(OFFSET($CC$3,0,0,'Données projet'!$E$12+1,1))-AVERAGE(OFFSET($H$3,0,0,'Données projet'!$E$12+1,1))</f>
        <v>72.953866894533007</v>
      </c>
      <c r="CE51" s="59">
        <f t="shared" si="40"/>
        <v>60.640359826163092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2.3968089599109237</v>
      </c>
      <c r="CM51" s="21">
        <f>EXP(-LN(2)/2)*CM50+(1-EXP(-LN(2)/2))/(LN(2)/2)*CG51*CJ51*VLOOKUP('Données projet'!$B$12,Paramètres!$A$1:$I$89,3,0)*0.475*44/12</f>
        <v>0.56980543343352119</v>
      </c>
      <c r="CN51" s="22">
        <f t="shared" si="12"/>
        <v>2.9666143933444449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4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354.57719020169571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-1.7053025658242404E-13</v>
      </c>
      <c r="O52" s="13">
        <f>N52*VLOOKUP('Données projet'!$B$9,Paramètres!$A$1:$I$89,3,0)*VLOOKUP('Données projet'!$B$9,Paramètres!$A$1:$I$89,5,0)</f>
        <v>-1.0197709343628959E-13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235.90365770026909</v>
      </c>
      <c r="T52" s="59">
        <f t="shared" si="34"/>
        <v>348.09952585694253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122.94897582196855</v>
      </c>
      <c r="AA52" s="21">
        <f>EXP(-LN(2)/25)*AA51+(1-EXP(-LN(2)/25))/(LN(2)/25)*Calculateur!V52*Calculateur!X52*VLOOKUP('Données projet'!$B$9,Paramètres!$A$1:$I$89,3,0)*0.475*44/12</f>
        <v>43.607000673787716</v>
      </c>
      <c r="AB52" s="21">
        <f>EXP(-LN(2)/2)*AB51+(1-EXP(-LN(2)/2))/(LN(2)/2)*V52*Y52*VLOOKUP('Données projet'!$B$9,Paramètres!$A$1:$I$89,3,0)*0.475*44/12</f>
        <v>17.157526812002665</v>
      </c>
      <c r="AC52" s="22">
        <f t="shared" si="3"/>
        <v>183.71350330775891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10.110000000000001</v>
      </c>
      <c r="AI52" s="13">
        <f>IF('Données projet'!$A$62&gt;35,AI51+AH52-AQ51,IF(A52&lt;'Données projet'!$A$62,$AF$205^A52,IF(A52='Données projet'!$A$62,'Données projet'!$B$62,AI51+AH52-AQ51)))</f>
        <v>198.2200000000002</v>
      </c>
      <c r="AJ52" s="13">
        <f>AI52*VLOOKUP('Données projet'!$B$10,Paramètres!$A$1:$I$89,3,0)*VLOOKUP('Données projet'!$B$10,Paramètres!$A$1:$I$89,5,0)</f>
        <v>179.34945600000017</v>
      </c>
      <c r="AK52" s="13">
        <f t="shared" si="35"/>
        <v>45.177421627371096</v>
      </c>
      <c r="AL52" s="20">
        <f t="shared" si="4"/>
        <v>391.0509785343383</v>
      </c>
      <c r="AM52" s="59">
        <f t="shared" si="5"/>
        <v>684.38431186767161</v>
      </c>
      <c r="AN52" s="59">
        <f ca="1">AVERAGE(OFFSET($AM$3,0,0,'Données projet'!$E$10+1,1))-AVERAGE(OFFSET($H$3,0,0,'Données projet'!$E$10+1,1))</f>
        <v>490.21869105612649</v>
      </c>
      <c r="AO52" s="59">
        <f t="shared" si="36"/>
        <v>207.08773997010911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12.563596567786675</v>
      </c>
      <c r="AW52" s="21">
        <f>EXP(-LN(2)/2)*AW51+(1-EXP(-LN(2)/2))/(LN(2)/2)*AQ52*AT52*VLOOKUP('Données projet'!$B$10,Paramètres!$A$1:$I$89,3,0)*0.475*44/12</f>
        <v>0.67172187287375607</v>
      </c>
      <c r="AX52" s="21">
        <f t="shared" si="6"/>
        <v>13.23531844066043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3.8461538461538454</v>
      </c>
      <c r="BD52" s="12">
        <f>IF('Données projet'!$A$88&gt;35,BD51+BC52-BL51,IF(A52&lt;'Données projet'!$A$88,$BA$205^A52,IF(A52='Données projet'!$A$88,'Données projet'!$B$88,BD51+BC52-BL51)))</f>
        <v>107.05128205128203</v>
      </c>
      <c r="BE52" s="13">
        <f>BD52*VLOOKUP('Données projet'!$B$11,Paramètres!$A$1:$I$89,3,0)*VLOOKUP('Données projet'!$B$11,Paramètres!$A$1:$I$89,5,0)</f>
        <v>111.88999999999999</v>
      </c>
      <c r="BF52" s="13">
        <f t="shared" si="37"/>
        <v>29.775840844916228</v>
      </c>
      <c r="BG52" s="20">
        <f t="shared" si="7"/>
        <v>246.73467280489569</v>
      </c>
      <c r="BH52" s="59">
        <f t="shared" si="8"/>
        <v>540.06800613822907</v>
      </c>
      <c r="BI52" s="59">
        <f ca="1">AVERAGE(OFFSET($BH$3,0,0,'Données projet'!$E$11+1,1))-AVERAGE(OFFSET($H$3,0,0,'Données projet'!$E$11+1,1))</f>
        <v>144.01698107732989</v>
      </c>
      <c r="BJ52" s="59">
        <f t="shared" si="38"/>
        <v>139.28039875117332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12.801847660228146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12.801847660228146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2.9487179487179445</v>
      </c>
      <c r="BY52" s="12">
        <f>IF('Données projet'!$A$114&gt;35,BY51+BX52-CG51,IF(A52&lt;'Données projet'!$A$114,$BV$205^A52,IF(A52='Données projet'!$A$114,'Données projet'!$B$114,BY51+BX52-CG51)))</f>
        <v>86.153846153846146</v>
      </c>
      <c r="BZ52" s="13">
        <f>BY52*VLOOKUP('Données projet'!$B$12,Paramètres!$A$1:$I$89,3,0)*VLOOKUP('Données projet'!$B$12,Paramètres!$A$1:$I$89,5,0)</f>
        <v>69.887999999999991</v>
      </c>
      <c r="CA52" s="13">
        <f t="shared" si="39"/>
        <v>19.645641432461961</v>
      </c>
      <c r="CB52" s="20">
        <f t="shared" si="10"/>
        <v>155.93775882820455</v>
      </c>
      <c r="CC52" s="59">
        <f t="shared" si="11"/>
        <v>449.27109216153787</v>
      </c>
      <c r="CD52" s="59">
        <f ca="1">AVERAGE(OFFSET($CC$3,0,0,'Données projet'!$E$12+1,1))-AVERAGE(OFFSET($H$3,0,0,'Données projet'!$E$12+1,1))</f>
        <v>72.953866894533007</v>
      </c>
      <c r="CE52" s="59">
        <f t="shared" si="40"/>
        <v>60.640359826163092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</v>
      </c>
      <c r="CL52" s="21">
        <f>EXP(-LN(2)/25)*CL51+(1-EXP(-LN(2)/25))/(LN(2)/25)*Calculateur!CG52*Calculateur!CI52*VLOOKUP('Données projet'!$B$12,Paramètres!$A$1:$I$89,3,0)*0.475*44/12</f>
        <v>2.3312680928594545</v>
      </c>
      <c r="CM52" s="21">
        <f>EXP(-LN(2)/2)*CM51+(1-EXP(-LN(2)/2))/(LN(2)/2)*CG52*CJ52*VLOOKUP('Données projet'!$B$12,Paramètres!$A$1:$I$89,3,0)*0.475*44/12</f>
        <v>0.40291328593778275</v>
      </c>
      <c r="CN52" s="22">
        <f t="shared" si="12"/>
        <v>2.7341813787972371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4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355.79195864038502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-1.7053025658242404E-13</v>
      </c>
      <c r="O53" s="13">
        <f>N53*VLOOKUP('Données projet'!$B$9,Paramètres!$A$1:$I$89,3,0)*VLOOKUP('Données projet'!$B$9,Paramètres!$A$1:$I$89,5,0)</f>
        <v>-1.0197709343628959E-13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235.90365770026909</v>
      </c>
      <c r="T53" s="59">
        <f t="shared" si="34"/>
        <v>348.09952585694253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120.5380213975702</v>
      </c>
      <c r="AA53" s="21">
        <f>EXP(-LN(2)/25)*AA52+(1-EXP(-LN(2)/25))/(LN(2)/25)*Calculateur!V53*Calculateur!X53*VLOOKUP('Données projet'!$B$9,Paramètres!$A$1:$I$89,3,0)*0.475*44/12</f>
        <v>42.41456494717049</v>
      </c>
      <c r="AB53" s="21">
        <f>EXP(-LN(2)/2)*AB52+(1-EXP(-LN(2)/2))/(LN(2)/2)*V53*Y53*VLOOKUP('Données projet'!$B$9,Paramètres!$A$1:$I$89,3,0)*0.475*44/12</f>
        <v>12.132203557157091</v>
      </c>
      <c r="AC53" s="22">
        <f t="shared" si="3"/>
        <v>175.08478990189778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208.33</v>
      </c>
      <c r="AG53" s="12">
        <f>VLOOKUP(A53,'Données projet'!$A$61:$I$81,9,0)</f>
        <v>10.110000000000001</v>
      </c>
      <c r="AH53" s="12">
        <f t="array" ref="AH53">INDEX(AG:AG,MIN(IF(ISNUMBER(AG53:AG249),ROW(AG53:AG249),"")))</f>
        <v>10.110000000000001</v>
      </c>
      <c r="AI53" s="13">
        <f>IF('Données projet'!$A$62&gt;35,AI52+AH53-AQ52,IF(A53&lt;'Données projet'!$A$62,$AF$205^A53,IF(A53='Données projet'!$A$62,'Données projet'!$B$62,AI52+AH53-AQ52)))</f>
        <v>208.33000000000021</v>
      </c>
      <c r="AJ53" s="13">
        <f>AI53*VLOOKUP('Données projet'!$B$10,Paramètres!$A$1:$I$89,3,0)*VLOOKUP('Données projet'!$B$10,Paramètres!$A$1:$I$89,5,0)</f>
        <v>188.4969840000002</v>
      </c>
      <c r="AK53" s="13">
        <f t="shared" si="35"/>
        <v>47.207503913482938</v>
      </c>
      <c r="AL53" s="20">
        <f t="shared" si="4"/>
        <v>410.51864978264985</v>
      </c>
      <c r="AM53" s="59">
        <f t="shared" si="5"/>
        <v>703.8519831159831</v>
      </c>
      <c r="AN53" s="59">
        <f ca="1">AVERAGE(OFFSET($AM$3,0,0,'Données projet'!$E$10+1,1))-AVERAGE(OFFSET($H$3,0,0,'Données projet'!$E$10+1,1))</f>
        <v>490.21869105612649</v>
      </c>
      <c r="AO53" s="59">
        <f t="shared" si="36"/>
        <v>207.08773997010911</v>
      </c>
      <c r="AP53" s="15">
        <f>IF(ISNA(VLOOKUP(A53,'Données projet'!$A$61:$I$81,3,0)),0,VLOOKUP(A53,'Données projet'!$A$61:$I$81,3,0))</f>
        <v>2</v>
      </c>
      <c r="AQ53" s="15">
        <f>IF(ISNA(VLOOKUP(A53,'Données projet'!$A$61:$I$81,4,0)),0,VLOOKUP(A53,'Données projet'!$A$61:$I$81,4,0))</f>
        <v>37.54000000000002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0.34400000000000003</v>
      </c>
      <c r="AT53" s="16">
        <f>IF(ISNA(VLOOKUP(A53,'Données projet'!$A$61:$I$81,7,0)),0%,VLOOKUP(A53,'Données projet'!$A$61:$I$81,7,0))</f>
        <v>0.2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25.085911282565853</v>
      </c>
      <c r="AW53" s="21">
        <f>EXP(-LN(2)/2)*AW52+(1-EXP(-LN(2)/2))/(LN(2)/2)*AQ53*AT53*VLOOKUP('Données projet'!$B$10,Paramètres!$A$1:$I$89,3,0)*0.475*44/12</f>
        <v>6.8845823591112083</v>
      </c>
      <c r="AX53" s="21">
        <f t="shared" si="6"/>
        <v>31.970493641677059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110.89743589743588</v>
      </c>
      <c r="BB53" s="12">
        <f>VLOOKUP(A53,'Données projet'!$A$87:$I$107,9,0)</f>
        <v>3.8461538461538454</v>
      </c>
      <c r="BC53" s="12">
        <f t="array" ref="BC53">INDEX(BB:BB,MIN(IF(ISNUMBER(BB53:BB249),ROW(BB53:BB249),"")))</f>
        <v>3.8461538461538454</v>
      </c>
      <c r="BD53" s="12">
        <f>IF('Données projet'!$A$88&gt;35,BD52+BC53-BL52,IF(A53&lt;'Données projet'!$A$88,$BA$205^A53,IF(A53='Données projet'!$A$88,'Données projet'!$B$88,BD52+BC53-BL52)))</f>
        <v>110.89743589743587</v>
      </c>
      <c r="BE53" s="13">
        <f>BD53*VLOOKUP('Données projet'!$B$11,Paramètres!$A$1:$I$89,3,0)*VLOOKUP('Données projet'!$B$11,Paramètres!$A$1:$I$89,5,0)</f>
        <v>115.91</v>
      </c>
      <c r="BF53" s="13">
        <f t="shared" si="37"/>
        <v>30.719157262842881</v>
      </c>
      <c r="BG53" s="20">
        <f t="shared" si="7"/>
        <v>255.37911556611797</v>
      </c>
      <c r="BH53" s="59">
        <f t="shared" si="8"/>
        <v>548.71244889945126</v>
      </c>
      <c r="BI53" s="59">
        <f ca="1">AVERAGE(OFFSET($BH$3,0,0,'Données projet'!$E$11+1,1))-AVERAGE(OFFSET($H$3,0,0,'Données projet'!$E$11+1,1))</f>
        <v>144.01698107732989</v>
      </c>
      <c r="BJ53" s="59">
        <f t="shared" si="38"/>
        <v>139.28039875117332</v>
      </c>
      <c r="BK53" s="15">
        <f>IF(ISNA(VLOOKUP(A53,'Données projet'!$A$87:$I$107,3,0)),0,VLOOKUP(A53,'Données projet'!$A$87:$I$107,3,0))</f>
        <v>7</v>
      </c>
      <c r="BL53" s="15">
        <f>IF(ISNA(VLOOKUP(A53,'Données projet'!$A$87:$I$107,4,0)),0,VLOOKUP(A53,'Données projet'!$A$87:$I$107,4,0))</f>
        <v>11.538461538461538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0.215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15.306868602639014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15.306868602639014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89.102564102564088</v>
      </c>
      <c r="BW53" s="12">
        <f>VLOOKUP(A53,'Données projet'!$A$113:$I$133,9,0)</f>
        <v>2.9487179487179445</v>
      </c>
      <c r="BX53" s="12">
        <f t="array" ref="BX53">INDEX(BW:BW,MIN(IF(ISNUMBER(BW53:BW249),ROW(BW53:BW249),"")))</f>
        <v>2.9487179487179445</v>
      </c>
      <c r="BY53" s="12">
        <f>IF('Données projet'!$A$114&gt;35,BY52+BX53-CG52,IF(A53&lt;'Données projet'!$A$114,$BV$205^A53,IF(A53='Données projet'!$A$114,'Données projet'!$B$114,BY52+BX53-CG52)))</f>
        <v>89.102564102564088</v>
      </c>
      <c r="BZ53" s="13">
        <f>BY53*VLOOKUP('Données projet'!$B$12,Paramètres!$A$1:$I$89,3,0)*VLOOKUP('Données projet'!$B$12,Paramètres!$A$1:$I$89,5,0)</f>
        <v>72.28</v>
      </c>
      <c r="CA53" s="13">
        <f t="shared" si="39"/>
        <v>20.238601389325545</v>
      </c>
      <c r="CB53" s="20">
        <f t="shared" si="10"/>
        <v>161.13656408640864</v>
      </c>
      <c r="CC53" s="59">
        <f t="shared" si="11"/>
        <v>454.46989741974198</v>
      </c>
      <c r="CD53" s="59">
        <f ca="1">AVERAGE(OFFSET($CC$3,0,0,'Données projet'!$E$12+1,1))-AVERAGE(OFFSET($H$3,0,0,'Données projet'!$E$12+1,1))</f>
        <v>72.953866894533007</v>
      </c>
      <c r="CE53" s="59">
        <f t="shared" si="40"/>
        <v>60.640359826163092</v>
      </c>
      <c r="CF53" s="15">
        <f>IF(ISNA(VLOOKUP(A53,'Données projet'!$A$113:$I$133,3,0)),0,VLOOKUP(A53,'Données projet'!$A$113:$I$133,3,0))</f>
        <v>8</v>
      </c>
      <c r="CG53" s="15">
        <f>IF(ISNA(VLOOKUP(A53,'Données projet'!$A$113:$I$133,4,0)),0,VLOOKUP(A53,'Données projet'!$A$113:$I$133,4,0))</f>
        <v>7.0512820512820511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0.1075</v>
      </c>
      <c r="CJ53" s="16">
        <f>IF(ISNA(VLOOKUP(A53,'Données projet'!$A$113:$I$133,7,0)),0%,VLOOKUP(A53,'Données projet'!$A$113:$I$133,7,0))</f>
        <v>0.25</v>
      </c>
      <c r="CK53" s="21">
        <f>EXP(-LN(2)/35)*CK52+(1-EXP(-LN(2)/35))/(LN(2)/35)*CG53*CH53*VLOOKUP('Données projet'!$B$12,Paramètres!$A$1:$I$89,3,0)*0.475*44/12</f>
        <v>0</v>
      </c>
      <c r="CL53" s="21">
        <f>EXP(-LN(2)/25)*CL52+(1-EXP(-LN(2)/25))/(LN(2)/25)*Calculateur!CG53*Calculateur!CI53*VLOOKUP('Données projet'!$B$12,Paramètres!$A$1:$I$89,3,0)*0.475*44/12</f>
        <v>2.9445967311723757</v>
      </c>
      <c r="CM53" s="21">
        <f>EXP(-LN(2)/2)*CM52+(1-EXP(-LN(2)/2))/(LN(2)/2)*CG53*CJ53*VLOOKUP('Données projet'!$B$12,Paramètres!$A$1:$I$89,3,0)*0.475*44/12</f>
        <v>1.634146204602466</v>
      </c>
      <c r="CN53" s="22">
        <f t="shared" si="12"/>
        <v>4.5787429357748417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4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357.00611358085365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-1.7053025658242404E-13</v>
      </c>
      <c r="O54" s="13">
        <f>N54*VLOOKUP('Données projet'!$B$9,Paramètres!$A$1:$I$89,3,0)*VLOOKUP('Données projet'!$B$9,Paramètres!$A$1:$I$89,5,0)</f>
        <v>-1.0197709343628959E-13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235.90365770026909</v>
      </c>
      <c r="T54" s="59">
        <f t="shared" si="34"/>
        <v>348.09952585694253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118.17434431889731</v>
      </c>
      <c r="AA54" s="21">
        <f>EXP(-LN(2)/25)*AA53+(1-EXP(-LN(2)/25))/(LN(2)/25)*Calculateur!V54*Calculateur!X54*VLOOKUP('Données projet'!$B$9,Paramètres!$A$1:$I$89,3,0)*0.475*44/12</f>
        <v>41.254736438205079</v>
      </c>
      <c r="AB54" s="21">
        <f>EXP(-LN(2)/2)*AB53+(1-EXP(-LN(2)/2))/(LN(2)/2)*V54*Y54*VLOOKUP('Données projet'!$B$9,Paramètres!$A$1:$I$89,3,0)*0.475*44/12</f>
        <v>8.5787634060013325</v>
      </c>
      <c r="AC54" s="22">
        <f t="shared" si="3"/>
        <v>168.00784416310373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10.36375</v>
      </c>
      <c r="AI54" s="13">
        <f>IF('Données projet'!$A$62&gt;35,AI53+AH54-AQ53,IF(A54&lt;'Données projet'!$A$62,$AF$205^A54,IF(A54='Données projet'!$A$62,'Données projet'!$B$62,AI53+AH54-AQ53)))</f>
        <v>181.1537500000002</v>
      </c>
      <c r="AJ54" s="13">
        <f>AI54*VLOOKUP('Données projet'!$B$10,Paramètres!$A$1:$I$89,3,0)*VLOOKUP('Données projet'!$B$10,Paramètres!$A$1:$I$89,5,0)</f>
        <v>163.90791300000018</v>
      </c>
      <c r="AK54" s="13">
        <f t="shared" si="35"/>
        <v>41.72271436472046</v>
      </c>
      <c r="AL54" s="20">
        <f t="shared" si="4"/>
        <v>358.14000932688845</v>
      </c>
      <c r="AM54" s="59">
        <f t="shared" si="5"/>
        <v>651.47334266022176</v>
      </c>
      <c r="AN54" s="59">
        <f ca="1">AVERAGE(OFFSET($AM$3,0,0,'Données projet'!$E$10+1,1))-AVERAGE(OFFSET($H$3,0,0,'Données projet'!$E$10+1,1))</f>
        <v>490.21869105612649</v>
      </c>
      <c r="AO54" s="59">
        <f t="shared" si="36"/>
        <v>207.08773997010911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24.399935719333349</v>
      </c>
      <c r="AW54" s="21">
        <f>EXP(-LN(2)/2)*AW53+(1-EXP(-LN(2)/2))/(LN(2)/2)*AQ54*AT54*VLOOKUP('Données projet'!$B$10,Paramètres!$A$1:$I$89,3,0)*0.475*44/12</f>
        <v>4.8681348717648145</v>
      </c>
      <c r="AX54" s="21">
        <f t="shared" si="6"/>
        <v>29.268070591098166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3.3333333333333344</v>
      </c>
      <c r="BD54" s="12">
        <f>IF('Données projet'!$A$88&gt;35,BD53+BC54-BL53,IF(A54&lt;'Données projet'!$A$88,$BA$205^A54,IF(A54='Données projet'!$A$88,'Données projet'!$B$88,BD53+BC54-BL53)))</f>
        <v>102.69230769230766</v>
      </c>
      <c r="BE54" s="13">
        <f>BD54*VLOOKUP('Données projet'!$B$11,Paramètres!$A$1:$I$89,3,0)*VLOOKUP('Données projet'!$B$11,Paramètres!$A$1:$I$89,5,0)</f>
        <v>107.33399999999997</v>
      </c>
      <c r="BF54" s="13">
        <f t="shared" si="37"/>
        <v>28.701960070059993</v>
      </c>
      <c r="BG54" s="20">
        <f t="shared" si="7"/>
        <v>236.9292971220211</v>
      </c>
      <c r="BH54" s="59">
        <f t="shared" si="8"/>
        <v>530.26263045535438</v>
      </c>
      <c r="BI54" s="59">
        <f ca="1">AVERAGE(OFFSET($BH$3,0,0,'Données projet'!$E$11+1,1))-AVERAGE(OFFSET($H$3,0,0,'Données projet'!$E$11+1,1))</f>
        <v>144.01698107732989</v>
      </c>
      <c r="BJ54" s="59">
        <f t="shared" si="38"/>
        <v>139.28039875117332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14.888301475746614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14.888301475746614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2.8205128205128234</v>
      </c>
      <c r="BY54" s="12">
        <f>IF('Données projet'!$A$114&gt;35,BY53+BX54-CG53,IF(A54&lt;'Données projet'!$A$114,$BV$205^A54,IF(A54='Données projet'!$A$114,'Données projet'!$B$114,BY53+BX54-CG53)))</f>
        <v>84.871794871794862</v>
      </c>
      <c r="BZ54" s="13">
        <f>BY54*VLOOKUP('Données projet'!$B$12,Paramètres!$A$1:$I$89,3,0)*VLOOKUP('Données projet'!$B$12,Paramètres!$A$1:$I$89,5,0)</f>
        <v>68.847999999999999</v>
      </c>
      <c r="CA54" s="13">
        <f t="shared" si="39"/>
        <v>19.387099665751713</v>
      </c>
      <c r="CB54" s="20">
        <f t="shared" si="10"/>
        <v>153.67613191785088</v>
      </c>
      <c r="CC54" s="59">
        <f t="shared" si="11"/>
        <v>447.00946525118422</v>
      </c>
      <c r="CD54" s="59">
        <f ca="1">AVERAGE(OFFSET($CC$3,0,0,'Données projet'!$E$12+1,1))-AVERAGE(OFFSET($H$3,0,0,'Données projet'!$E$12+1,1))</f>
        <v>72.953866894533007</v>
      </c>
      <c r="CE54" s="59">
        <f t="shared" si="40"/>
        <v>60.640359826163092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0</v>
      </c>
      <c r="CL54" s="21">
        <f>EXP(-LN(2)/25)*CL53+(1-EXP(-LN(2)/25))/(LN(2)/25)*Calculateur!CG54*Calculateur!CI54*VLOOKUP('Données projet'!$B$12,Paramètres!$A$1:$I$89,3,0)*0.475*44/12</f>
        <v>2.8640765787088549</v>
      </c>
      <c r="CM54" s="21">
        <f>EXP(-LN(2)/2)*CM53+(1-EXP(-LN(2)/2))/(LN(2)/2)*CG54*CJ54*VLOOKUP('Données projet'!$B$12,Paramètres!$A$1:$I$89,3,0)*0.475*44/12</f>
        <v>1.1555158627246631</v>
      </c>
      <c r="CN54" s="22">
        <f t="shared" si="12"/>
        <v>4.0195924414335185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4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358.21966843911872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-1.7053025658242404E-13</v>
      </c>
      <c r="O55" s="13">
        <f>N55*VLOOKUP('Données projet'!$B$9,Paramètres!$A$1:$I$89,3,0)*VLOOKUP('Données projet'!$B$9,Paramètres!$A$1:$I$89,5,0)</f>
        <v>-1.0197709343628959E-13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235.90365770026909</v>
      </c>
      <c r="T55" s="59">
        <f t="shared" si="34"/>
        <v>348.09952585694253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115.85701750603654</v>
      </c>
      <c r="AA55" s="21">
        <f>EXP(-LN(2)/25)*AA54+(1-EXP(-LN(2)/25))/(LN(2)/25)*Calculateur!V55*Calculateur!X55*VLOOKUP('Données projet'!$B$9,Paramètres!$A$1:$I$89,3,0)*0.475*44/12</f>
        <v>40.126623500810062</v>
      </c>
      <c r="AB55" s="21">
        <f>EXP(-LN(2)/2)*AB54+(1-EXP(-LN(2)/2))/(LN(2)/2)*V55*Y55*VLOOKUP('Données projet'!$B$9,Paramètres!$A$1:$I$89,3,0)*0.475*44/12</f>
        <v>6.0661017785785454</v>
      </c>
      <c r="AC55" s="22">
        <f t="shared" si="3"/>
        <v>162.04974278542514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10.36375</v>
      </c>
      <c r="AI55" s="13">
        <f>IF('Données projet'!$A$62&gt;35,AI54+AH55-AQ54,IF(A55&lt;'Données projet'!$A$62,$AF$205^A55,IF(A55='Données projet'!$A$62,'Données projet'!$B$62,AI54+AH55-AQ54)))</f>
        <v>191.51750000000021</v>
      </c>
      <c r="AJ55" s="13">
        <f>AI55*VLOOKUP('Données projet'!$B$10,Paramètres!$A$1:$I$89,3,0)*VLOOKUP('Données projet'!$B$10,Paramètres!$A$1:$I$89,5,0)</f>
        <v>173.28503400000019</v>
      </c>
      <c r="AK55" s="13">
        <f t="shared" si="35"/>
        <v>43.82494037101592</v>
      </c>
      <c r="AL55" s="20">
        <f t="shared" si="4"/>
        <v>378.133205362853</v>
      </c>
      <c r="AM55" s="59">
        <f t="shared" si="5"/>
        <v>671.46653869618626</v>
      </c>
      <c r="AN55" s="59">
        <f ca="1">AVERAGE(OFFSET($AM$3,0,0,'Données projet'!$E$10+1,1))-AVERAGE(OFFSET($H$3,0,0,'Données projet'!$E$10+1,1))</f>
        <v>490.21869105612649</v>
      </c>
      <c r="AO55" s="59">
        <f t="shared" si="36"/>
        <v>207.08773997010911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23.732718193951328</v>
      </c>
      <c r="AW55" s="21">
        <f>EXP(-LN(2)/2)*AW54+(1-EXP(-LN(2)/2))/(LN(2)/2)*AQ55*AT55*VLOOKUP('Données projet'!$B$10,Paramètres!$A$1:$I$89,3,0)*0.475*44/12</f>
        <v>3.4422911795556046</v>
      </c>
      <c r="AX55" s="21">
        <f t="shared" si="6"/>
        <v>27.175009373506931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3.3333333333333344</v>
      </c>
      <c r="BD55" s="12">
        <f>IF('Données projet'!$A$88&gt;35,BD54+BC55-BL54,IF(A55&lt;'Données projet'!$A$88,$BA$205^A55,IF(A55='Données projet'!$A$88,'Données projet'!$B$88,BD54+BC55-BL54)))</f>
        <v>106.02564102564099</v>
      </c>
      <c r="BE55" s="13">
        <f>BD55*VLOOKUP('Données projet'!$B$11,Paramètres!$A$1:$I$89,3,0)*VLOOKUP('Données projet'!$B$11,Paramètres!$A$1:$I$89,5,0)</f>
        <v>110.81799999999998</v>
      </c>
      <c r="BF55" s="13">
        <f t="shared" si="37"/>
        <v>29.523628571023192</v>
      </c>
      <c r="BG55" s="20">
        <f t="shared" si="7"/>
        <v>244.42833642786533</v>
      </c>
      <c r="BH55" s="59">
        <f t="shared" si="8"/>
        <v>537.76166976119862</v>
      </c>
      <c r="BI55" s="59">
        <f ca="1">AVERAGE(OFFSET($BH$3,0,0,'Données projet'!$E$11+1,1))-AVERAGE(OFFSET($H$3,0,0,'Données projet'!$E$11+1,1))</f>
        <v>144.01698107732989</v>
      </c>
      <c r="BJ55" s="59">
        <f t="shared" si="38"/>
        <v>139.28039875117332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14.481180088950575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14.481180088950575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2.8205128205128234</v>
      </c>
      <c r="BY55" s="12">
        <f>IF('Données projet'!$A$114&gt;35,BY54+BX55-CG54,IF(A55&lt;'Données projet'!$A$114,$BV$205^A55,IF(A55='Données projet'!$A$114,'Données projet'!$B$114,BY54+BX55-CG54)))</f>
        <v>87.692307692307679</v>
      </c>
      <c r="BZ55" s="13">
        <f>BY55*VLOOKUP('Données projet'!$B$12,Paramètres!$A$1:$I$89,3,0)*VLOOKUP('Données projet'!$B$12,Paramètres!$A$1:$I$89,5,0)</f>
        <v>71.135999999999996</v>
      </c>
      <c r="CA55" s="13">
        <f t="shared" si="39"/>
        <v>19.955301551927469</v>
      </c>
      <c r="CB55" s="20">
        <f t="shared" si="10"/>
        <v>158.65068353627368</v>
      </c>
      <c r="CC55" s="59">
        <f t="shared" si="11"/>
        <v>451.98401686960699</v>
      </c>
      <c r="CD55" s="59">
        <f ca="1">AVERAGE(OFFSET($CC$3,0,0,'Données projet'!$E$12+1,1))-AVERAGE(OFFSET($H$3,0,0,'Données projet'!$E$12+1,1))</f>
        <v>72.953866894533007</v>
      </c>
      <c r="CE55" s="59">
        <f t="shared" si="40"/>
        <v>60.640359826163092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0</v>
      </c>
      <c r="CL55" s="21">
        <f>EXP(-LN(2)/25)*CL54+(1-EXP(-LN(2)/25))/(LN(2)/25)*Calculateur!CG55*Calculateur!CI55*VLOOKUP('Données projet'!$B$12,Paramètres!$A$1:$I$89,3,0)*0.475*44/12</f>
        <v>2.7857582540488197</v>
      </c>
      <c r="CM55" s="21">
        <f>EXP(-LN(2)/2)*CM54+(1-EXP(-LN(2)/2))/(LN(2)/2)*CG55*CJ55*VLOOKUP('Données projet'!$B$12,Paramètres!$A$1:$I$89,3,0)*0.475*44/12</f>
        <v>0.81707310230123309</v>
      </c>
      <c r="CN55" s="22">
        <f t="shared" si="12"/>
        <v>3.6028313563500527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4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359.43263608567548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-1.7053025658242404E-13</v>
      </c>
      <c r="O56" s="13">
        <f>N56*VLOOKUP('Données projet'!$B$9,Paramètres!$A$1:$I$89,3,0)*VLOOKUP('Données projet'!$B$9,Paramètres!$A$1:$I$89,5,0)</f>
        <v>-1.0197709343628959E-13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235.90365770026909</v>
      </c>
      <c r="T56" s="59">
        <f t="shared" si="34"/>
        <v>348.09952585694253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113.58513205854618</v>
      </c>
      <c r="AA56" s="21">
        <f>EXP(-LN(2)/25)*AA55+(1-EXP(-LN(2)/25))/(LN(2)/25)*Calculateur!V56*Calculateur!X56*VLOOKUP('Données projet'!$B$9,Paramètres!$A$1:$I$89,3,0)*0.475*44/12</f>
        <v>39.029358871012995</v>
      </c>
      <c r="AB56" s="21">
        <f>EXP(-LN(2)/2)*AB55+(1-EXP(-LN(2)/2))/(LN(2)/2)*V56*Y56*VLOOKUP('Données projet'!$B$9,Paramètres!$A$1:$I$89,3,0)*0.475*44/12</f>
        <v>4.2893817030006662</v>
      </c>
      <c r="AC56" s="22">
        <f t="shared" si="3"/>
        <v>156.90387263255982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10.36375</v>
      </c>
      <c r="AI56" s="13">
        <f>IF('Données projet'!$A$62&gt;35,AI55+AH56-AQ55,IF(A56&lt;'Données projet'!$A$62,$AF$205^A56,IF(A56='Données projet'!$A$62,'Données projet'!$B$62,AI55+AH56-AQ55)))</f>
        <v>201.88125000000022</v>
      </c>
      <c r="AJ56" s="13">
        <f>AI56*VLOOKUP('Données projet'!$B$10,Paramètres!$A$1:$I$89,3,0)*VLOOKUP('Données projet'!$B$10,Paramètres!$A$1:$I$89,5,0)</f>
        <v>182.66215500000018</v>
      </c>
      <c r="AK56" s="13">
        <f t="shared" si="35"/>
        <v>45.913959577546748</v>
      </c>
      <c r="AL56" s="20">
        <f t="shared" si="4"/>
        <v>398.10339955589421</v>
      </c>
      <c r="AM56" s="59">
        <f t="shared" si="5"/>
        <v>691.43673288922753</v>
      </c>
      <c r="AN56" s="59">
        <f ca="1">AVERAGE(OFFSET($AM$3,0,0,'Données projet'!$E$10+1,1))-AVERAGE(OFFSET($H$3,0,0,'Données projet'!$E$10+1,1))</f>
        <v>490.21869105612649</v>
      </c>
      <c r="AO56" s="59">
        <f t="shared" si="36"/>
        <v>207.08773997010911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23.08374576688832</v>
      </c>
      <c r="AW56" s="21">
        <f>EXP(-LN(2)/2)*AW55+(1-EXP(-LN(2)/2))/(LN(2)/2)*AQ56*AT56*VLOOKUP('Données projet'!$B$10,Paramètres!$A$1:$I$89,3,0)*0.475*44/12</f>
        <v>2.4340674358824077</v>
      </c>
      <c r="AX56" s="21">
        <f t="shared" si="6"/>
        <v>25.517813202770729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3.3333333333333344</v>
      </c>
      <c r="BD56" s="12">
        <f>IF('Données projet'!$A$88&gt;35,BD55+BC56-BL55,IF(A56&lt;'Données projet'!$A$88,$BA$205^A56,IF(A56='Données projet'!$A$88,'Données projet'!$B$88,BD55+BC56-BL55)))</f>
        <v>109.35897435897432</v>
      </c>
      <c r="BE56" s="13">
        <f>BD56*VLOOKUP('Données projet'!$B$11,Paramètres!$A$1:$I$89,3,0)*VLOOKUP('Données projet'!$B$11,Paramètres!$A$1:$I$89,5,0)</f>
        <v>114.30199999999998</v>
      </c>
      <c r="BF56" s="13">
        <f t="shared" si="37"/>
        <v>30.342295155235746</v>
      </c>
      <c r="BG56" s="20">
        <f t="shared" si="7"/>
        <v>251.92214739536891</v>
      </c>
      <c r="BH56" s="59">
        <f t="shared" si="8"/>
        <v>545.2554807287022</v>
      </c>
      <c r="BI56" s="59">
        <f ca="1">AVERAGE(OFFSET($BH$3,0,0,'Données projet'!$E$11+1,1))-AVERAGE(OFFSET($H$3,0,0,'Données projet'!$E$11+1,1))</f>
        <v>144.01698107732989</v>
      </c>
      <c r="BJ56" s="59">
        <f t="shared" si="38"/>
        <v>139.28039875117332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14.085191457886058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14.085191457886058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2.8205128205128234</v>
      </c>
      <c r="BY56" s="12">
        <f>IF('Données projet'!$A$114&gt;35,BY55+BX56-CG55,IF(A56&lt;'Données projet'!$A$114,$BV$205^A56,IF(A56='Données projet'!$A$114,'Données projet'!$B$114,BY55+BX56-CG55)))</f>
        <v>90.512820512820497</v>
      </c>
      <c r="BZ56" s="13">
        <f>BY56*VLOOKUP('Données projet'!$B$12,Paramètres!$A$1:$I$89,3,0)*VLOOKUP('Données projet'!$B$12,Paramètres!$A$1:$I$89,5,0)</f>
        <v>73.423999999999992</v>
      </c>
      <c r="CA56" s="13">
        <f t="shared" si="39"/>
        <v>20.521379760278482</v>
      </c>
      <c r="CB56" s="20">
        <f t="shared" si="10"/>
        <v>163.62153641581833</v>
      </c>
      <c r="CC56" s="59">
        <f t="shared" si="11"/>
        <v>456.95486974915161</v>
      </c>
      <c r="CD56" s="59">
        <f ca="1">AVERAGE(OFFSET($CC$3,0,0,'Données projet'!$E$12+1,1))-AVERAGE(OFFSET($H$3,0,0,'Données projet'!$E$12+1,1))</f>
        <v>72.953866894533007</v>
      </c>
      <c r="CE56" s="59">
        <f t="shared" si="40"/>
        <v>60.640359826163092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0</v>
      </c>
      <c r="CL56" s="21">
        <f>EXP(-LN(2)/25)*CL55+(1-EXP(-LN(2)/25))/(LN(2)/25)*Calculateur!CG56*Calculateur!CI56*VLOOKUP('Données projet'!$B$12,Paramètres!$A$1:$I$89,3,0)*0.475*44/12</f>
        <v>2.709581548095195</v>
      </c>
      <c r="CM56" s="21">
        <f>EXP(-LN(2)/2)*CM55+(1-EXP(-LN(2)/2))/(LN(2)/2)*CG56*CJ56*VLOOKUP('Données projet'!$B$12,Paramètres!$A$1:$I$89,3,0)*0.475*44/12</f>
        <v>0.57775793136233167</v>
      </c>
      <c r="CN56" s="22">
        <f t="shared" si="12"/>
        <v>3.2873394794575268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4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360.64502887754611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-1.7053025658242404E-13</v>
      </c>
      <c r="O57" s="13">
        <f>N57*VLOOKUP('Données projet'!$B$9,Paramètres!$A$1:$I$89,3,0)*VLOOKUP('Données projet'!$B$9,Paramètres!$A$1:$I$89,5,0)</f>
        <v>-1.0197709343628959E-13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235.90365770026909</v>
      </c>
      <c r="T57" s="59">
        <f t="shared" si="34"/>
        <v>348.09952585694253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111.35779689896781</v>
      </c>
      <c r="AA57" s="21">
        <f>EXP(-LN(2)/25)*AA56+(1-EXP(-LN(2)/25))/(LN(2)/25)*Calculateur!V57*Calculateur!X57*VLOOKUP('Données projet'!$B$9,Paramètres!$A$1:$I$89,3,0)*0.475*44/12</f>
        <v>37.962099000220363</v>
      </c>
      <c r="AB57" s="21">
        <f>EXP(-LN(2)/2)*AB56+(1-EXP(-LN(2)/2))/(LN(2)/2)*V57*Y57*VLOOKUP('Données projet'!$B$9,Paramètres!$A$1:$I$89,3,0)*0.475*44/12</f>
        <v>3.0330508892892727</v>
      </c>
      <c r="AC57" s="22">
        <f t="shared" si="3"/>
        <v>152.35294678847745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10.36375</v>
      </c>
      <c r="AI57" s="13">
        <f>IF('Données projet'!$A$62&gt;35,AI56+AH57-AQ56,IF(A57&lt;'Données projet'!$A$62,$AF$205^A57,IF(A57='Données projet'!$A$62,'Données projet'!$B$62,AI56+AH57-AQ56)))</f>
        <v>212.24500000000023</v>
      </c>
      <c r="AJ57" s="13">
        <f>AI57*VLOOKUP('Données projet'!$B$10,Paramètres!$A$1:$I$89,3,0)*VLOOKUP('Données projet'!$B$10,Paramètres!$A$1:$I$89,5,0)</f>
        <v>192.0392760000002</v>
      </c>
      <c r="AK57" s="13">
        <f t="shared" si="35"/>
        <v>47.990527307113453</v>
      </c>
      <c r="AL57" s="20">
        <f t="shared" si="4"/>
        <v>418.05190742655623</v>
      </c>
      <c r="AM57" s="59">
        <f t="shared" si="5"/>
        <v>711.38524075988948</v>
      </c>
      <c r="AN57" s="59">
        <f ca="1">AVERAGE(OFFSET($AM$3,0,0,'Données projet'!$E$10+1,1))-AVERAGE(OFFSET($H$3,0,0,'Données projet'!$E$10+1,1))</f>
        <v>490.21869105612649</v>
      </c>
      <c r="AO57" s="59">
        <f t="shared" si="36"/>
        <v>207.08773997010911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22.452519524971329</v>
      </c>
      <c r="AW57" s="21">
        <f>EXP(-LN(2)/2)*AW56+(1-EXP(-LN(2)/2))/(LN(2)/2)*AQ57*AT57*VLOOKUP('Données projet'!$B$10,Paramètres!$A$1:$I$89,3,0)*0.475*44/12</f>
        <v>1.7211455897778025</v>
      </c>
      <c r="AX57" s="21">
        <f t="shared" si="6"/>
        <v>24.173665114749131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3.3333333333333344</v>
      </c>
      <c r="BD57" s="12">
        <f>IF('Données projet'!$A$88&gt;35,BD56+BC57-BL56,IF(A57&lt;'Données projet'!$A$88,$BA$205^A57,IF(A57='Données projet'!$A$88,'Données projet'!$B$88,BD56+BC57-BL56)))</f>
        <v>112.69230769230765</v>
      </c>
      <c r="BE57" s="13">
        <f>BD57*VLOOKUP('Données projet'!$B$11,Paramètres!$A$1:$I$89,3,0)*VLOOKUP('Données projet'!$B$11,Paramètres!$A$1:$I$89,5,0)</f>
        <v>117.78599999999996</v>
      </c>
      <c r="BF57" s="13">
        <f t="shared" si="37"/>
        <v>31.158061824774272</v>
      </c>
      <c r="BG57" s="20">
        <f t="shared" si="7"/>
        <v>259.41090767814842</v>
      </c>
      <c r="BH57" s="59">
        <f t="shared" si="8"/>
        <v>552.74424101148179</v>
      </c>
      <c r="BI57" s="59">
        <f ca="1">AVERAGE(OFFSET($BH$3,0,0,'Données projet'!$E$11+1,1))-AVERAGE(OFFSET($H$3,0,0,'Données projet'!$E$11+1,1))</f>
        <v>144.01698107732989</v>
      </c>
      <c r="BJ57" s="59">
        <f t="shared" si="38"/>
        <v>139.28039875117332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13.700031156762137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13.700031156762137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2.8205128205128234</v>
      </c>
      <c r="BY57" s="12">
        <f>IF('Données projet'!$A$114&gt;35,BY56+BX57-CG56,IF(A57&lt;'Données projet'!$A$114,$BV$205^A57,IF(A57='Données projet'!$A$114,'Données projet'!$B$114,BY56+BX57-CG56)))</f>
        <v>93.333333333333314</v>
      </c>
      <c r="BZ57" s="13">
        <f>BY57*VLOOKUP('Données projet'!$B$12,Paramètres!$A$1:$I$89,3,0)*VLOOKUP('Données projet'!$B$12,Paramètres!$A$1:$I$89,5,0)</f>
        <v>75.711999999999989</v>
      </c>
      <c r="CA57" s="13">
        <f t="shared" si="39"/>
        <v>21.085408061126401</v>
      </c>
      <c r="CB57" s="20">
        <f t="shared" si="10"/>
        <v>168.58881903979511</v>
      </c>
      <c r="CC57" s="59">
        <f t="shared" si="11"/>
        <v>461.92215237312843</v>
      </c>
      <c r="CD57" s="59">
        <f ca="1">AVERAGE(OFFSET($CC$3,0,0,'Données projet'!$E$12+1,1))-AVERAGE(OFFSET($H$3,0,0,'Données projet'!$E$12+1,1))</f>
        <v>72.953866894533007</v>
      </c>
      <c r="CE57" s="59">
        <f t="shared" si="40"/>
        <v>60.640359826163092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0</v>
      </c>
      <c r="CL57" s="21">
        <f>EXP(-LN(2)/25)*CL56+(1-EXP(-LN(2)/25))/(LN(2)/25)*Calculateur!CG57*Calculateur!CI57*VLOOKUP('Données projet'!$B$12,Paramètres!$A$1:$I$89,3,0)*0.475*44/12</f>
        <v>2.635487898171831</v>
      </c>
      <c r="CM57" s="21">
        <f>EXP(-LN(2)/2)*CM56+(1-EXP(-LN(2)/2))/(LN(2)/2)*CG57*CJ57*VLOOKUP('Données projet'!$B$12,Paramètres!$A$1:$I$89,3,0)*0.475*44/12</f>
        <v>0.40853655115061666</v>
      </c>
      <c r="CN57" s="22">
        <f t="shared" si="12"/>
        <v>3.0440244493224475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4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361.85685868788795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-1.7053025658242404E-13</v>
      </c>
      <c r="O58" s="13">
        <f>N58*VLOOKUP('Données projet'!$B$9,Paramètres!$A$1:$I$89,3,0)*VLOOKUP('Données projet'!$B$9,Paramètres!$A$1:$I$89,5,0)</f>
        <v>-1.0197709343628959E-13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235.90365770026909</v>
      </c>
      <c r="T58" s="59">
        <f t="shared" si="34"/>
        <v>348.09952585694253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109.17413842332846</v>
      </c>
      <c r="AA58" s="21">
        <f>EXP(-LN(2)/25)*AA57+(1-EXP(-LN(2)/25))/(LN(2)/25)*Calculateur!V58*Calculateur!X58*VLOOKUP('Données projet'!$B$9,Paramètres!$A$1:$I$89,3,0)*0.475*44/12</f>
        <v>36.924023406719314</v>
      </c>
      <c r="AB58" s="21">
        <f>EXP(-LN(2)/2)*AB57+(1-EXP(-LN(2)/2))/(LN(2)/2)*V58*Y58*VLOOKUP('Données projet'!$B$9,Paramètres!$A$1:$I$89,3,0)*0.475*44/12</f>
        <v>2.1446908515003331</v>
      </c>
      <c r="AC58" s="22">
        <f t="shared" si="3"/>
        <v>148.24285268154813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10.36375</v>
      </c>
      <c r="AI58" s="13">
        <f>IF('Données projet'!$A$62&gt;35,AI57+AH58-AQ57,IF(A58&lt;'Données projet'!$A$62,$AF$205^A58,IF(A58='Données projet'!$A$62,'Données projet'!$B$62,AI57+AH58-AQ57)))</f>
        <v>222.60875000000024</v>
      </c>
      <c r="AJ58" s="13">
        <f>AI58*VLOOKUP('Données projet'!$B$10,Paramètres!$A$1:$I$89,3,0)*VLOOKUP('Données projet'!$B$10,Paramètres!$A$1:$I$89,5,0)</f>
        <v>201.41639700000019</v>
      </c>
      <c r="AK58" s="13">
        <f t="shared" si="35"/>
        <v>50.055320951535919</v>
      </c>
      <c r="AL58" s="20">
        <f t="shared" si="4"/>
        <v>437.97990876559203</v>
      </c>
      <c r="AM58" s="59">
        <f t="shared" si="5"/>
        <v>731.31324209892534</v>
      </c>
      <c r="AN58" s="59">
        <f ca="1">AVERAGE(OFFSET($AM$3,0,0,'Données projet'!$E$10+1,1))-AVERAGE(OFFSET($H$3,0,0,'Données projet'!$E$10+1,1))</f>
        <v>490.21869105612649</v>
      </c>
      <c r="AO58" s="59">
        <f t="shared" si="36"/>
        <v>207.08773997010911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21.838554197834302</v>
      </c>
      <c r="AW58" s="21">
        <f>EXP(-LN(2)/2)*AW57+(1-EXP(-LN(2)/2))/(LN(2)/2)*AQ58*AT58*VLOOKUP('Données projet'!$B$10,Paramètres!$A$1:$I$89,3,0)*0.475*44/12</f>
        <v>1.2170337179412041</v>
      </c>
      <c r="AX58" s="21">
        <f t="shared" si="6"/>
        <v>23.055587915775504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116.02564102564102</v>
      </c>
      <c r="BB58" s="12">
        <f>VLOOKUP(A58,'Données projet'!$A$87:$I$107,9,0)</f>
        <v>3.3333333333333344</v>
      </c>
      <c r="BC58" s="12">
        <f t="array" ref="BC58">INDEX(BB:BB,MIN(IF(ISNUMBER(BB58:BB254),ROW(BB58:BB254),"")))</f>
        <v>3.3333333333333344</v>
      </c>
      <c r="BD58" s="12">
        <f>IF('Données projet'!$A$88&gt;35,BD57+BC58-BL57,IF(A58&lt;'Données projet'!$A$88,$BA$205^A58,IF(A58='Données projet'!$A$88,'Données projet'!$B$88,BD57+BC58-BL57)))</f>
        <v>116.02564102564098</v>
      </c>
      <c r="BE58" s="13">
        <f>BD58*VLOOKUP('Données projet'!$B$11,Paramètres!$A$1:$I$89,3,0)*VLOOKUP('Données projet'!$B$11,Paramètres!$A$1:$I$89,5,0)</f>
        <v>121.26999999999997</v>
      </c>
      <c r="BF58" s="13">
        <f t="shared" si="37"/>
        <v>31.971024204432702</v>
      </c>
      <c r="BG58" s="20">
        <f t="shared" si="7"/>
        <v>266.89478382272023</v>
      </c>
      <c r="BH58" s="59">
        <f t="shared" si="8"/>
        <v>560.22811715605349</v>
      </c>
      <c r="BI58" s="59">
        <f ca="1">AVERAGE(OFFSET($BH$3,0,0,'Données projet'!$E$11+1,1))-AVERAGE(OFFSET($H$3,0,0,'Données projet'!$E$11+1,1))</f>
        <v>144.01698107732989</v>
      </c>
      <c r="BJ58" s="59">
        <f t="shared" si="38"/>
        <v>139.28039875117332</v>
      </c>
      <c r="BK58" s="15">
        <f>IF(ISNA(VLOOKUP(A58,'Données projet'!$A$87:$I$107,3,0)),0,VLOOKUP(A58,'Données projet'!$A$87:$I$107,3,0))</f>
        <v>8</v>
      </c>
      <c r="BL58" s="15">
        <f>IF(ISNA(VLOOKUP(A58,'Données projet'!$A$87:$I$107,4,0)),0,VLOOKUP(A58,'Données projet'!$A$87:$I$107,4,0))</f>
        <v>10.897435897435898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0.215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16.021875216454657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16.021875216454657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96.15384615384616</v>
      </c>
      <c r="BW58" s="12">
        <f>VLOOKUP(A58,'Données projet'!$A$113:$I$133,9,0)</f>
        <v>2.8205128205128234</v>
      </c>
      <c r="BX58" s="12">
        <f t="array" ref="BX58">INDEX(BW:BW,MIN(IF(ISNUMBER(BW58:BW254),ROW(BW58:BW254),"")))</f>
        <v>2.8205128205128234</v>
      </c>
      <c r="BY58" s="12">
        <f>IF('Données projet'!$A$114&gt;35,BY57+BX58-CG57,IF(A58&lt;'Données projet'!$A$114,$BV$205^A58,IF(A58='Données projet'!$A$114,'Données projet'!$B$114,BY57+BX58-CG57)))</f>
        <v>96.153846153846132</v>
      </c>
      <c r="BZ58" s="13">
        <f>BY58*VLOOKUP('Données projet'!$B$12,Paramètres!$A$1:$I$89,3,0)*VLOOKUP('Données projet'!$B$12,Paramètres!$A$1:$I$89,5,0)</f>
        <v>77.999999999999986</v>
      </c>
      <c r="CA58" s="13">
        <f t="shared" si="39"/>
        <v>21.647455512768612</v>
      </c>
      <c r="CB58" s="20">
        <f t="shared" si="10"/>
        <v>173.55265168473863</v>
      </c>
      <c r="CC58" s="59">
        <f t="shared" si="11"/>
        <v>466.88598501807195</v>
      </c>
      <c r="CD58" s="59">
        <f ca="1">AVERAGE(OFFSET($CC$3,0,0,'Données projet'!$E$12+1,1))-AVERAGE(OFFSET($H$3,0,0,'Données projet'!$E$12+1,1))</f>
        <v>72.953866894533007</v>
      </c>
      <c r="CE58" s="59">
        <f t="shared" si="40"/>
        <v>60.640359826163092</v>
      </c>
      <c r="CF58" s="15">
        <f>IF(ISNA(VLOOKUP(A58,'Données projet'!$A$113:$I$133,3,0)),0,VLOOKUP(A58,'Données projet'!$A$113:$I$133,3,0))</f>
        <v>9</v>
      </c>
      <c r="CG58" s="15">
        <f>IF(ISNA(VLOOKUP(A58,'Données projet'!$A$113:$I$133,4,0)),0,VLOOKUP(A58,'Données projet'!$A$113:$I$133,4,0))</f>
        <v>7.0512820512820511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0.1075</v>
      </c>
      <c r="CJ58" s="16">
        <f>IF(ISNA(VLOOKUP(A58,'Données projet'!$A$113:$I$133,7,0)),0%,VLOOKUP(A58,'Données projet'!$A$113:$I$133,7,0))</f>
        <v>0.25</v>
      </c>
      <c r="CK58" s="21">
        <f>EXP(-LN(2)/35)*CK57+(1-EXP(-LN(2)/35))/(LN(2)/35)*CG58*CH58*VLOOKUP('Données projet'!$B$12,Paramètres!$A$1:$I$89,3,0)*0.475*44/12</f>
        <v>0</v>
      </c>
      <c r="CL58" s="21">
        <f>EXP(-LN(2)/25)*CL57+(1-EXP(-LN(2)/25))/(LN(2)/25)*Calculateur!CG58*Calculateur!CI58*VLOOKUP('Données projet'!$B$12,Paramètres!$A$1:$I$89,3,0)*0.475*44/12</f>
        <v>3.2404976299102612</v>
      </c>
      <c r="CM58" s="21">
        <f>EXP(-LN(2)/2)*CM57+(1-EXP(-LN(2)/2))/(LN(2)/2)*CG58*CJ58*VLOOKUP('Données projet'!$B$12,Paramètres!$A$1:$I$89,3,0)*0.475*44/12</f>
        <v>1.6381224535668713</v>
      </c>
      <c r="CN58" s="22">
        <f t="shared" si="12"/>
        <v>4.8786200834771325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4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363.068136933387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-1.7053025658242404E-13</v>
      </c>
      <c r="O59" s="13">
        <f>N59*VLOOKUP('Données projet'!$B$9,Paramètres!$A$1:$I$89,3,0)*VLOOKUP('Données projet'!$B$9,Paramètres!$A$1:$I$89,5,0)</f>
        <v>-1.0197709343628959E-13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235.90365770026909</v>
      </c>
      <c r="T59" s="59">
        <f t="shared" si="34"/>
        <v>348.09952585694253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107.03330015849625</v>
      </c>
      <c r="AA59" s="21">
        <f>EXP(-LN(2)/25)*AA58+(1-EXP(-LN(2)/25))/(LN(2)/25)*Calculateur!V59*Calculateur!X59*VLOOKUP('Données projet'!$B$9,Paramètres!$A$1:$I$89,3,0)*0.475*44/12</f>
        <v>35.914334044912572</v>
      </c>
      <c r="AB59" s="21">
        <f>EXP(-LN(2)/2)*AB58+(1-EXP(-LN(2)/2))/(LN(2)/2)*V59*Y59*VLOOKUP('Données projet'!$B$9,Paramètres!$A$1:$I$89,3,0)*0.475*44/12</f>
        <v>1.5165254446446363</v>
      </c>
      <c r="AC59" s="22">
        <f t="shared" si="3"/>
        <v>144.46415964805345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10.36375</v>
      </c>
      <c r="AI59" s="13">
        <f>IF('Données projet'!$A$62&gt;35,AI58+AH59-AQ58,IF(A59&lt;'Données projet'!$A$62,$AF$205^A59,IF(A59='Données projet'!$A$62,'Données projet'!$B$62,AI58+AH59-AQ58)))</f>
        <v>232.97250000000025</v>
      </c>
      <c r="AJ59" s="13">
        <f>AI59*VLOOKUP('Données projet'!$B$10,Paramètres!$A$1:$I$89,3,0)*VLOOKUP('Données projet'!$B$10,Paramètres!$A$1:$I$89,5,0)</f>
        <v>210.7935180000002</v>
      </c>
      <c r="AK59" s="13">
        <f t="shared" si="35"/>
        <v>52.108951264882847</v>
      </c>
      <c r="AL59" s="20">
        <f t="shared" si="4"/>
        <v>457.88846730300457</v>
      </c>
      <c r="AM59" s="59">
        <f t="shared" si="5"/>
        <v>751.22180063633789</v>
      </c>
      <c r="AN59" s="59">
        <f ca="1">AVERAGE(OFFSET($AM$3,0,0,'Données projet'!$E$10+1,1))-AVERAGE(OFFSET($H$3,0,0,'Données projet'!$E$10+1,1))</f>
        <v>490.21869105612649</v>
      </c>
      <c r="AO59" s="59">
        <f t="shared" si="36"/>
        <v>207.08773997010911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21.241377784854869</v>
      </c>
      <c r="AW59" s="21">
        <f>EXP(-LN(2)/2)*AW58+(1-EXP(-LN(2)/2))/(LN(2)/2)*AQ59*AT59*VLOOKUP('Données projet'!$B$10,Paramètres!$A$1:$I$89,3,0)*0.475*44/12</f>
        <v>0.86057279488890148</v>
      </c>
      <c r="AX59" s="21">
        <f t="shared" si="6"/>
        <v>22.101950579743772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3.2051282051282071</v>
      </c>
      <c r="BD59" s="12">
        <f>IF('Données projet'!$A$88&gt;35,BD58+BC59-BL58,IF(A59&lt;'Données projet'!$A$88,$BA$205^A59,IF(A59='Données projet'!$A$88,'Données projet'!$B$88,BD58+BC59-BL58)))</f>
        <v>108.33333333333329</v>
      </c>
      <c r="BE59" s="13">
        <f>BD59*VLOOKUP('Données projet'!$B$11,Paramètres!$A$1:$I$89,3,0)*VLOOKUP('Données projet'!$B$11,Paramètres!$A$1:$I$89,5,0)</f>
        <v>113.22999999999995</v>
      </c>
      <c r="BF59" s="13">
        <f t="shared" si="37"/>
        <v>30.090711216212426</v>
      </c>
      <c r="BG59" s="20">
        <f t="shared" si="7"/>
        <v>249.61690536823653</v>
      </c>
      <c r="BH59" s="59">
        <f t="shared" si="8"/>
        <v>542.95023870156979</v>
      </c>
      <c r="BI59" s="59">
        <f ca="1">AVERAGE(OFFSET($BH$3,0,0,'Données projet'!$E$11+1,1))-AVERAGE(OFFSET($H$3,0,0,'Données projet'!$E$11+1,1))</f>
        <v>144.01698107732989</v>
      </c>
      <c r="BJ59" s="59">
        <f t="shared" si="38"/>
        <v>139.28039875117332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15.583756196106904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15.583756196106904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2.6923076923076907</v>
      </c>
      <c r="BY59" s="12">
        <f>IF('Données projet'!$A$114&gt;35,BY58+BX59-CG58,IF(A59&lt;'Données projet'!$A$114,$BV$205^A59,IF(A59='Données projet'!$A$114,'Données projet'!$B$114,BY58+BX59-CG58)))</f>
        <v>91.794871794871767</v>
      </c>
      <c r="BZ59" s="13">
        <f>BY59*VLOOKUP('Données projet'!$B$12,Paramètres!$A$1:$I$89,3,0)*VLOOKUP('Données projet'!$B$12,Paramètres!$A$1:$I$89,5,0)</f>
        <v>74.463999999999984</v>
      </c>
      <c r="CA59" s="13">
        <f t="shared" si="39"/>
        <v>20.778006126410563</v>
      </c>
      <c r="CB59" s="20">
        <f t="shared" si="10"/>
        <v>165.87982733683168</v>
      </c>
      <c r="CC59" s="59">
        <f t="shared" si="11"/>
        <v>459.213160670165</v>
      </c>
      <c r="CD59" s="59">
        <f ca="1">AVERAGE(OFFSET($CC$3,0,0,'Données projet'!$E$12+1,1))-AVERAGE(OFFSET($H$3,0,0,'Données projet'!$E$12+1,1))</f>
        <v>72.953866894533007</v>
      </c>
      <c r="CE59" s="59">
        <f t="shared" si="40"/>
        <v>60.640359826163092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0</v>
      </c>
      <c r="CL59" s="21">
        <f>EXP(-LN(2)/25)*CL58+(1-EXP(-LN(2)/25))/(LN(2)/25)*Calculateur!CG59*Calculateur!CI59*VLOOKUP('Données projet'!$B$12,Paramètres!$A$1:$I$89,3,0)*0.475*44/12</f>
        <v>3.1518860518100009</v>
      </c>
      <c r="CM59" s="21">
        <f>EXP(-LN(2)/2)*CM58+(1-EXP(-LN(2)/2))/(LN(2)/2)*CG59*CJ59*VLOOKUP('Données projet'!$B$12,Paramètres!$A$1:$I$89,3,0)*0.475*44/12</f>
        <v>1.15832749533108</v>
      </c>
      <c r="CN59" s="22">
        <f t="shared" si="12"/>
        <v>4.310213547141081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4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364.27887459963966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-1.7053025658242404E-13</v>
      </c>
      <c r="O60" s="13">
        <f>N60*VLOOKUP('Données projet'!$B$9,Paramètres!$A$1:$I$89,3,0)*VLOOKUP('Données projet'!$B$9,Paramètres!$A$1:$I$89,5,0)</f>
        <v>-1.0197709343628959E-13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235.90365770026909</v>
      </c>
      <c r="T60" s="59">
        <f t="shared" si="34"/>
        <v>348.09952585694253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104.93444242625499</v>
      </c>
      <c r="AA60" s="21">
        <f>EXP(-LN(2)/25)*AA59+(1-EXP(-LN(2)/25))/(LN(2)/25)*Calculateur!V60*Calculateur!X60*VLOOKUP('Données projet'!$B$9,Paramètres!$A$1:$I$89,3,0)*0.475*44/12</f>
        <v>34.932254691801695</v>
      </c>
      <c r="AB60" s="21">
        <f>EXP(-LN(2)/2)*AB59+(1-EXP(-LN(2)/2))/(LN(2)/2)*V60*Y60*VLOOKUP('Données projet'!$B$9,Paramètres!$A$1:$I$89,3,0)*0.475*44/12</f>
        <v>1.0723454257501666</v>
      </c>
      <c r="AC60" s="22">
        <f t="shared" si="3"/>
        <v>140.93904254380686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10.36375</v>
      </c>
      <c r="AI60" s="13">
        <f>IF('Données projet'!$A$62&gt;35,AI59+AH60-AQ59,IF(A60&lt;'Données projet'!$A$62,$AF$205^A60,IF(A60='Données projet'!$A$62,'Données projet'!$B$62,AI59+AH60-AQ59)))</f>
        <v>243.33625000000026</v>
      </c>
      <c r="AJ60" s="13">
        <f>AI60*VLOOKUP('Données projet'!$B$10,Paramètres!$A$1:$I$89,3,0)*VLOOKUP('Données projet'!$B$10,Paramètres!$A$1:$I$89,5,0)</f>
        <v>220.17063900000025</v>
      </c>
      <c r="AK60" s="13">
        <f t="shared" si="35"/>
        <v>54.151971590437505</v>
      </c>
      <c r="AL60" s="20">
        <f t="shared" si="4"/>
        <v>477.7785467783458</v>
      </c>
      <c r="AM60" s="59">
        <f t="shared" si="5"/>
        <v>771.11188011167906</v>
      </c>
      <c r="AN60" s="59">
        <f ca="1">AVERAGE(OFFSET($AM$3,0,0,'Données projet'!$E$10+1,1))-AVERAGE(OFFSET($H$3,0,0,'Données projet'!$E$10+1,1))</f>
        <v>490.21869105612649</v>
      </c>
      <c r="AO60" s="59">
        <f t="shared" si="36"/>
        <v>207.08773997010911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20.660531192292503</v>
      </c>
      <c r="AW60" s="21">
        <f>EXP(-LN(2)/2)*AW59+(1-EXP(-LN(2)/2))/(LN(2)/2)*AQ60*AT60*VLOOKUP('Données projet'!$B$10,Paramètres!$A$1:$I$89,3,0)*0.475*44/12</f>
        <v>0.60851685897060215</v>
      </c>
      <c r="AX60" s="21">
        <f t="shared" si="6"/>
        <v>21.269048051263105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3.2051282051282071</v>
      </c>
      <c r="BD60" s="12">
        <f>IF('Données projet'!$A$88&gt;35,BD59+BC60-BL59,IF(A60&lt;'Données projet'!$A$88,$BA$205^A60,IF(A60='Données projet'!$A$88,'Données projet'!$B$88,BD59+BC60-BL59)))</f>
        <v>111.53846153846149</v>
      </c>
      <c r="BE60" s="13">
        <f>BD60*VLOOKUP('Données projet'!$B$11,Paramètres!$A$1:$I$89,3,0)*VLOOKUP('Données projet'!$B$11,Paramètres!$A$1:$I$89,5,0)</f>
        <v>116.57999999999996</v>
      </c>
      <c r="BF60" s="13">
        <f t="shared" si="37"/>
        <v>30.876003132466991</v>
      </c>
      <c r="BG60" s="20">
        <f t="shared" si="7"/>
        <v>256.81920545571325</v>
      </c>
      <c r="BH60" s="59">
        <f t="shared" si="8"/>
        <v>550.1525387890465</v>
      </c>
      <c r="BI60" s="59">
        <f ca="1">AVERAGE(OFFSET($BH$3,0,0,'Données projet'!$E$11+1,1))-AVERAGE(OFFSET($H$3,0,0,'Données projet'!$E$11+1,1))</f>
        <v>144.01698107732989</v>
      </c>
      <c r="BJ60" s="59">
        <f t="shared" si="38"/>
        <v>139.28039875117332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15.157617563410239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15.157617563410239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2.6923076923076907</v>
      </c>
      <c r="BY60" s="12">
        <f>IF('Données projet'!$A$114&gt;35,BY59+BX60-CG59,IF(A60&lt;'Données projet'!$A$114,$BV$205^A60,IF(A60='Données projet'!$A$114,'Données projet'!$B$114,BY59+BX60-CG59)))</f>
        <v>94.487179487179461</v>
      </c>
      <c r="BZ60" s="13">
        <f>BY60*VLOOKUP('Données projet'!$B$12,Paramètres!$A$1:$I$89,3,0)*VLOOKUP('Données projet'!$B$12,Paramètres!$A$1:$I$89,5,0)</f>
        <v>76.647999999999982</v>
      </c>
      <c r="CA60" s="13">
        <f t="shared" si="39"/>
        <v>21.315572215122746</v>
      </c>
      <c r="CB60" s="20">
        <f t="shared" si="10"/>
        <v>170.61988827467206</v>
      </c>
      <c r="CC60" s="59">
        <f t="shared" si="11"/>
        <v>463.95322160800538</v>
      </c>
      <c r="CD60" s="59">
        <f ca="1">AVERAGE(OFFSET($CC$3,0,0,'Données projet'!$E$12+1,1))-AVERAGE(OFFSET($H$3,0,0,'Données projet'!$E$12+1,1))</f>
        <v>72.953866894533007</v>
      </c>
      <c r="CE60" s="59">
        <f t="shared" si="40"/>
        <v>60.640359826163092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0</v>
      </c>
      <c r="CL60" s="21">
        <f>EXP(-LN(2)/25)*CL59+(1-EXP(-LN(2)/25))/(LN(2)/25)*Calculateur!CG60*Calculateur!CI60*VLOOKUP('Données projet'!$B$12,Paramètres!$A$1:$I$89,3,0)*0.475*44/12</f>
        <v>3.0656975619727729</v>
      </c>
      <c r="CM60" s="21">
        <f>EXP(-LN(2)/2)*CM59+(1-EXP(-LN(2)/2))/(LN(2)/2)*CG60*CJ60*VLOOKUP('Données projet'!$B$12,Paramètres!$A$1:$I$89,3,0)*0.475*44/12</f>
        <v>0.81906122678343574</v>
      </c>
      <c r="CN60" s="22">
        <f t="shared" si="12"/>
        <v>3.8847587887562085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4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365.48908226470269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-1.7053025658242404E-13</v>
      </c>
      <c r="O61" s="13">
        <f>N61*VLOOKUP('Données projet'!$B$9,Paramètres!$A$1:$I$89,3,0)*VLOOKUP('Données projet'!$B$9,Paramètres!$A$1:$I$89,5,0)</f>
        <v>-1.0197709343628959E-13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235.90365770026909</v>
      </c>
      <c r="T61" s="59">
        <f t="shared" si="34"/>
        <v>348.09952585694253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102.87674201396617</v>
      </c>
      <c r="AA61" s="21">
        <f>EXP(-LN(2)/25)*AA60+(1-EXP(-LN(2)/25))/(LN(2)/25)*Calculateur!V61*Calculateur!X61*VLOOKUP('Données projet'!$B$9,Paramètres!$A$1:$I$89,3,0)*0.475*44/12</f>
        <v>33.977030350246942</v>
      </c>
      <c r="AB61" s="21">
        <f>EXP(-LN(2)/2)*AB60+(1-EXP(-LN(2)/2))/(LN(2)/2)*V61*Y61*VLOOKUP('Données projet'!$B$9,Paramètres!$A$1:$I$89,3,0)*0.475*44/12</f>
        <v>0.75826272232231817</v>
      </c>
      <c r="AC61" s="22">
        <f t="shared" si="3"/>
        <v>137.61203508653543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>
        <f>VLOOKUP(A61,'Données projet'!$A$61:$I$81,2,0)</f>
        <v>253.7</v>
      </c>
      <c r="AG61" s="12">
        <f>VLOOKUP(A61,'Données projet'!$A$61:$I$81,9,0)</f>
        <v>10.36375</v>
      </c>
      <c r="AH61" s="12">
        <f t="array" ref="AH61">INDEX(AG:AG,MIN(IF(ISNUMBER(AG61:AG257),ROW(AG61:AG257),"")))</f>
        <v>10.36375</v>
      </c>
      <c r="AI61" s="13">
        <f>IF('Données projet'!$A$62&gt;35,AI60+AH61-AQ60,IF(A61&lt;'Données projet'!$A$62,$AF$205^A61,IF(A61='Données projet'!$A$62,'Données projet'!$B$62,AI60+AH61-AQ60)))</f>
        <v>253.70000000000027</v>
      </c>
      <c r="AJ61" s="13">
        <f>AI61*VLOOKUP('Données projet'!$B$10,Paramètres!$A$1:$I$89,3,0)*VLOOKUP('Données projet'!$B$10,Paramètres!$A$1:$I$89,5,0)</f>
        <v>229.54776000000027</v>
      </c>
      <c r="AK61" s="13">
        <f t="shared" si="35"/>
        <v>56.184885471425758</v>
      </c>
      <c r="AL61" s="20">
        <f t="shared" si="4"/>
        <v>497.651024196067</v>
      </c>
      <c r="AM61" s="59">
        <f t="shared" si="5"/>
        <v>790.98435752940031</v>
      </c>
      <c r="AN61" s="59">
        <f ca="1">AVERAGE(OFFSET($AM$3,0,0,'Données projet'!$E$10+1,1))-AVERAGE(OFFSET($H$3,0,0,'Données projet'!$E$10+1,1))</f>
        <v>490.21869105612649</v>
      </c>
      <c r="AO61" s="59">
        <f t="shared" si="36"/>
        <v>207.08773997010911</v>
      </c>
      <c r="AP61" s="15">
        <f>IF(ISNA(VLOOKUP(A61,'Données projet'!$A$61:$I$81,3,0)),0,VLOOKUP(A61,'Données projet'!$A$61:$I$81,3,0))</f>
        <v>3</v>
      </c>
      <c r="AQ61" s="15">
        <f>IF(ISNA(VLOOKUP(A61,'Données projet'!$A$61:$I$81,4,0)),0,VLOOKUP(A61,'Données projet'!$A$61:$I$81,4,0))</f>
        <v>47.789999999999992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0.34400000000000003</v>
      </c>
      <c r="AT61" s="16">
        <f>IF(ISNA(VLOOKUP(A61,'Données projet'!$A$61:$I$81,7,0)),0%,VLOOKUP(A61,'Données projet'!$A$61:$I$81,7,0))</f>
        <v>0.2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36.474357978367649</v>
      </c>
      <c r="AW61" s="21">
        <f>EXP(-LN(2)/2)*AW60+(1-EXP(-LN(2)/2))/(LN(2)/2)*AQ61*AT61*VLOOKUP('Données projet'!$B$10,Paramètres!$A$1:$I$89,3,0)*0.475*44/12</f>
        <v>8.589981127461952</v>
      </c>
      <c r="AX61" s="21">
        <f t="shared" si="6"/>
        <v>45.064339105829603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3.2051282051282071</v>
      </c>
      <c r="BD61" s="12">
        <f>IF('Données projet'!$A$88&gt;35,BD60+BC61-BL60,IF(A61&lt;'Données projet'!$A$88,$BA$205^A61,IF(A61='Données projet'!$A$88,'Données projet'!$B$88,BD60+BC61-BL60)))</f>
        <v>114.74358974358969</v>
      </c>
      <c r="BE61" s="13">
        <f>BD61*VLOOKUP('Données projet'!$B$11,Paramètres!$A$1:$I$89,3,0)*VLOOKUP('Données projet'!$B$11,Paramètres!$A$1:$I$89,5,0)</f>
        <v>119.92999999999995</v>
      </c>
      <c r="BF61" s="13">
        <f t="shared" si="37"/>
        <v>31.65867238925356</v>
      </c>
      <c r="BG61" s="20">
        <f t="shared" si="7"/>
        <v>264.01693774461648</v>
      </c>
      <c r="BH61" s="59">
        <f t="shared" si="8"/>
        <v>557.35027107794986</v>
      </c>
      <c r="BI61" s="59">
        <f ca="1">AVERAGE(OFFSET($BH$3,0,0,'Données projet'!$E$11+1,1))-AVERAGE(OFFSET($H$3,0,0,'Données projet'!$E$11+1,1))</f>
        <v>144.01698107732989</v>
      </c>
      <c r="BJ61" s="59">
        <f t="shared" si="38"/>
        <v>139.28039875117332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14.743131714034321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14.743131714034321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2.6923076923076907</v>
      </c>
      <c r="BY61" s="12">
        <f>IF('Données projet'!$A$114&gt;35,BY60+BX61-CG60,IF(A61&lt;'Données projet'!$A$114,$BV$205^A61,IF(A61='Données projet'!$A$114,'Données projet'!$B$114,BY60+BX61-CG60)))</f>
        <v>97.179487179487154</v>
      </c>
      <c r="BZ61" s="13">
        <f>BY61*VLOOKUP('Données projet'!$B$12,Paramètres!$A$1:$I$89,3,0)*VLOOKUP('Données projet'!$B$12,Paramètres!$A$1:$I$89,5,0)</f>
        <v>78.831999999999994</v>
      </c>
      <c r="CA61" s="13">
        <f t="shared" si="39"/>
        <v>21.851358063068435</v>
      </c>
      <c r="CB61" s="20">
        <f t="shared" si="10"/>
        <v>175.35684862651081</v>
      </c>
      <c r="CC61" s="59">
        <f t="shared" si="11"/>
        <v>468.69018195984415</v>
      </c>
      <c r="CD61" s="59">
        <f ca="1">AVERAGE(OFFSET($CC$3,0,0,'Données projet'!$E$12+1,1))-AVERAGE(OFFSET($H$3,0,0,'Données projet'!$E$12+1,1))</f>
        <v>72.953866894533007</v>
      </c>
      <c r="CE61" s="59">
        <f t="shared" si="40"/>
        <v>60.640359826163092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0</v>
      </c>
      <c r="CL61" s="21">
        <f>EXP(-LN(2)/25)*CL60+(1-EXP(-LN(2)/25))/(LN(2)/25)*Calculateur!CG61*Calculateur!CI61*VLOOKUP('Données projet'!$B$12,Paramètres!$A$1:$I$89,3,0)*0.475*44/12</f>
        <v>2.9818659009225992</v>
      </c>
      <c r="CM61" s="21">
        <f>EXP(-LN(2)/2)*CM60+(1-EXP(-LN(2)/2))/(LN(2)/2)*CG61*CJ61*VLOOKUP('Données projet'!$B$12,Paramètres!$A$1:$I$89,3,0)*0.475*44/12</f>
        <v>0.57916374766554013</v>
      </c>
      <c r="CN61" s="22">
        <f t="shared" si="12"/>
        <v>3.5610296485881392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4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366.69877012097305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-1.7053025658242404E-13</v>
      </c>
      <c r="O62" s="13">
        <f>N62*VLOOKUP('Données projet'!$B$9,Paramètres!$A$1:$I$89,3,0)*VLOOKUP('Données projet'!$B$9,Paramètres!$A$1:$I$89,5,0)</f>
        <v>-1.0197709343628959E-13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235.90365770026909</v>
      </c>
      <c r="T62" s="59">
        <f t="shared" si="34"/>
        <v>348.09952585694253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100.85939185168901</v>
      </c>
      <c r="AA62" s="21">
        <f>EXP(-LN(2)/25)*AA61+(1-EXP(-LN(2)/25))/(LN(2)/25)*Calculateur!V62*Calculateur!X62*VLOOKUP('Données projet'!$B$9,Paramètres!$A$1:$I$89,3,0)*0.475*44/12</f>
        <v>33.047926668545067</v>
      </c>
      <c r="AB62" s="21">
        <f>EXP(-LN(2)/2)*AB61+(1-EXP(-LN(2)/2))/(LN(2)/2)*V62*Y62*VLOOKUP('Données projet'!$B$9,Paramètres!$A$1:$I$89,3,0)*0.475*44/12</f>
        <v>0.53617271287508328</v>
      </c>
      <c r="AC62" s="22">
        <f t="shared" si="3"/>
        <v>134.44349123310914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10.107499999999998</v>
      </c>
      <c r="AI62" s="13">
        <f>IF('Données projet'!$A$62&gt;35,AI61+AH62-AQ61,IF(A62&lt;'Données projet'!$A$62,$AF$205^A62,IF(A62='Données projet'!$A$62,'Données projet'!$B$62,AI61+AH62-AQ61)))</f>
        <v>216.0175000000003</v>
      </c>
      <c r="AJ62" s="13">
        <f>AI62*VLOOKUP('Données projet'!$B$10,Paramètres!$A$1:$I$89,3,0)*VLOOKUP('Données projet'!$B$10,Paramètres!$A$1:$I$89,5,0)</f>
        <v>195.45263400000027</v>
      </c>
      <c r="AK62" s="13">
        <f t="shared" si="35"/>
        <v>48.743460533300031</v>
      </c>
      <c r="AL62" s="20">
        <f t="shared" si="4"/>
        <v>425.3081979788314</v>
      </c>
      <c r="AM62" s="59">
        <f t="shared" si="5"/>
        <v>718.64153131216472</v>
      </c>
      <c r="AN62" s="59">
        <f ca="1">AVERAGE(OFFSET($AM$3,0,0,'Données projet'!$E$10+1,1))-AVERAGE(OFFSET($H$3,0,0,'Données projet'!$E$10+1,1))</f>
        <v>490.21869105612649</v>
      </c>
      <c r="AO62" s="59">
        <f t="shared" si="36"/>
        <v>207.08773997010911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35.476964741346066</v>
      </c>
      <c r="AW62" s="21">
        <f>EXP(-LN(2)/2)*AW61+(1-EXP(-LN(2)/2))/(LN(2)/2)*AQ62*AT62*VLOOKUP('Données projet'!$B$10,Paramètres!$A$1:$I$89,3,0)*0.475*44/12</f>
        <v>6.0740339054928114</v>
      </c>
      <c r="AX62" s="21">
        <f t="shared" si="6"/>
        <v>41.550998646838877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3.2051282051282071</v>
      </c>
      <c r="BD62" s="12">
        <f>IF('Données projet'!$A$88&gt;35,BD61+BC62-BL61,IF(A62&lt;'Données projet'!$A$88,$BA$205^A62,IF(A62='Données projet'!$A$88,'Données projet'!$B$88,BD61+BC62-BL61)))</f>
        <v>117.9487179487179</v>
      </c>
      <c r="BE62" s="13">
        <f>BD62*VLOOKUP('Données projet'!$B$11,Paramètres!$A$1:$I$89,3,0)*VLOOKUP('Données projet'!$B$11,Paramètres!$A$1:$I$89,5,0)</f>
        <v>123.27999999999996</v>
      </c>
      <c r="BF62" s="13">
        <f t="shared" si="37"/>
        <v>32.438800661224256</v>
      </c>
      <c r="BG62" s="20">
        <f t="shared" si="7"/>
        <v>271.21024448496547</v>
      </c>
      <c r="BH62" s="59">
        <f t="shared" si="8"/>
        <v>564.54357781829879</v>
      </c>
      <c r="BI62" s="59">
        <f ca="1">AVERAGE(OFFSET($BH$3,0,0,'Données projet'!$E$11+1,1))-AVERAGE(OFFSET($H$3,0,0,'Données projet'!$E$11+1,1))</f>
        <v>144.01698107732989</v>
      </c>
      <c r="BJ62" s="59">
        <f t="shared" si="38"/>
        <v>139.28039875117332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14.339980002006453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14.339980002006453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2.6923076923076907</v>
      </c>
      <c r="BY62" s="12">
        <f>IF('Données projet'!$A$114&gt;35,BY61+BX62-CG61,IF(A62&lt;'Données projet'!$A$114,$BV$205^A62,IF(A62='Données projet'!$A$114,'Données projet'!$B$114,BY61+BX62-CG61)))</f>
        <v>99.871794871794847</v>
      </c>
      <c r="BZ62" s="13">
        <f>BY62*VLOOKUP('Données projet'!$B$12,Paramètres!$A$1:$I$89,3,0)*VLOOKUP('Données projet'!$B$12,Paramètres!$A$1:$I$89,5,0)</f>
        <v>81.015999999999991</v>
      </c>
      <c r="CA62" s="13">
        <f t="shared" si="39"/>
        <v>22.385418657388872</v>
      </c>
      <c r="CB62" s="20">
        <f t="shared" si="10"/>
        <v>180.09080416161893</v>
      </c>
      <c r="CC62" s="59">
        <f t="shared" si="11"/>
        <v>473.42413749495222</v>
      </c>
      <c r="CD62" s="59">
        <f ca="1">AVERAGE(OFFSET($CC$3,0,0,'Données projet'!$E$12+1,1))-AVERAGE(OFFSET($H$3,0,0,'Données projet'!$E$12+1,1))</f>
        <v>72.953866894533007</v>
      </c>
      <c r="CE62" s="59">
        <f t="shared" si="40"/>
        <v>60.640359826163092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0</v>
      </c>
      <c r="CL62" s="21">
        <f>EXP(-LN(2)/25)*CL61+(1-EXP(-LN(2)/25))/(LN(2)/25)*Calculateur!CG62*Calculateur!CI62*VLOOKUP('Données projet'!$B$12,Paramètres!$A$1:$I$89,3,0)*0.475*44/12</f>
        <v>2.9003266210523582</v>
      </c>
      <c r="CM62" s="21">
        <f>EXP(-LN(2)/2)*CM61+(1-EXP(-LN(2)/2))/(LN(2)/2)*CG62*CJ62*VLOOKUP('Données projet'!$B$12,Paramètres!$A$1:$I$89,3,0)*0.475*44/12</f>
        <v>0.40953061339171792</v>
      </c>
      <c r="CN62" s="22">
        <f t="shared" si="12"/>
        <v>3.3098572344440762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4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367.90794799554254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-1.7053025658242404E-13</v>
      </c>
      <c r="O63" s="13">
        <f>N63*VLOOKUP('Données projet'!$B$9,Paramètres!$A$1:$I$89,3,0)*VLOOKUP('Données projet'!$B$9,Paramètres!$A$1:$I$89,5,0)</f>
        <v>-1.0197709343628959E-13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235.90365770026909</v>
      </c>
      <c r="T63" s="59">
        <f t="shared" si="34"/>
        <v>348.09952585694253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98.881600695632002</v>
      </c>
      <c r="AA63" s="21">
        <f>EXP(-LN(2)/25)*AA62+(1-EXP(-LN(2)/25))/(LN(2)/25)*Calculateur!V63*Calculateur!X63*VLOOKUP('Données projet'!$B$9,Paramètres!$A$1:$I$89,3,0)*0.475*44/12</f>
        <v>32.144229375878773</v>
      </c>
      <c r="AB63" s="21">
        <f>EXP(-LN(2)/2)*AB62+(1-EXP(-LN(2)/2))/(LN(2)/2)*V63*Y63*VLOOKUP('Données projet'!$B$9,Paramètres!$A$1:$I$89,3,0)*0.475*44/12</f>
        <v>0.37913136116115909</v>
      </c>
      <c r="AC63" s="22">
        <f t="shared" si="3"/>
        <v>131.40496143267194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10.107499999999998</v>
      </c>
      <c r="AI63" s="13">
        <f>IF('Données projet'!$A$62&gt;35,AI62+AH63-AQ62,IF(A63&lt;'Données projet'!$A$62,$AF$205^A63,IF(A63='Données projet'!$A$62,'Données projet'!$B$62,AI62+AH63-AQ62)))</f>
        <v>226.12500000000028</v>
      </c>
      <c r="AJ63" s="13">
        <f>AI63*VLOOKUP('Données projet'!$B$10,Paramètres!$A$1:$I$89,3,0)*VLOOKUP('Données projet'!$B$10,Paramètres!$A$1:$I$89,5,0)</f>
        <v>204.59790000000024</v>
      </c>
      <c r="AK63" s="13">
        <f t="shared" si="35"/>
        <v>50.753306398717811</v>
      </c>
      <c r="AL63" s="20">
        <f t="shared" si="4"/>
        <v>444.73668447776726</v>
      </c>
      <c r="AM63" s="59">
        <f t="shared" si="5"/>
        <v>738.07001781110057</v>
      </c>
      <c r="AN63" s="59">
        <f ca="1">AVERAGE(OFFSET($AM$3,0,0,'Données projet'!$E$10+1,1))-AVERAGE(OFFSET($H$3,0,0,'Données projet'!$E$10+1,1))</f>
        <v>490.21869105612649</v>
      </c>
      <c r="AO63" s="59">
        <f t="shared" si="36"/>
        <v>207.08773997010911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34.506845274841467</v>
      </c>
      <c r="AW63" s="21">
        <f>EXP(-LN(2)/2)*AW62+(1-EXP(-LN(2)/2))/(LN(2)/2)*AQ63*AT63*VLOOKUP('Données projet'!$B$10,Paramètres!$A$1:$I$89,3,0)*0.475*44/12</f>
        <v>4.294990563730976</v>
      </c>
      <c r="AX63" s="21">
        <f t="shared" si="6"/>
        <v>38.801835838572444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121.15384615384616</v>
      </c>
      <c r="BB63" s="12">
        <f>VLOOKUP(A63,'Données projet'!$A$87:$I$107,9,0)</f>
        <v>3.2051282051282071</v>
      </c>
      <c r="BC63" s="12">
        <f t="array" ref="BC63">INDEX(BB:BB,MIN(IF(ISNUMBER(BB63:BB259),ROW(BB63:BB259),"")))</f>
        <v>3.2051282051282071</v>
      </c>
      <c r="BD63" s="12">
        <f>IF('Données projet'!$A$88&gt;35,BD62+BC63-BL62,IF(A63&lt;'Données projet'!$A$88,$BA$205^A63,IF(A63='Données projet'!$A$88,'Données projet'!$B$88,BD62+BC63-BL62)))</f>
        <v>121.1538461538461</v>
      </c>
      <c r="BE63" s="13">
        <f>BD63*VLOOKUP('Données projet'!$B$11,Paramètres!$A$1:$I$89,3,0)*VLOOKUP('Données projet'!$B$11,Paramètres!$A$1:$I$89,5,0)</f>
        <v>126.62999999999995</v>
      </c>
      <c r="BF63" s="13">
        <f t="shared" si="37"/>
        <v>33.216464931527199</v>
      </c>
      <c r="BG63" s="20">
        <f t="shared" si="7"/>
        <v>278.39925975574312</v>
      </c>
      <c r="BH63" s="59">
        <f t="shared" si="8"/>
        <v>571.73259308907643</v>
      </c>
      <c r="BI63" s="59">
        <f ca="1">AVERAGE(OFFSET($BH$3,0,0,'Données projet'!$E$11+1,1))-AVERAGE(OFFSET($H$3,0,0,'Données projet'!$E$11+1,1))</f>
        <v>144.01698107732989</v>
      </c>
      <c r="BJ63" s="59">
        <f t="shared" si="38"/>
        <v>139.28039875117332</v>
      </c>
      <c r="BK63" s="15">
        <f>IF(ISNA(VLOOKUP(A63,'Données projet'!$A$87:$I$107,3,0)),0,VLOOKUP(A63,'Données projet'!$A$87:$I$107,3,0))</f>
        <v>9</v>
      </c>
      <c r="BL63" s="15">
        <f>IF(ISNA(VLOOKUP(A63,'Données projet'!$A$87:$I$107,4,0)),0,VLOOKUP(A63,'Données projet'!$A$87:$I$107,4,0))</f>
        <v>10.256410256410255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0.215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0</v>
      </c>
      <c r="BQ63" s="21">
        <f>EXP(-LN(2)/25)*BQ62+(1-EXP(-LN(2)/25))/(LN(2)/25)*Calculateur!BL63*Calculateur!BN63*VLOOKUP('Données projet'!$B$11,Paramètres!$A$1:$I$89,3,0)*0.475*44/12</f>
        <v>16.485708619100112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16.485708619100112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102.56410256410257</v>
      </c>
      <c r="BW63" s="12">
        <f>VLOOKUP(A63,'Données projet'!$A$113:$I$133,9,0)</f>
        <v>2.6923076923076907</v>
      </c>
      <c r="BX63" s="12">
        <f t="array" ref="BX63">INDEX(BW:BW,MIN(IF(ISNUMBER(BW63:BW259),ROW(BW63:BW259),"")))</f>
        <v>2.6923076923076907</v>
      </c>
      <c r="BY63" s="12">
        <f>IF('Données projet'!$A$114&gt;35,BY62+BX63-CG62,IF(A63&lt;'Données projet'!$A$114,$BV$205^A63,IF(A63='Données projet'!$A$114,'Données projet'!$B$114,BY62+BX63-CG62)))</f>
        <v>102.56410256410254</v>
      </c>
      <c r="BZ63" s="13">
        <f>BY63*VLOOKUP('Données projet'!$B$12,Paramètres!$A$1:$I$89,3,0)*VLOOKUP('Données projet'!$B$12,Paramètres!$A$1:$I$89,5,0)</f>
        <v>83.199999999999989</v>
      </c>
      <c r="CA63" s="13">
        <f t="shared" si="39"/>
        <v>22.917805851806389</v>
      </c>
      <c r="CB63" s="20">
        <f t="shared" si="10"/>
        <v>184.82184519189613</v>
      </c>
      <c r="CC63" s="59">
        <f t="shared" si="11"/>
        <v>478.15517852522942</v>
      </c>
      <c r="CD63" s="59">
        <f ca="1">AVERAGE(OFFSET($CC$3,0,0,'Données projet'!$E$12+1,1))-AVERAGE(OFFSET($H$3,0,0,'Données projet'!$E$12+1,1))</f>
        <v>72.953866894533007</v>
      </c>
      <c r="CE63" s="59">
        <f t="shared" si="40"/>
        <v>60.640359826163092</v>
      </c>
      <c r="CF63" s="15">
        <f>IF(ISNA(VLOOKUP(A63,'Données projet'!$A$113:$I$133,3,0)),0,VLOOKUP(A63,'Données projet'!$A$113:$I$133,3,0))</f>
        <v>10</v>
      </c>
      <c r="CG63" s="15">
        <f>IF(ISNA(VLOOKUP(A63,'Données projet'!$A$113:$I$133,4,0)),0,VLOOKUP(A63,'Données projet'!$A$113:$I$133,4,0))</f>
        <v>7.0512820512820511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0.1075</v>
      </c>
      <c r="CJ63" s="16">
        <f>IF(ISNA(VLOOKUP(A63,'Données projet'!$A$113:$I$133,7,0)),0%,VLOOKUP(A63,'Données projet'!$A$113:$I$133,7,0))</f>
        <v>0.25</v>
      </c>
      <c r="CK63" s="21">
        <f>EXP(-LN(2)/35)*CK62+(1-EXP(-LN(2)/35))/(LN(2)/35)*CG63*CH63*VLOOKUP('Données projet'!$B$12,Paramètres!$A$1:$I$89,3,0)*0.475*44/12</f>
        <v>0</v>
      </c>
      <c r="CL63" s="21">
        <f>EXP(-LN(2)/25)*CL62+(1-EXP(-LN(2)/25))/(LN(2)/25)*Calculateur!CG63*Calculateur!CI63*VLOOKUP('Données projet'!$B$12,Paramètres!$A$1:$I$89,3,0)*0.475*44/12</f>
        <v>3.4980943239863573</v>
      </c>
      <c r="CM63" s="21">
        <f>EXP(-LN(2)/2)*CM62+(1-EXP(-LN(2)/2))/(LN(2)/2)*CG63*CJ63*VLOOKUP('Données projet'!$B$12,Paramètres!$A$1:$I$89,3,0)*0.475*44/12</f>
        <v>1.6388253617184754</v>
      </c>
      <c r="CN63" s="22">
        <f t="shared" si="12"/>
        <v>5.1369196857048323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4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369.11662536915674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-1.7053025658242404E-13</v>
      </c>
      <c r="O64" s="13">
        <f>N64*VLOOKUP('Données projet'!$B$9,Paramètres!$A$1:$I$89,3,0)*VLOOKUP('Données projet'!$B$9,Paramètres!$A$1:$I$89,5,0)</f>
        <v>-1.0197709343628959E-13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235.90365770026909</v>
      </c>
      <c r="T64" s="59">
        <f t="shared" si="34"/>
        <v>348.09952585694253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96.942592817811786</v>
      </c>
      <c r="AA64" s="21">
        <f>EXP(-LN(2)/25)*AA63+(1-EXP(-LN(2)/25))/(LN(2)/25)*Calculateur!V64*Calculateur!X64*VLOOKUP('Données projet'!$B$9,Paramètres!$A$1:$I$89,3,0)*0.475*44/12</f>
        <v>31.26524373320381</v>
      </c>
      <c r="AB64" s="21">
        <f>EXP(-LN(2)/2)*AB63+(1-EXP(-LN(2)/2))/(LN(2)/2)*V64*Y64*VLOOKUP('Données projet'!$B$9,Paramètres!$A$1:$I$89,3,0)*0.475*44/12</f>
        <v>0.26808635643754164</v>
      </c>
      <c r="AC64" s="22">
        <f t="shared" si="3"/>
        <v>128.47592290745314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10.107499999999998</v>
      </c>
      <c r="AI64" s="13">
        <f>IF('Données projet'!$A$62&gt;35,AI63+AH64-AQ63,IF(A64&lt;'Données projet'!$A$62,$AF$205^A64,IF(A64='Données projet'!$A$62,'Données projet'!$B$62,AI63+AH64-AQ63)))</f>
        <v>236.23250000000027</v>
      </c>
      <c r="AJ64" s="13">
        <f>AI64*VLOOKUP('Données projet'!$B$10,Paramètres!$A$1:$I$89,3,0)*VLOOKUP('Données projet'!$B$10,Paramètres!$A$1:$I$89,5,0)</f>
        <v>213.74316600000023</v>
      </c>
      <c r="AK64" s="13">
        <f t="shared" si="35"/>
        <v>52.752718660626023</v>
      </c>
      <c r="AL64" s="20">
        <f t="shared" si="4"/>
        <v>464.14699911725734</v>
      </c>
      <c r="AM64" s="59">
        <f t="shared" si="5"/>
        <v>757.48033245059059</v>
      </c>
      <c r="AN64" s="59">
        <f ca="1">AVERAGE(OFFSET($AM$3,0,0,'Données projet'!$E$10+1,1))-AVERAGE(OFFSET($H$3,0,0,'Données projet'!$E$10+1,1))</f>
        <v>490.21869105612649</v>
      </c>
      <c r="AO64" s="59">
        <f t="shared" si="36"/>
        <v>207.08773997010911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</v>
      </c>
      <c r="AV64" s="21">
        <f>EXP(-LN(2)/25)*AV63+(1-EXP(-LN(2)/25))/(LN(2)/25)*Calculateur!AQ64*Calculateur!AS64*VLOOKUP('Données projet'!$B$10,Paramètres!$A$1:$I$89,3,0)*0.475*44/12</f>
        <v>33.5632537761648</v>
      </c>
      <c r="AW64" s="21">
        <f>EXP(-LN(2)/2)*AW63+(1-EXP(-LN(2)/2))/(LN(2)/2)*AQ64*AT64*VLOOKUP('Données projet'!$B$10,Paramètres!$A$1:$I$89,3,0)*0.475*44/12</f>
        <v>3.0370169527464057</v>
      </c>
      <c r="AX64" s="21">
        <f t="shared" si="6"/>
        <v>36.600270728911205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2.8205128205128176</v>
      </c>
      <c r="BD64" s="12">
        <f>IF('Données projet'!$A$88&gt;35,BD63+BC64-BL63,IF(A64&lt;'Données projet'!$A$88,$BA$205^A64,IF(A64='Données projet'!$A$88,'Données projet'!$B$88,BD63+BC64-BL63)))</f>
        <v>113.71794871794867</v>
      </c>
      <c r="BE64" s="13">
        <f>BD64*VLOOKUP('Données projet'!$B$11,Paramètres!$A$1:$I$89,3,0)*VLOOKUP('Données projet'!$B$11,Paramètres!$A$1:$I$89,5,0)</f>
        <v>118.85799999999996</v>
      </c>
      <c r="BF64" s="13">
        <f t="shared" si="37"/>
        <v>31.408498497995616</v>
      </c>
      <c r="BG64" s="20">
        <f t="shared" si="7"/>
        <v>261.71415155067558</v>
      </c>
      <c r="BH64" s="59">
        <f t="shared" si="8"/>
        <v>555.0474848840089</v>
      </c>
      <c r="BI64" s="59">
        <f ca="1">AVERAGE(OFFSET($BH$3,0,0,'Données projet'!$E$11+1,1))-AVERAGE(OFFSET($H$3,0,0,'Données projet'!$E$11+1,1))</f>
        <v>144.01698107732989</v>
      </c>
      <c r="BJ64" s="59">
        <f t="shared" si="38"/>
        <v>139.28039875117332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</v>
      </c>
      <c r="BQ64" s="21">
        <f>EXP(-LN(2)/25)*BQ63+(1-EXP(-LN(2)/25))/(LN(2)/25)*Calculateur!BL64*Calculateur!BN64*VLOOKUP('Données projet'!$B$11,Paramètres!$A$1:$I$89,3,0)*0.475*44/12</f>
        <v>16.03490604996508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16.03490604996508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2.5641025641025634</v>
      </c>
      <c r="BY64" s="12">
        <f>IF('Données projet'!$A$114&gt;35,BY63+BX64-CG63,IF(A64&lt;'Données projet'!$A$114,$BV$205^A64,IF(A64='Données projet'!$A$114,'Données projet'!$B$114,BY63+BX64-CG63)))</f>
        <v>98.076923076923066</v>
      </c>
      <c r="BZ64" s="13">
        <f>BY64*VLOOKUP('Données projet'!$B$12,Paramètres!$A$1:$I$89,3,0)*VLOOKUP('Données projet'!$B$12,Paramètres!$A$1:$I$89,5,0)</f>
        <v>79.559999999999988</v>
      </c>
      <c r="CA64" s="13">
        <f t="shared" si="39"/>
        <v>22.029567333453311</v>
      </c>
      <c r="CB64" s="20">
        <f t="shared" si="10"/>
        <v>176.93516310576447</v>
      </c>
      <c r="CC64" s="59">
        <f t="shared" si="11"/>
        <v>470.26849643909782</v>
      </c>
      <c r="CD64" s="59">
        <f ca="1">AVERAGE(OFFSET($CC$3,0,0,'Données projet'!$E$12+1,1))-AVERAGE(OFFSET($H$3,0,0,'Données projet'!$E$12+1,1))</f>
        <v>72.953866894533007</v>
      </c>
      <c r="CE64" s="59">
        <f t="shared" si="40"/>
        <v>60.640359826163092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0</v>
      </c>
      <c r="CL64" s="21">
        <f>EXP(-LN(2)/25)*CL63+(1-EXP(-LN(2)/25))/(LN(2)/25)*Calculateur!CG64*Calculateur!CI64*VLOOKUP('Données projet'!$B$12,Paramètres!$A$1:$I$89,3,0)*0.475*44/12</f>
        <v>3.4024387507401648</v>
      </c>
      <c r="CM64" s="21">
        <f>EXP(-LN(2)/2)*CM63+(1-EXP(-LN(2)/2))/(LN(2)/2)*CG64*CJ64*VLOOKUP('Données projet'!$B$12,Paramètres!$A$1:$I$89,3,0)*0.475*44/12</f>
        <v>1.1588245264516306</v>
      </c>
      <c r="CN64" s="22">
        <f t="shared" si="12"/>
        <v>4.5612632771917951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4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370.32481139389552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-1.7053025658242404E-13</v>
      </c>
      <c r="O65" s="13">
        <f>N65*VLOOKUP('Données projet'!$B$9,Paramètres!$A$1:$I$89,3,0)*VLOOKUP('Données projet'!$B$9,Paramètres!$A$1:$I$89,5,0)</f>
        <v>-1.0197709343628959E-13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235.90365770026909</v>
      </c>
      <c r="T65" s="59">
        <f t="shared" si="34"/>
        <v>348.09952585694253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95.041607701797602</v>
      </c>
      <c r="AA65" s="21">
        <f>EXP(-LN(2)/25)*AA64+(1-EXP(-LN(2)/25))/(LN(2)/25)*Calculateur!V65*Calculateur!X65*VLOOKUP('Données projet'!$B$9,Paramètres!$A$1:$I$89,3,0)*0.475*44/12</f>
        <v>30.410293999151641</v>
      </c>
      <c r="AB65" s="21">
        <f>EXP(-LN(2)/2)*AB64+(1-EXP(-LN(2)/2))/(LN(2)/2)*V65*Y65*VLOOKUP('Données projet'!$B$9,Paramètres!$A$1:$I$89,3,0)*0.475*44/12</f>
        <v>0.18956568058057954</v>
      </c>
      <c r="AC65" s="22">
        <f t="shared" si="3"/>
        <v>125.64146738152982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10.107499999999998</v>
      </c>
      <c r="AI65" s="13">
        <f>IF('Données projet'!$A$62&gt;35,AI64+AH65-AQ64,IF(A65&lt;'Données projet'!$A$62,$AF$205^A65,IF(A65='Données projet'!$A$62,'Données projet'!$B$62,AI64+AH65-AQ64)))</f>
        <v>246.34000000000026</v>
      </c>
      <c r="AJ65" s="13">
        <f>AI65*VLOOKUP('Données projet'!$B$10,Paramètres!$A$1:$I$89,3,0)*VLOOKUP('Données projet'!$B$10,Paramètres!$A$1:$I$89,5,0)</f>
        <v>222.88843200000022</v>
      </c>
      <c r="AK65" s="13">
        <f t="shared" si="35"/>
        <v>54.74219476708182</v>
      </c>
      <c r="AL65" s="20">
        <f t="shared" si="4"/>
        <v>483.54000828600118</v>
      </c>
      <c r="AM65" s="59">
        <f t="shared" si="5"/>
        <v>776.8733416193345</v>
      </c>
      <c r="AN65" s="59">
        <f ca="1">AVERAGE(OFFSET($AM$3,0,0,'Données projet'!$E$10+1,1))-AVERAGE(OFFSET($H$3,0,0,'Données projet'!$E$10+1,1))</f>
        <v>490.21869105612649</v>
      </c>
      <c r="AO65" s="59">
        <f t="shared" si="36"/>
        <v>207.08773997010911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</v>
      </c>
      <c r="AV65" s="21">
        <f>EXP(-LN(2)/25)*AV64+(1-EXP(-LN(2)/25))/(LN(2)/25)*Calculateur!AQ65*Calculateur!AS65*VLOOKUP('Données projet'!$B$10,Paramètres!$A$1:$I$89,3,0)*0.475*44/12</f>
        <v>32.64546483664077</v>
      </c>
      <c r="AW65" s="21">
        <f>EXP(-LN(2)/2)*AW64+(1-EXP(-LN(2)/2))/(LN(2)/2)*AQ65*AT65*VLOOKUP('Données projet'!$B$10,Paramètres!$A$1:$I$89,3,0)*0.475*44/12</f>
        <v>2.147495281865488</v>
      </c>
      <c r="AX65" s="21">
        <f t="shared" si="6"/>
        <v>34.792960118506258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2.8205128205128176</v>
      </c>
      <c r="BD65" s="12">
        <f>IF('Données projet'!$A$88&gt;35,BD64+BC65-BL64,IF(A65&lt;'Données projet'!$A$88,$BA$205^A65,IF(A65='Données projet'!$A$88,'Données projet'!$B$88,BD64+BC65-BL64)))</f>
        <v>116.53846153846149</v>
      </c>
      <c r="BE65" s="13">
        <f>BD65*VLOOKUP('Données projet'!$B$11,Paramètres!$A$1:$I$89,3,0)*VLOOKUP('Données projet'!$B$11,Paramètres!$A$1:$I$89,5,0)</f>
        <v>121.80599999999997</v>
      </c>
      <c r="BF65" s="13">
        <f t="shared" si="37"/>
        <v>32.09585223561038</v>
      </c>
      <c r="BG65" s="20">
        <f t="shared" si="7"/>
        <v>268.04572597702139</v>
      </c>
      <c r="BH65" s="59">
        <f t="shared" si="8"/>
        <v>561.37905931035471</v>
      </c>
      <c r="BI65" s="59">
        <f ca="1">AVERAGE(OFFSET($BH$3,0,0,'Données projet'!$E$11+1,1))-AVERAGE(OFFSET($H$3,0,0,'Données projet'!$E$11+1,1))</f>
        <v>144.01698107732989</v>
      </c>
      <c r="BJ65" s="59">
        <f t="shared" si="38"/>
        <v>139.28039875117332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</v>
      </c>
      <c r="BQ65" s="21">
        <f>EXP(-LN(2)/25)*BQ64+(1-EXP(-LN(2)/25))/(LN(2)/25)*Calculateur!BL65*Calculateur!BN65*VLOOKUP('Données projet'!$B$11,Paramètres!$A$1:$I$89,3,0)*0.475*44/12</f>
        <v>15.596430700789725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15.596430700789725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2.5641025641025634</v>
      </c>
      <c r="BY65" s="12">
        <f>IF('Données projet'!$A$114&gt;35,BY64+BX65-CG64,IF(A65&lt;'Données projet'!$A$114,$BV$205^A65,IF(A65='Données projet'!$A$114,'Données projet'!$B$114,BY64+BX65-CG64)))</f>
        <v>100.64102564102564</v>
      </c>
      <c r="BZ65" s="13">
        <f>BY65*VLOOKUP('Données projet'!$B$12,Paramètres!$A$1:$I$89,3,0)*VLOOKUP('Données projet'!$B$12,Paramètres!$A$1:$I$89,5,0)</f>
        <v>81.64</v>
      </c>
      <c r="CA65" s="13">
        <f t="shared" si="39"/>
        <v>22.537697845766751</v>
      </c>
      <c r="CB65" s="20">
        <f t="shared" si="10"/>
        <v>181.44282374804376</v>
      </c>
      <c r="CC65" s="59">
        <f t="shared" si="11"/>
        <v>474.77615708137705</v>
      </c>
      <c r="CD65" s="59">
        <f ca="1">AVERAGE(OFFSET($CC$3,0,0,'Données projet'!$E$12+1,1))-AVERAGE(OFFSET($H$3,0,0,'Données projet'!$E$12+1,1))</f>
        <v>72.953866894533007</v>
      </c>
      <c r="CE65" s="59">
        <f t="shared" si="40"/>
        <v>60.640359826163092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0</v>
      </c>
      <c r="CL65" s="21">
        <f>EXP(-LN(2)/25)*CL64+(1-EXP(-LN(2)/25))/(LN(2)/25)*Calculateur!CG65*Calculateur!CI65*VLOOKUP('Données projet'!$B$12,Paramètres!$A$1:$I$89,3,0)*0.475*44/12</f>
        <v>3.3093988841746973</v>
      </c>
      <c r="CM65" s="21">
        <f>EXP(-LN(2)/2)*CM64+(1-EXP(-LN(2)/2))/(LN(2)/2)*CG65*CJ65*VLOOKUP('Données projet'!$B$12,Paramètres!$A$1:$I$89,3,0)*0.475*44/12</f>
        <v>0.8194126808592378</v>
      </c>
      <c r="CN65" s="22">
        <f t="shared" si="12"/>
        <v>4.128811565033935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4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371.53251490968091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-1.7053025658242404E-13</v>
      </c>
      <c r="O66" s="13">
        <f>N66*VLOOKUP('Données projet'!$B$9,Paramètres!$A$1:$I$89,3,0)*VLOOKUP('Données projet'!$B$9,Paramètres!$A$1:$I$89,5,0)</f>
        <v>-1.0197709343628959E-13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235.90365770026909</v>
      </c>
      <c r="T66" s="59">
        <f t="shared" si="34"/>
        <v>348.09952585694253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93.177899744422021</v>
      </c>
      <c r="AA66" s="21">
        <f>EXP(-LN(2)/25)*AA65+(1-EXP(-LN(2)/25))/(LN(2)/25)*Calculateur!V66*Calculateur!X66*VLOOKUP('Données projet'!$B$9,Paramètres!$A$1:$I$89,3,0)*0.475*44/12</f>
        <v>29.578722910536982</v>
      </c>
      <c r="AB66" s="21">
        <f>EXP(-LN(2)/2)*AB65+(1-EXP(-LN(2)/2))/(LN(2)/2)*V66*Y66*VLOOKUP('Données projet'!$B$9,Paramètres!$A$1:$I$89,3,0)*0.475*44/12</f>
        <v>0.13404317821877082</v>
      </c>
      <c r="AC66" s="22">
        <f t="shared" si="3"/>
        <v>122.89066583317778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10.107499999999998</v>
      </c>
      <c r="AI66" s="13">
        <f>IF('Données projet'!$A$62&gt;35,AI65+AH66-AQ65,IF(A66&lt;'Données projet'!$A$62,$AF$205^A66,IF(A66='Données projet'!$A$62,'Données projet'!$B$62,AI65+AH66-AQ65)))</f>
        <v>256.44750000000028</v>
      </c>
      <c r="AJ66" s="13">
        <f>AI66*VLOOKUP('Données projet'!$B$10,Paramètres!$A$1:$I$89,3,0)*VLOOKUP('Données projet'!$B$10,Paramètres!$A$1:$I$89,5,0)</f>
        <v>232.03369800000024</v>
      </c>
      <c r="AK66" s="13">
        <f t="shared" si="35"/>
        <v>56.722189034958802</v>
      </c>
      <c r="AL66" s="20">
        <f t="shared" si="4"/>
        <v>502.91650325255364</v>
      </c>
      <c r="AM66" s="59">
        <f t="shared" si="5"/>
        <v>796.2498365858869</v>
      </c>
      <c r="AN66" s="59">
        <f ca="1">AVERAGE(OFFSET($AM$3,0,0,'Données projet'!$E$10+1,1))-AVERAGE(OFFSET($H$3,0,0,'Données projet'!$E$10+1,1))</f>
        <v>490.21869105612649</v>
      </c>
      <c r="AO66" s="59">
        <f t="shared" si="36"/>
        <v>207.08773997010911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0</v>
      </c>
      <c r="AV66" s="21">
        <f>EXP(-LN(2)/25)*AV65+(1-EXP(-LN(2)/25))/(LN(2)/25)*Calculateur!AQ66*Calculateur!AS66*VLOOKUP('Données projet'!$B$10,Paramètres!$A$1:$I$89,3,0)*0.475*44/12</f>
        <v>31.752772883932444</v>
      </c>
      <c r="AW66" s="21">
        <f>EXP(-LN(2)/2)*AW65+(1-EXP(-LN(2)/2))/(LN(2)/2)*AQ66*AT66*VLOOKUP('Données projet'!$B$10,Paramètres!$A$1:$I$89,3,0)*0.475*44/12</f>
        <v>1.5185084763732029</v>
      </c>
      <c r="AX66" s="21">
        <f t="shared" si="6"/>
        <v>33.27128136030565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2.8205128205128176</v>
      </c>
      <c r="BD66" s="12">
        <f>IF('Données projet'!$A$88&gt;35,BD65+BC66-BL65,IF(A66&lt;'Données projet'!$A$88,$BA$205^A66,IF(A66='Données projet'!$A$88,'Données projet'!$B$88,BD65+BC66-BL65)))</f>
        <v>119.35897435897431</v>
      </c>
      <c r="BE66" s="13">
        <f>BD66*VLOOKUP('Données projet'!$B$11,Paramètres!$A$1:$I$89,3,0)*VLOOKUP('Données projet'!$B$11,Paramètres!$A$1:$I$89,5,0)</f>
        <v>124.75399999999996</v>
      </c>
      <c r="BF66" s="13">
        <f t="shared" si="37"/>
        <v>32.781272112057287</v>
      </c>
      <c r="BG66" s="20">
        <f t="shared" si="7"/>
        <v>274.37393226183303</v>
      </c>
      <c r="BH66" s="59">
        <f t="shared" si="8"/>
        <v>567.70726559516629</v>
      </c>
      <c r="BI66" s="59">
        <f ca="1">AVERAGE(OFFSET($BH$3,0,0,'Données projet'!$E$11+1,1))-AVERAGE(OFFSET($H$3,0,0,'Données projet'!$E$11+1,1))</f>
        <v>144.01698107732989</v>
      </c>
      <c r="BJ66" s="59">
        <f t="shared" si="38"/>
        <v>139.28039875117332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0</v>
      </c>
      <c r="BQ66" s="21">
        <f>EXP(-LN(2)/25)*BQ65+(1-EXP(-LN(2)/25))/(LN(2)/25)*Calculateur!BL66*Calculateur!BN66*VLOOKUP('Données projet'!$B$11,Paramètres!$A$1:$I$89,3,0)*0.475*44/12</f>
        <v>15.169945483095985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15.169945483095985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2.5641025641025634</v>
      </c>
      <c r="BY66" s="12">
        <f>IF('Données projet'!$A$114&gt;35,BY65+BX66-CG65,IF(A66&lt;'Données projet'!$A$114,$BV$205^A66,IF(A66='Données projet'!$A$114,'Données projet'!$B$114,BY65+BX66-CG65)))</f>
        <v>103.2051282051282</v>
      </c>
      <c r="BZ66" s="13">
        <f>BY66*VLOOKUP('Données projet'!$B$12,Paramètres!$A$1:$I$89,3,0)*VLOOKUP('Données projet'!$B$12,Paramètres!$A$1:$I$89,5,0)</f>
        <v>83.720000000000013</v>
      </c>
      <c r="CA66" s="13">
        <f t="shared" si="39"/>
        <v>23.044323503842598</v>
      </c>
      <c r="CB66" s="20">
        <f t="shared" si="10"/>
        <v>185.9478634358592</v>
      </c>
      <c r="CC66" s="59">
        <f t="shared" si="11"/>
        <v>479.28119676919255</v>
      </c>
      <c r="CD66" s="59">
        <f ca="1">AVERAGE(OFFSET($CC$3,0,0,'Données projet'!$E$12+1,1))-AVERAGE(OFFSET($H$3,0,0,'Données projet'!$E$12+1,1))</f>
        <v>72.953866894533007</v>
      </c>
      <c r="CE66" s="59">
        <f t="shared" si="40"/>
        <v>60.640359826163092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0</v>
      </c>
      <c r="CL66" s="21">
        <f>EXP(-LN(2)/25)*CL65+(1-EXP(-LN(2)/25))/(LN(2)/25)*Calculateur!CG66*Calculateur!CI66*VLOOKUP('Données projet'!$B$12,Paramètres!$A$1:$I$89,3,0)*0.475*44/12</f>
        <v>3.2189031976532165</v>
      </c>
      <c r="CM66" s="21">
        <f>EXP(-LN(2)/2)*CM65+(1-EXP(-LN(2)/2))/(LN(2)/2)*CG66*CJ66*VLOOKUP('Données projet'!$B$12,Paramètres!$A$1:$I$89,3,0)*0.475*44/12</f>
        <v>0.5794122632258154</v>
      </c>
      <c r="CN66" s="22">
        <f t="shared" si="12"/>
        <v>3.7983154608790319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4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372.73974445970646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-1.7053025658242404E-13</v>
      </c>
      <c r="O67" s="13">
        <f>N67*VLOOKUP('Données projet'!$B$9,Paramètres!$A$1:$I$89,3,0)*VLOOKUP('Données projet'!$B$9,Paramètres!$A$1:$I$89,5,0)</f>
        <v>-1.0197709343628959E-13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235.90365770026909</v>
      </c>
      <c r="T67" s="59">
        <f t="shared" si="34"/>
        <v>348.09952585694253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91.350737963340961</v>
      </c>
      <c r="AA67" s="21">
        <f>EXP(-LN(2)/25)*AA66+(1-EXP(-LN(2)/25))/(LN(2)/25)*Calculateur!V67*Calculateur!X67*VLOOKUP('Données projet'!$B$9,Paramètres!$A$1:$I$89,3,0)*0.475*44/12</f>
        <v>28.769891177070914</v>
      </c>
      <c r="AB67" s="21">
        <f>EXP(-LN(2)/2)*AB66+(1-EXP(-LN(2)/2))/(LN(2)/2)*V67*Y67*VLOOKUP('Données projet'!$B$9,Paramètres!$A$1:$I$89,3,0)*0.475*44/12</f>
        <v>9.4782840290289772E-2</v>
      </c>
      <c r="AC67" s="22">
        <f t="shared" si="3"/>
        <v>120.21541198070217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10.107499999999998</v>
      </c>
      <c r="AI67" s="13">
        <f>IF('Données projet'!$A$62&gt;35,AI66+AH67-AQ66,IF(A67&lt;'Données projet'!$A$62,$AF$205^A67,IF(A67='Données projet'!$A$62,'Données projet'!$B$62,AI66+AH67-AQ66)))</f>
        <v>266.55500000000029</v>
      </c>
      <c r="AJ67" s="13">
        <f>AI67*VLOOKUP('Données projet'!$B$10,Paramètres!$A$1:$I$89,3,0)*VLOOKUP('Données projet'!$B$10,Paramètres!$A$1:$I$89,5,0)</f>
        <v>241.17896400000026</v>
      </c>
      <c r="AK67" s="13">
        <f t="shared" si="35"/>
        <v>58.693117941200413</v>
      </c>
      <c r="AL67" s="20">
        <f t="shared" si="4"/>
        <v>522.27720938092455</v>
      </c>
      <c r="AM67" s="59">
        <f t="shared" si="5"/>
        <v>815.61054271425792</v>
      </c>
      <c r="AN67" s="59">
        <f ca="1">AVERAGE(OFFSET($AM$3,0,0,'Données projet'!$E$10+1,1))-AVERAGE(OFFSET($H$3,0,0,'Données projet'!$E$10+1,1))</f>
        <v>490.21869105612649</v>
      </c>
      <c r="AO67" s="59">
        <f t="shared" si="36"/>
        <v>207.08773997010911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0</v>
      </c>
      <c r="AV67" s="21">
        <f>EXP(-LN(2)/25)*AV66+(1-EXP(-LN(2)/25))/(LN(2)/25)*Calculateur!AQ67*Calculateur!AS67*VLOOKUP('Données projet'!$B$10,Paramètres!$A$1:$I$89,3,0)*0.475*44/12</f>
        <v>30.884491639615558</v>
      </c>
      <c r="AW67" s="21">
        <f>EXP(-LN(2)/2)*AW66+(1-EXP(-LN(2)/2))/(LN(2)/2)*AQ67*AT67*VLOOKUP('Données projet'!$B$10,Paramètres!$A$1:$I$89,3,0)*0.475*44/12</f>
        <v>1.073747640932744</v>
      </c>
      <c r="AX67" s="21">
        <f t="shared" si="6"/>
        <v>31.958239280548302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2.8205128205128176</v>
      </c>
      <c r="BD67" s="12">
        <f>IF('Données projet'!$A$88&gt;35,BD66+BC67-BL66,IF(A67&lt;'Données projet'!$A$88,$BA$205^A67,IF(A67='Données projet'!$A$88,'Données projet'!$B$88,BD66+BC67-BL66)))</f>
        <v>122.17948717948713</v>
      </c>
      <c r="BE67" s="13">
        <f>BD67*VLOOKUP('Données projet'!$B$11,Paramètres!$A$1:$I$89,3,0)*VLOOKUP('Données projet'!$B$11,Paramètres!$A$1:$I$89,5,0)</f>
        <v>127.70199999999996</v>
      </c>
      <c r="BF67" s="13">
        <f t="shared" si="37"/>
        <v>33.464809084200624</v>
      </c>
      <c r="BG67" s="20">
        <f t="shared" si="7"/>
        <v>280.69885915498264</v>
      </c>
      <c r="BH67" s="59">
        <f t="shared" si="8"/>
        <v>574.03219248831601</v>
      </c>
      <c r="BI67" s="59">
        <f ca="1">AVERAGE(OFFSET($BH$3,0,0,'Données projet'!$E$11+1,1))-AVERAGE(OFFSET($H$3,0,0,'Données projet'!$E$11+1,1))</f>
        <v>144.01698107732989</v>
      </c>
      <c r="BJ67" s="59">
        <f t="shared" si="38"/>
        <v>139.28039875117332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0</v>
      </c>
      <c r="BQ67" s="21">
        <f>EXP(-LN(2)/25)*BQ66+(1-EXP(-LN(2)/25))/(LN(2)/25)*Calculateur!BL67*Calculateur!BN67*VLOOKUP('Données projet'!$B$11,Paramètres!$A$1:$I$89,3,0)*0.475*44/12</f>
        <v>14.755122526107964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14.755122526107964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2.5641025641025634</v>
      </c>
      <c r="BY67" s="12">
        <f>IF('Données projet'!$A$114&gt;35,BY66+BX67-CG66,IF(A67&lt;'Données projet'!$A$114,$BV$205^A67,IF(A67='Données projet'!$A$114,'Données projet'!$B$114,BY66+BX67-CG66)))</f>
        <v>105.76923076923077</v>
      </c>
      <c r="BZ67" s="13">
        <f>BY67*VLOOKUP('Données projet'!$B$12,Paramètres!$A$1:$I$89,3,0)*VLOOKUP('Données projet'!$B$12,Paramètres!$A$1:$I$89,5,0)</f>
        <v>85.800000000000011</v>
      </c>
      <c r="CA67" s="13">
        <f t="shared" si="39"/>
        <v>23.549485995669766</v>
      </c>
      <c r="CB67" s="20">
        <f t="shared" si="10"/>
        <v>190.45035477579154</v>
      </c>
      <c r="CC67" s="59">
        <f t="shared" si="11"/>
        <v>483.78368810912485</v>
      </c>
      <c r="CD67" s="59">
        <f ca="1">AVERAGE(OFFSET($CC$3,0,0,'Données projet'!$E$12+1,1))-AVERAGE(OFFSET($H$3,0,0,'Données projet'!$E$12+1,1))</f>
        <v>72.953866894533007</v>
      </c>
      <c r="CE67" s="59">
        <f t="shared" si="40"/>
        <v>60.640359826163092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0</v>
      </c>
      <c r="CL67" s="21">
        <f>EXP(-LN(2)/25)*CL66+(1-EXP(-LN(2)/25))/(LN(2)/25)*Calculateur!CG67*Calculateur!CI67*VLOOKUP('Données projet'!$B$12,Paramètres!$A$1:$I$89,3,0)*0.475*44/12</f>
        <v>3.1308821204386272</v>
      </c>
      <c r="CM67" s="21">
        <f>EXP(-LN(2)/2)*CM66+(1-EXP(-LN(2)/2))/(LN(2)/2)*CG67*CJ67*VLOOKUP('Données projet'!$B$12,Paramètres!$A$1:$I$89,3,0)*0.475*44/12</f>
        <v>0.40970634042961895</v>
      </c>
      <c r="CN67" s="22">
        <f t="shared" si="12"/>
        <v>3.5405884608682463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4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373.94650830487547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-1.7053025658242404E-13</v>
      </c>
      <c r="O68" s="13">
        <f>N68*VLOOKUP('Données projet'!$B$9,Paramètres!$A$1:$I$89,3,0)*VLOOKUP('Données projet'!$B$9,Paramètres!$A$1:$I$89,5,0)</f>
        <v>-1.0197709343628959E-13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235.90365770026909</v>
      </c>
      <c r="T68" s="59">
        <f t="shared" si="34"/>
        <v>348.09952585694253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89.559405710328264</v>
      </c>
      <c r="AA68" s="21">
        <f>EXP(-LN(2)/25)*AA67+(1-EXP(-LN(2)/25))/(LN(2)/25)*Calculateur!V68*Calculateur!X68*VLOOKUP('Données projet'!$B$9,Paramètres!$A$1:$I$89,3,0)*0.475*44/12</f>
        <v>27.983176989891088</v>
      </c>
      <c r="AB68" s="21">
        <f>EXP(-LN(2)/2)*AB67+(1-EXP(-LN(2)/2))/(LN(2)/2)*V68*Y68*VLOOKUP('Données projet'!$B$9,Paramètres!$A$1:$I$89,3,0)*0.475*44/12</f>
        <v>6.702158910938541E-2</v>
      </c>
      <c r="AC68" s="22">
        <f t="shared" ref="AC68:AC131" si="57">SUM(Z68:AB68)</f>
        <v>117.60960428932874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10.107499999999998</v>
      </c>
      <c r="AI68" s="13">
        <f>IF('Données projet'!$A$62&gt;35,AI67+AH68-AQ67,IF(A68&lt;'Données projet'!$A$62,$AF$205^A68,IF(A68='Données projet'!$A$62,'Données projet'!$B$62,AI67+AH68-AQ67)))</f>
        <v>276.66250000000031</v>
      </c>
      <c r="AJ68" s="13">
        <f>AI68*VLOOKUP('Données projet'!$B$10,Paramètres!$A$1:$I$89,3,0)*VLOOKUP('Données projet'!$B$10,Paramètres!$A$1:$I$89,5,0)</f>
        <v>250.32423000000026</v>
      </c>
      <c r="AK68" s="13">
        <f t="shared" si="35"/>
        <v>60.655364588948935</v>
      </c>
      <c r="AL68" s="20">
        <f t="shared" ref="AL68:AL131" si="58">(AJ68+AK68)*0.475*44/12</f>
        <v>541.62279390908645</v>
      </c>
      <c r="AM68" s="59">
        <f t="shared" ref="AM68:AM131" si="59">AL68+(AD68+AE68)*44/12</f>
        <v>834.95612724241983</v>
      </c>
      <c r="AN68" s="59">
        <f ca="1">AVERAGE(OFFSET($AM$3,0,0,'Données projet'!$E$10+1,1))-AVERAGE(OFFSET($H$3,0,0,'Données projet'!$E$10+1,1))</f>
        <v>490.21869105612649</v>
      </c>
      <c r="AO68" s="59">
        <f t="shared" si="36"/>
        <v>207.08773997010911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0</v>
      </c>
      <c r="AV68" s="21">
        <f>EXP(-LN(2)/25)*AV67+(1-EXP(-LN(2)/25))/(LN(2)/25)*Calculateur!AQ68*Calculateur!AS68*VLOOKUP('Données projet'!$B$10,Paramètres!$A$1:$I$89,3,0)*0.475*44/12</f>
        <v>30.039953591585441</v>
      </c>
      <c r="AW68" s="21">
        <f>EXP(-LN(2)/2)*AW67+(1-EXP(-LN(2)/2))/(LN(2)/2)*AQ68*AT68*VLOOKUP('Données projet'!$B$10,Paramètres!$A$1:$I$89,3,0)*0.475*44/12</f>
        <v>0.75925423818660143</v>
      </c>
      <c r="AX68" s="21">
        <f t="shared" ref="AX68:AX131" si="60">SUM(AU68:AW68)</f>
        <v>30.799207829772044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125</v>
      </c>
      <c r="BB68" s="12">
        <f>VLOOKUP(A68,'Données projet'!$A$87:$I$107,9,0)</f>
        <v>2.8205128205128176</v>
      </c>
      <c r="BC68" s="12">
        <f t="array" ref="BC68">INDEX(BB:BB,MIN(IF(ISNUMBER(BB68:BB264),ROW(BB68:BB264),"")))</f>
        <v>2.8205128205128176</v>
      </c>
      <c r="BD68" s="12">
        <f>IF('Données projet'!$A$88&gt;35,BD67+BC68-BL67,IF(A68&lt;'Données projet'!$A$88,$BA$205^A68,IF(A68='Données projet'!$A$88,'Données projet'!$B$88,BD67+BC68-BL67)))</f>
        <v>124.99999999999994</v>
      </c>
      <c r="BE68" s="13">
        <f>BD68*VLOOKUP('Données projet'!$B$11,Paramètres!$A$1:$I$89,3,0)*VLOOKUP('Données projet'!$B$11,Paramètres!$A$1:$I$89,5,0)</f>
        <v>130.64999999999995</v>
      </c>
      <c r="BF68" s="13">
        <f t="shared" si="37"/>
        <v>34.146511621978362</v>
      </c>
      <c r="BG68" s="20">
        <f t="shared" ref="BG68:BG131" si="61">(BE68+BF68)*0.475*44/12</f>
        <v>287.02059107494557</v>
      </c>
      <c r="BH68" s="59">
        <f t="shared" ref="BH68:BH131" si="62">BG68+(AY68+AZ68)*44/12</f>
        <v>580.35392440827889</v>
      </c>
      <c r="BI68" s="59">
        <f ca="1">AVERAGE(OFFSET($BH$3,0,0,'Données projet'!$E$11+1,1))-AVERAGE(OFFSET($H$3,0,0,'Données projet'!$E$11+1,1))</f>
        <v>144.01698107732989</v>
      </c>
      <c r="BJ68" s="59">
        <f t="shared" si="38"/>
        <v>139.28039875117332</v>
      </c>
      <c r="BK68" s="15">
        <f>IF(ISNA(VLOOKUP(A68,'Données projet'!$A$87:$I$107,3,0)),0,VLOOKUP(A68,'Données projet'!$A$87:$I$107,3,0))</f>
        <v>10</v>
      </c>
      <c r="BL68" s="15">
        <f>IF(ISNA(VLOOKUP(A68,'Données projet'!$A$87:$I$107,4,0)),0,VLOOKUP(A68,'Données projet'!$A$87:$I$107,4,0))</f>
        <v>9.615384615384615</v>
      </c>
      <c r="BM68" s="16">
        <f>IF(ISNA(VLOOKUP(A68,'Données projet'!$A$87:$I$107,5,0)),0%,VLOOKUP(A68,'Données projet'!$A$87:$I$107,5,0)*VLOOKUP('Données projet'!$B$11,Paramètres!$A$1:$I$89,7,0))</f>
        <v>4.3000000000000003E-2</v>
      </c>
      <c r="BN68" s="16">
        <f>IF(ISNA(VLOOKUP(A68,'Données projet'!$A$87:$I$107,6,0)),0%,VLOOKUP(A68,'Données projet'!$A$87:$I$107,6,0)*VLOOKUP('Données projet'!$B$11,Paramètres!$A$1:$I$89,7,0))</f>
        <v>0.215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0.47772902451516441</v>
      </c>
      <c r="BQ68" s="21">
        <f>EXP(-LN(2)/25)*BQ67+(1-EXP(-LN(2)/25))/(LN(2)/25)*Calculateur!BL68*Calculateur!BN68*VLOOKUP('Données projet'!$B$11,Paramètres!$A$1:$I$89,3,0)*0.475*44/12</f>
        <v>16.730883041276467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17.20861206579163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108.33333333333334</v>
      </c>
      <c r="BW68" s="12">
        <f>VLOOKUP(A68,'Données projet'!$A$113:$I$133,9,0)</f>
        <v>2.5641025641025634</v>
      </c>
      <c r="BX68" s="12">
        <f t="array" ref="BX68">INDEX(BW:BW,MIN(IF(ISNUMBER(BW68:BW264),ROW(BW68:BW264),"")))</f>
        <v>2.5641025641025634</v>
      </c>
      <c r="BY68" s="12">
        <f>IF('Données projet'!$A$114&gt;35,BY67+BX68-CG67,IF(A68&lt;'Données projet'!$A$114,$BV$205^A68,IF(A68='Données projet'!$A$114,'Données projet'!$B$114,BY67+BX68-CG67)))</f>
        <v>108.33333333333334</v>
      </c>
      <c r="BZ68" s="13">
        <f>BY68*VLOOKUP('Données projet'!$B$12,Paramètres!$A$1:$I$89,3,0)*VLOOKUP('Données projet'!$B$12,Paramètres!$A$1:$I$89,5,0)</f>
        <v>87.880000000000024</v>
      </c>
      <c r="CA68" s="13">
        <f t="shared" si="39"/>
        <v>24.053224872750018</v>
      </c>
      <c r="CB68" s="20">
        <f t="shared" ref="CB68:CB131" si="64">(BZ68+CA68)*0.475*44/12</f>
        <v>194.95036665337298</v>
      </c>
      <c r="CC68" s="59">
        <f t="shared" ref="CC68:CC131" si="65">CB68+(BT68+BU68)*44/12</f>
        <v>488.28369998670632</v>
      </c>
      <c r="CD68" s="59">
        <f ca="1">AVERAGE(OFFSET($CC$3,0,0,'Données projet'!$E$12+1,1))-AVERAGE(OFFSET($H$3,0,0,'Données projet'!$E$12+1,1))</f>
        <v>72.953866894533007</v>
      </c>
      <c r="CE68" s="59">
        <f t="shared" si="40"/>
        <v>60.640359826163092</v>
      </c>
      <c r="CF68" s="15">
        <f>IF(ISNA(VLOOKUP(A68,'Données projet'!$A$113:$I$133,3,0)),0,VLOOKUP(A68,'Données projet'!$A$113:$I$133,3,0))</f>
        <v>11</v>
      </c>
      <c r="CG68" s="15">
        <f>IF(ISNA(VLOOKUP(A68,'Données projet'!$A$113:$I$133,4,0)),0,VLOOKUP(A68,'Données projet'!$A$113:$I$133,4,0))</f>
        <v>7.0512820512820511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0.1075</v>
      </c>
      <c r="CJ68" s="16">
        <f>IF(ISNA(VLOOKUP(A68,'Données projet'!$A$113:$I$133,7,0)),0%,VLOOKUP(A68,'Données projet'!$A$113:$I$133,7,0))</f>
        <v>0.25</v>
      </c>
      <c r="CK68" s="21">
        <f>EXP(-LN(2)/35)*CK67+(1-EXP(-LN(2)/35))/(LN(2)/35)*CG68*CH68*VLOOKUP('Données projet'!$B$12,Paramètres!$A$1:$I$89,3,0)*0.475*44/12</f>
        <v>0</v>
      </c>
      <c r="CL68" s="21">
        <f>EXP(-LN(2)/25)*CL67+(1-EXP(-LN(2)/25))/(LN(2)/25)*Calculateur!CG68*Calculateur!CI68*VLOOKUP('Données projet'!$B$12,Paramètres!$A$1:$I$89,3,0)*0.475*44/12</f>
        <v>3.722345271117522</v>
      </c>
      <c r="CM68" s="21">
        <f>EXP(-LN(2)/2)*CM67+(1-EXP(-LN(2)/2))/(LN(2)/2)*CG68*CJ68*VLOOKUP('Données projet'!$B$12,Paramètres!$A$1:$I$89,3,0)*0.475*44/12</f>
        <v>1.6389496194986131</v>
      </c>
      <c r="CN68" s="22">
        <f t="shared" ref="CN68:CN131" si="66">SUM(CK68:CM68)</f>
        <v>5.3612948906161346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4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375.15281443732528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-1.7053025658242404E-13</v>
      </c>
      <c r="O69" s="13">
        <f>N69*VLOOKUP('Données projet'!$B$9,Paramètres!$A$1:$I$89,3,0)*VLOOKUP('Données projet'!$B$9,Paramètres!$A$1:$I$89,5,0)</f>
        <v>-1.0197709343628959E-13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235.90365770026909</v>
      </c>
      <c r="T69" s="59">
        <f t="shared" ref="T69:T132" si="88">$T$3</f>
        <v>348.09952585694253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87.803200390192359</v>
      </c>
      <c r="AA69" s="21">
        <f>EXP(-LN(2)/25)*AA68+(1-EXP(-LN(2)/25))/(LN(2)/25)*Calculateur!V69*Calculateur!X69*VLOOKUP('Données projet'!$B$9,Paramètres!$A$1:$I$89,3,0)*0.475*44/12</f>
        <v>27.217975543531196</v>
      </c>
      <c r="AB69" s="21">
        <f>EXP(-LN(2)/2)*AB68+(1-EXP(-LN(2)/2))/(LN(2)/2)*V69*Y69*VLOOKUP('Données projet'!$B$9,Paramètres!$A$1:$I$89,3,0)*0.475*44/12</f>
        <v>4.7391420145144886E-2</v>
      </c>
      <c r="AC69" s="22">
        <f t="shared" si="57"/>
        <v>115.0685673538687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>
        <f>VLOOKUP(A69,'Données projet'!$A$61:$I$81,2,0)</f>
        <v>286.77</v>
      </c>
      <c r="AG69" s="12">
        <f>VLOOKUP(A69,'Données projet'!$A$61:$I$81,9,0)</f>
        <v>10.107499999999998</v>
      </c>
      <c r="AH69" s="12">
        <f t="array" ref="AH69">INDEX(AG:AG,MIN(IF(ISNUMBER(AG69:AG265),ROW(AG69:AG265),"")))</f>
        <v>10.107499999999998</v>
      </c>
      <c r="AI69" s="13">
        <f>IF('Données projet'!$A$62&gt;35,AI68+AH69-AQ68,IF(A69&lt;'Données projet'!$A$62,$AF$205^A69,IF(A69='Données projet'!$A$62,'Données projet'!$B$62,AI68+AH69-AQ68)))</f>
        <v>286.77000000000032</v>
      </c>
      <c r="AJ69" s="13">
        <f>AI69*VLOOKUP('Données projet'!$B$10,Paramètres!$A$1:$I$89,3,0)*VLOOKUP('Données projet'!$B$10,Paramètres!$A$1:$I$89,5,0)</f>
        <v>259.46949600000028</v>
      </c>
      <c r="AK69" s="13">
        <f t="shared" ref="AK69:AK132" si="89">EXP(-1.0587+0.8836*LN(AJ69)+0.284)</f>
        <v>62.609282502673501</v>
      </c>
      <c r="AL69" s="20">
        <f t="shared" si="58"/>
        <v>560.95387255882349</v>
      </c>
      <c r="AM69" s="59">
        <f t="shared" si="59"/>
        <v>854.28720589215686</v>
      </c>
      <c r="AN69" s="59">
        <f ca="1">AVERAGE(OFFSET($AM$3,0,0,'Données projet'!$E$10+1,1))-AVERAGE(OFFSET($H$3,0,0,'Données projet'!$E$10+1,1))</f>
        <v>490.21869105612649</v>
      </c>
      <c r="AO69" s="59">
        <f t="shared" ref="AO69:AO132" si="90">$AO$3</f>
        <v>207.08773997010911</v>
      </c>
      <c r="AP69" s="15">
        <f>IF(ISNA(VLOOKUP(A69,'Données projet'!$A$61:$I$81,3,0)),0,VLOOKUP(A69,'Données projet'!$A$61:$I$81,3,0))</f>
        <v>4</v>
      </c>
      <c r="AQ69" s="15">
        <f>IF(ISNA(VLOOKUP(A69,'Données projet'!$A$61:$I$81,4,0)),0,VLOOKUP(A69,'Données projet'!$A$61:$I$81,4,0))</f>
        <v>53.679999999999978</v>
      </c>
      <c r="AR69" s="16">
        <f>IF(ISNA(VLOOKUP(A69,'Données projet'!$A$61:$I$81,5,0)),0%,VLOOKUP(A69,'Données projet'!$A$61:$I$81,5,0)*VLOOKUP('Données projet'!$B$10,Paramètres!$A$1:$I$89,7,0))</f>
        <v>0.15049999999999999</v>
      </c>
      <c r="AS69" s="16">
        <f>IF(ISNA(VLOOKUP(A69,'Données projet'!$A$61:$I$81,6,0)),0%,VLOOKUP(A69,'Données projet'!$A$61:$I$81,6,0)*VLOOKUP('Données projet'!$B$10,Paramètres!$A$1:$I$89,7,0))</f>
        <v>8.6000000000000007E-2</v>
      </c>
      <c r="AT69" s="16">
        <f>IF(ISNA(VLOOKUP(A69,'Données projet'!$A$61:$I$81,7,0)),0%,VLOOKUP(A69,'Données projet'!$A$61:$I$81,7,0))</f>
        <v>0.1</v>
      </c>
      <c r="AU69" s="21">
        <f>EXP(-LN(2)/35)*AU68+(1-EXP(-LN(2)/35))/(LN(2)/35)*AQ69*AR69*VLOOKUP('Données projet'!$B$10,Paramètres!$A$1:$I$89,3,0)*0.475*44/12</f>
        <v>8.0806948968281098</v>
      </c>
      <c r="AV69" s="21">
        <f>EXP(-LN(2)/25)*AV68+(1-EXP(-LN(2)/25))/(LN(2)/25)*Calculateur!AQ69*Calculateur!AS69*VLOOKUP('Données projet'!$B$10,Paramètres!$A$1:$I$89,3,0)*0.475*44/12</f>
        <v>33.817868407767122</v>
      </c>
      <c r="AW69" s="21">
        <f>EXP(-LN(2)/2)*AW68+(1-EXP(-LN(2)/2))/(LN(2)/2)*AQ69*AT69*VLOOKUP('Données projet'!$B$10,Paramètres!$A$1:$I$89,3,0)*0.475*44/12</f>
        <v>5.1195523422004099</v>
      </c>
      <c r="AX69" s="21">
        <f t="shared" si="60"/>
        <v>47.018115646795636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2.6923076923076907</v>
      </c>
      <c r="BD69" s="12">
        <f>IF('Données projet'!$A$88&gt;35,BD68+BC69-BL68,IF(A69&lt;'Données projet'!$A$88,$BA$205^A69,IF(A69='Données projet'!$A$88,'Données projet'!$B$88,BD68+BC69-BL68)))</f>
        <v>118.07692307692302</v>
      </c>
      <c r="BE69" s="13">
        <f>BD69*VLOOKUP('Données projet'!$B$11,Paramètres!$A$1:$I$89,3,0)*VLOOKUP('Données projet'!$B$11,Paramètres!$A$1:$I$89,5,0)</f>
        <v>123.41399999999996</v>
      </c>
      <c r="BF69" s="13">
        <f t="shared" ref="BF69:BF132" si="91">EXP(-1.0587+0.8836*LN(BE69)+0.284)</f>
        <v>32.46995404356749</v>
      </c>
      <c r="BG69" s="20">
        <f t="shared" si="61"/>
        <v>271.49788662587997</v>
      </c>
      <c r="BH69" s="59">
        <f t="shared" si="62"/>
        <v>564.83121995921329</v>
      </c>
      <c r="BI69" s="59">
        <f ca="1">AVERAGE(OFFSET($BH$3,0,0,'Données projet'!$E$11+1,1))-AVERAGE(OFFSET($H$3,0,0,'Données projet'!$E$11+1,1))</f>
        <v>144.01698107732989</v>
      </c>
      <c r="BJ69" s="59">
        <f t="shared" ref="BJ69:BJ132" si="92">$BJ$3</f>
        <v>139.28039875117332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0.46836104973035503</v>
      </c>
      <c r="BQ69" s="21">
        <f>EXP(-LN(2)/25)*BQ68+(1-EXP(-LN(2)/25))/(LN(2)/25)*Calculateur!BL69*Calculateur!BN69*VLOOKUP('Données projet'!$B$11,Paramètres!$A$1:$I$89,3,0)*0.475*44/12</f>
        <v>16.273376164673863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16.741737214404218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2.5641025641025577</v>
      </c>
      <c r="BY69" s="12">
        <f>IF('Données projet'!$A$114&gt;35,BY68+BX69-CG68,IF(A69&lt;'Données projet'!$A$114,$BV$205^A69,IF(A69='Données projet'!$A$114,'Données projet'!$B$114,BY68+BX69-CG68)))</f>
        <v>103.84615384615384</v>
      </c>
      <c r="BZ69" s="13">
        <f>BY69*VLOOKUP('Données projet'!$B$12,Paramètres!$A$1:$I$89,3,0)*VLOOKUP('Données projet'!$B$12,Paramètres!$A$1:$I$89,5,0)</f>
        <v>84.240000000000009</v>
      </c>
      <c r="CA69" s="13">
        <f t="shared" ref="CA69:CA132" si="93">EXP(-1.0587+0.8836*LN(BZ69)+0.284)</f>
        <v>23.170749718409468</v>
      </c>
      <c r="CB69" s="20">
        <f t="shared" si="64"/>
        <v>187.07372242622981</v>
      </c>
      <c r="CC69" s="59">
        <f t="shared" si="65"/>
        <v>480.40705575956315</v>
      </c>
      <c r="CD69" s="59">
        <f ca="1">AVERAGE(OFFSET($CC$3,0,0,'Données projet'!$E$12+1,1))-AVERAGE(OFFSET($H$3,0,0,'Données projet'!$E$12+1,1))</f>
        <v>72.953866894533007</v>
      </c>
      <c r="CE69" s="59">
        <f t="shared" ref="CE69:CE132" si="94">$CE$3</f>
        <v>60.640359826163092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0</v>
      </c>
      <c r="CL69" s="21">
        <f>EXP(-LN(2)/25)*CL68+(1-EXP(-LN(2)/25))/(LN(2)/25)*Calculateur!CG69*Calculateur!CI69*VLOOKUP('Données projet'!$B$12,Paramètres!$A$1:$I$89,3,0)*0.475*44/12</f>
        <v>3.6205575439291833</v>
      </c>
      <c r="CM69" s="21">
        <f>EXP(-LN(2)/2)*CM68+(1-EXP(-LN(2)/2))/(LN(2)/2)*CG69*CJ69*VLOOKUP('Données projet'!$B$12,Paramètres!$A$1:$I$89,3,0)*0.475*44/12</f>
        <v>1.1589123899705811</v>
      </c>
      <c r="CN69" s="22">
        <f t="shared" si="66"/>
        <v>4.7794699338997644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4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376.3586705931088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-1.7053025658242404E-13</v>
      </c>
      <c r="O70" s="13">
        <f>N70*VLOOKUP('Données projet'!$B$9,Paramètres!$A$1:$I$89,3,0)*VLOOKUP('Données projet'!$B$9,Paramètres!$A$1:$I$89,5,0)</f>
        <v>-1.0197709343628959E-13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235.90365770026909</v>
      </c>
      <c r="T70" s="59">
        <f t="shared" si="88"/>
        <v>348.09952585694253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86.081433185204844</v>
      </c>
      <c r="AA70" s="21">
        <f>EXP(-LN(2)/25)*AA69+(1-EXP(-LN(2)/25))/(LN(2)/25)*Calculateur!V70*Calculateur!X70*VLOOKUP('Données projet'!$B$9,Paramètres!$A$1:$I$89,3,0)*0.475*44/12</f>
        <v>26.47369857096221</v>
      </c>
      <c r="AB70" s="21">
        <f>EXP(-LN(2)/2)*AB69+(1-EXP(-LN(2)/2))/(LN(2)/2)*V70*Y70*VLOOKUP('Données projet'!$B$9,Paramètres!$A$1:$I$89,3,0)*0.475*44/12</f>
        <v>3.3510794554692705E-2</v>
      </c>
      <c r="AC70" s="22">
        <f t="shared" si="57"/>
        <v>112.58864255072174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9.733749999999997</v>
      </c>
      <c r="AI70" s="13">
        <f>IF('Données projet'!$A$62&gt;35,AI69+AH70-AQ69,IF(A70&lt;'Données projet'!$A$62,$AF$205^A70,IF(A70='Données projet'!$A$62,'Données projet'!$B$62,AI69+AH70-AQ69)))</f>
        <v>242.82375000000033</v>
      </c>
      <c r="AJ70" s="13">
        <f>AI70*VLOOKUP('Données projet'!$B$10,Paramètres!$A$1:$I$89,3,0)*VLOOKUP('Données projet'!$B$10,Paramètres!$A$1:$I$89,5,0)</f>
        <v>219.70692900000031</v>
      </c>
      <c r="AK70" s="13">
        <f t="shared" si="89"/>
        <v>54.051183245794981</v>
      </c>
      <c r="AL70" s="20">
        <f t="shared" si="58"/>
        <v>476.79537882809342</v>
      </c>
      <c r="AM70" s="59">
        <f t="shared" si="59"/>
        <v>770.12871216142673</v>
      </c>
      <c r="AN70" s="59">
        <f ca="1">AVERAGE(OFFSET($AM$3,0,0,'Données projet'!$E$10+1,1))-AVERAGE(OFFSET($H$3,0,0,'Données projet'!$E$10+1,1))</f>
        <v>490.21869105612649</v>
      </c>
      <c r="AO70" s="59">
        <f t="shared" si="90"/>
        <v>207.08773997010911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7.9222373986385248</v>
      </c>
      <c r="AV70" s="21">
        <f>EXP(-LN(2)/25)*AV69+(1-EXP(-LN(2)/25))/(LN(2)/25)*Calculateur!AQ70*Calculateur!AS70*VLOOKUP('Données projet'!$B$10,Paramètres!$A$1:$I$89,3,0)*0.475*44/12</f>
        <v>32.893117017752324</v>
      </c>
      <c r="AW70" s="21">
        <f>EXP(-LN(2)/2)*AW69+(1-EXP(-LN(2)/2))/(LN(2)/2)*AQ70*AT70*VLOOKUP('Données projet'!$B$10,Paramètres!$A$1:$I$89,3,0)*0.475*44/12</f>
        <v>3.6200701778093825</v>
      </c>
      <c r="AX70" s="21">
        <f t="shared" si="60"/>
        <v>44.435424594200228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2.6923076923076907</v>
      </c>
      <c r="BD70" s="12">
        <f>IF('Données projet'!$A$88&gt;35,BD69+BC70-BL69,IF(A70&lt;'Données projet'!$A$88,$BA$205^A70,IF(A70='Données projet'!$A$88,'Données projet'!$B$88,BD69+BC70-BL69)))</f>
        <v>120.76923076923072</v>
      </c>
      <c r="BE70" s="13">
        <f>BD70*VLOOKUP('Données projet'!$B$11,Paramètres!$A$1:$I$89,3,0)*VLOOKUP('Données projet'!$B$11,Paramètres!$A$1:$I$89,5,0)</f>
        <v>126.22799999999995</v>
      </c>
      <c r="BF70" s="13">
        <f t="shared" si="91"/>
        <v>33.123272875637831</v>
      </c>
      <c r="BG70" s="20">
        <f t="shared" si="61"/>
        <v>277.53680025840248</v>
      </c>
      <c r="BH70" s="59">
        <f t="shared" si="62"/>
        <v>570.87013359173579</v>
      </c>
      <c r="BI70" s="59">
        <f ca="1">AVERAGE(OFFSET($BH$3,0,0,'Données projet'!$E$11+1,1))-AVERAGE(OFFSET($H$3,0,0,'Données projet'!$E$11+1,1))</f>
        <v>144.01698107732989</v>
      </c>
      <c r="BJ70" s="59">
        <f t="shared" si="92"/>
        <v>139.28039875117332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0.45917677521717531</v>
      </c>
      <c r="BQ70" s="21">
        <f>EXP(-LN(2)/25)*BQ69+(1-EXP(-LN(2)/25))/(LN(2)/25)*Calculateur!BL70*Calculateur!BN70*VLOOKUP('Données projet'!$B$11,Paramètres!$A$1:$I$89,3,0)*0.475*44/12</f>
        <v>15.828379837671196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16.287556612888373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2.5641025641025577</v>
      </c>
      <c r="BY70" s="12">
        <f>IF('Données projet'!$A$114&gt;35,BY69+BX70-CG69,IF(A70&lt;'Données projet'!$A$114,$BV$205^A70,IF(A70='Données projet'!$A$114,'Données projet'!$B$114,BY69+BX70-CG69)))</f>
        <v>106.41025641025639</v>
      </c>
      <c r="BZ70" s="13">
        <f>BY70*VLOOKUP('Données projet'!$B$12,Paramètres!$A$1:$I$89,3,0)*VLOOKUP('Données projet'!$B$12,Paramètres!$A$1:$I$89,5,0)</f>
        <v>86.32</v>
      </c>
      <c r="CA70" s="13">
        <f t="shared" si="93"/>
        <v>23.675552678472247</v>
      </c>
      <c r="CB70" s="20">
        <f t="shared" si="64"/>
        <v>191.57558758167247</v>
      </c>
      <c r="CC70" s="59">
        <f t="shared" si="65"/>
        <v>484.90892091500575</v>
      </c>
      <c r="CD70" s="59">
        <f ca="1">AVERAGE(OFFSET($CC$3,0,0,'Données projet'!$E$12+1,1))-AVERAGE(OFFSET($H$3,0,0,'Données projet'!$E$12+1,1))</f>
        <v>72.953866894533007</v>
      </c>
      <c r="CE70" s="59">
        <f t="shared" si="94"/>
        <v>60.640359826163092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0</v>
      </c>
      <c r="CL70" s="21">
        <f>EXP(-LN(2)/25)*CL69+(1-EXP(-LN(2)/25))/(LN(2)/25)*Calculateur!CG70*Calculateur!CI70*VLOOKUP('Données projet'!$B$12,Paramètres!$A$1:$I$89,3,0)*0.475*44/12</f>
        <v>3.5215532074935934</v>
      </c>
      <c r="CM70" s="21">
        <f>EXP(-LN(2)/2)*CM69+(1-EXP(-LN(2)/2))/(LN(2)/2)*CG70*CJ70*VLOOKUP('Données projet'!$B$12,Paramètres!$A$1:$I$89,3,0)*0.475*44/12</f>
        <v>0.81947480974930653</v>
      </c>
      <c r="CN70" s="22">
        <f t="shared" si="66"/>
        <v>4.3410280172429001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4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377.56408426409683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-1.7053025658242404E-13</v>
      </c>
      <c r="O71" s="13">
        <f>N71*VLOOKUP('Données projet'!$B$9,Paramètres!$A$1:$I$89,3,0)*VLOOKUP('Données projet'!$B$9,Paramètres!$A$1:$I$89,5,0)</f>
        <v>-1.0197709343628959E-13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235.90365770026909</v>
      </c>
      <c r="T71" s="59">
        <f t="shared" si="88"/>
        <v>348.09952585694253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84.393428784932837</v>
      </c>
      <c r="AA71" s="21">
        <f>EXP(-LN(2)/25)*AA70+(1-EXP(-LN(2)/25))/(LN(2)/25)*Calculateur!V71*Calculateur!X71*VLOOKUP('Données projet'!$B$9,Paramètres!$A$1:$I$89,3,0)*0.475*44/12</f>
        <v>25.749773891347946</v>
      </c>
      <c r="AB71" s="21">
        <f>EXP(-LN(2)/2)*AB70+(1-EXP(-LN(2)/2))/(LN(2)/2)*V71*Y71*VLOOKUP('Données projet'!$B$9,Paramètres!$A$1:$I$89,3,0)*0.475*44/12</f>
        <v>2.3695710072572443E-2</v>
      </c>
      <c r="AC71" s="22">
        <f t="shared" si="57"/>
        <v>110.16689838635335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9.733749999999997</v>
      </c>
      <c r="AI71" s="13">
        <f>IF('Données projet'!$A$62&gt;35,AI70+AH71-AQ70,IF(A71&lt;'Données projet'!$A$62,$AF$205^A71,IF(A71='Données projet'!$A$62,'Données projet'!$B$62,AI70+AH71-AQ70)))</f>
        <v>252.55750000000032</v>
      </c>
      <c r="AJ71" s="13">
        <f>AI71*VLOOKUP('Données projet'!$B$10,Paramètres!$A$1:$I$89,3,0)*VLOOKUP('Données projet'!$B$10,Paramètres!$A$1:$I$89,5,0)</f>
        <v>228.51402600000029</v>
      </c>
      <c r="AK71" s="13">
        <f t="shared" si="89"/>
        <v>55.96125810397254</v>
      </c>
      <c r="AL71" s="20">
        <f t="shared" si="58"/>
        <v>495.46111981441936</v>
      </c>
      <c r="AM71" s="59">
        <f t="shared" si="59"/>
        <v>788.79445314775262</v>
      </c>
      <c r="AN71" s="59">
        <f ca="1">AVERAGE(OFFSET($AM$3,0,0,'Données projet'!$E$10+1,1))-AVERAGE(OFFSET($H$3,0,0,'Données projet'!$E$10+1,1))</f>
        <v>490.21869105612649</v>
      </c>
      <c r="AO71" s="59">
        <f t="shared" si="90"/>
        <v>207.08773997010911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7.7668871553389076</v>
      </c>
      <c r="AV71" s="21">
        <f>EXP(-LN(2)/25)*AV70+(1-EXP(-LN(2)/25))/(LN(2)/25)*Calculateur!AQ71*Calculateur!AS71*VLOOKUP('Données projet'!$B$10,Paramètres!$A$1:$I$89,3,0)*0.475*44/12</f>
        <v>31.993653003128042</v>
      </c>
      <c r="AW71" s="21">
        <f>EXP(-LN(2)/2)*AW70+(1-EXP(-LN(2)/2))/(LN(2)/2)*AQ71*AT71*VLOOKUP('Données projet'!$B$10,Paramètres!$A$1:$I$89,3,0)*0.475*44/12</f>
        <v>2.5597761711002054</v>
      </c>
      <c r="AX71" s="21">
        <f t="shared" si="60"/>
        <v>42.320316329567156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2.6923076923076907</v>
      </c>
      <c r="BD71" s="12">
        <f>IF('Données projet'!$A$88&gt;35,BD70+BC71-BL70,IF(A71&lt;'Données projet'!$A$88,$BA$205^A71,IF(A71='Données projet'!$A$88,'Données projet'!$B$88,BD70+BC71-BL70)))</f>
        <v>123.46153846153841</v>
      </c>
      <c r="BE71" s="13">
        <f>BD71*VLOOKUP('Données projet'!$B$11,Paramètres!$A$1:$I$89,3,0)*VLOOKUP('Données projet'!$B$11,Paramètres!$A$1:$I$89,5,0)</f>
        <v>129.04199999999994</v>
      </c>
      <c r="BF71" s="13">
        <f t="shared" si="91"/>
        <v>33.77489845718803</v>
      </c>
      <c r="BG71" s="20">
        <f t="shared" si="61"/>
        <v>283.5727648129357</v>
      </c>
      <c r="BH71" s="59">
        <f t="shared" si="62"/>
        <v>576.90609814626896</v>
      </c>
      <c r="BI71" s="59">
        <f ca="1">AVERAGE(OFFSET($BH$3,0,0,'Données projet'!$E$11+1,1))-AVERAGE(OFFSET($H$3,0,0,'Données projet'!$E$11+1,1))</f>
        <v>144.01698107732989</v>
      </c>
      <c r="BJ71" s="59">
        <f t="shared" si="92"/>
        <v>139.28039875117332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0.45017259872534476</v>
      </c>
      <c r="BQ71" s="21">
        <f>EXP(-LN(2)/25)*BQ70+(1-EXP(-LN(2)/25))/(LN(2)/25)*Calculateur!BL71*Calculateur!BN71*VLOOKUP('Données projet'!$B$11,Paramètres!$A$1:$I$89,3,0)*0.475*44/12</f>
        <v>15.395551958631758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15.845724557357103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2.5641025641025577</v>
      </c>
      <c r="BY71" s="12">
        <f>IF('Données projet'!$A$114&gt;35,BY70+BX71-CG70,IF(A71&lt;'Données projet'!$A$114,$BV$205^A71,IF(A71='Données projet'!$A$114,'Données projet'!$B$114,BY70+BX71-CG70)))</f>
        <v>108.97435897435895</v>
      </c>
      <c r="BZ71" s="13">
        <f>BY71*VLOOKUP('Données projet'!$B$12,Paramètres!$A$1:$I$89,3,0)*VLOOKUP('Données projet'!$B$12,Paramètres!$A$1:$I$89,5,0)</f>
        <v>88.399999999999991</v>
      </c>
      <c r="CA71" s="13">
        <f t="shared" si="93"/>
        <v>24.178941596629553</v>
      </c>
      <c r="CB71" s="20">
        <f t="shared" si="64"/>
        <v>196.07498994746314</v>
      </c>
      <c r="CC71" s="59">
        <f t="shared" si="65"/>
        <v>489.40832328079648</v>
      </c>
      <c r="CD71" s="59">
        <f ca="1">AVERAGE(OFFSET($CC$3,0,0,'Données projet'!$E$12+1,1))-AVERAGE(OFFSET($H$3,0,0,'Données projet'!$E$12+1,1))</f>
        <v>72.953866894533007</v>
      </c>
      <c r="CE71" s="59">
        <f t="shared" si="94"/>
        <v>60.640359826163092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0</v>
      </c>
      <c r="CL71" s="21">
        <f>EXP(-LN(2)/25)*CL70+(1-EXP(-LN(2)/25))/(LN(2)/25)*Calculateur!CG71*Calculateur!CI71*VLOOKUP('Données projet'!$B$12,Paramètres!$A$1:$I$89,3,0)*0.475*44/12</f>
        <v>3.4252561498442464</v>
      </c>
      <c r="CM71" s="21">
        <f>EXP(-LN(2)/2)*CM70+(1-EXP(-LN(2)/2))/(LN(2)/2)*CG71*CJ71*VLOOKUP('Données projet'!$B$12,Paramètres!$A$1:$I$89,3,0)*0.475*44/12</f>
        <v>0.57945619498529055</v>
      </c>
      <c r="CN71" s="22">
        <f t="shared" si="66"/>
        <v>4.004712344829537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4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378.76906270916135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-1.7053025658242404E-13</v>
      </c>
      <c r="O72" s="13">
        <f>N72*VLOOKUP('Données projet'!$B$9,Paramètres!$A$1:$I$89,3,0)*VLOOKUP('Données projet'!$B$9,Paramètres!$A$1:$I$89,5,0)</f>
        <v>-1.0197709343628959E-13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235.90365770026909</v>
      </c>
      <c r="T72" s="59">
        <f t="shared" si="88"/>
        <v>348.09952585694253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82.738525121369136</v>
      </c>
      <c r="AA72" s="21">
        <f>EXP(-LN(2)/25)*AA71+(1-EXP(-LN(2)/25))/(LN(2)/25)*Calculateur!V72*Calculateur!X72*VLOOKUP('Données projet'!$B$9,Paramètres!$A$1:$I$89,3,0)*0.475*44/12</f>
        <v>25.045644970167281</v>
      </c>
      <c r="AB72" s="21">
        <f>EXP(-LN(2)/2)*AB71+(1-EXP(-LN(2)/2))/(LN(2)/2)*V72*Y72*VLOOKUP('Données projet'!$B$9,Paramètres!$A$1:$I$89,3,0)*0.475*44/12</f>
        <v>1.6755397277346352E-2</v>
      </c>
      <c r="AC72" s="22">
        <f t="shared" si="57"/>
        <v>107.80092548881377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9.733749999999997</v>
      </c>
      <c r="AI72" s="13">
        <f>IF('Données projet'!$A$62&gt;35,AI71+AH72-AQ71,IF(A72&lt;'Données projet'!$A$62,$AF$205^A72,IF(A72='Données projet'!$A$62,'Données projet'!$B$62,AI71+AH72-AQ71)))</f>
        <v>262.29125000000033</v>
      </c>
      <c r="AJ72" s="13">
        <f>AI72*VLOOKUP('Données projet'!$B$10,Paramètres!$A$1:$I$89,3,0)*VLOOKUP('Données projet'!$B$10,Paramètres!$A$1:$I$89,5,0)</f>
        <v>237.32112300000028</v>
      </c>
      <c r="AK72" s="13">
        <f t="shared" si="89"/>
        <v>57.862781053141006</v>
      </c>
      <c r="AL72" s="20">
        <f t="shared" si="58"/>
        <v>514.11196622588784</v>
      </c>
      <c r="AM72" s="59">
        <f t="shared" si="59"/>
        <v>807.44529955922121</v>
      </c>
      <c r="AN72" s="59">
        <f ca="1">AVERAGE(OFFSET($AM$3,0,0,'Données projet'!$E$10+1,1))-AVERAGE(OFFSET($H$3,0,0,'Données projet'!$E$10+1,1))</f>
        <v>490.21869105612649</v>
      </c>
      <c r="AO72" s="59">
        <f t="shared" si="90"/>
        <v>207.08773997010911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7.6145832355561032</v>
      </c>
      <c r="AV72" s="21">
        <f>EXP(-LN(2)/25)*AV71+(1-EXP(-LN(2)/25))/(LN(2)/25)*Calculateur!AQ72*Calculateur!AS72*VLOOKUP('Données projet'!$B$10,Paramètres!$A$1:$I$89,3,0)*0.475*44/12</f>
        <v>31.118784879284416</v>
      </c>
      <c r="AW72" s="21">
        <f>EXP(-LN(2)/2)*AW71+(1-EXP(-LN(2)/2))/(LN(2)/2)*AQ72*AT72*VLOOKUP('Données projet'!$B$10,Paramètres!$A$1:$I$89,3,0)*0.475*44/12</f>
        <v>1.8100350889046914</v>
      </c>
      <c r="AX72" s="21">
        <f t="shared" si="60"/>
        <v>40.543403203745207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2.6923076923076907</v>
      </c>
      <c r="BD72" s="12">
        <f>IF('Données projet'!$A$88&gt;35,BD71+BC72-BL71,IF(A72&lt;'Données projet'!$A$88,$BA$205^A72,IF(A72='Données projet'!$A$88,'Données projet'!$B$88,BD71+BC72-BL71)))</f>
        <v>126.1538461538461</v>
      </c>
      <c r="BE72" s="13">
        <f>BD72*VLOOKUP('Données projet'!$B$11,Paramètres!$A$1:$I$89,3,0)*VLOOKUP('Données projet'!$B$11,Paramètres!$A$1:$I$89,5,0)</f>
        <v>131.85599999999997</v>
      </c>
      <c r="BF72" s="13">
        <f t="shared" si="91"/>
        <v>34.424871965010759</v>
      </c>
      <c r="BG72" s="20">
        <f t="shared" si="61"/>
        <v>289.605852005727</v>
      </c>
      <c r="BH72" s="59">
        <f t="shared" si="62"/>
        <v>582.93918533906026</v>
      </c>
      <c r="BI72" s="59">
        <f ca="1">AVERAGE(OFFSET($BH$3,0,0,'Données projet'!$E$11+1,1))-AVERAGE(OFFSET($H$3,0,0,'Données projet'!$E$11+1,1))</f>
        <v>144.01698107732989</v>
      </c>
      <c r="BJ72" s="59">
        <f t="shared" si="92"/>
        <v>139.28039875117332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0.44134498864251365</v>
      </c>
      <c r="BQ72" s="21">
        <f>EXP(-LN(2)/25)*BQ71+(1-EXP(-LN(2)/25))/(LN(2)/25)*Calculateur!BL72*Calculateur!BN72*VLOOKUP('Données projet'!$B$11,Paramètres!$A$1:$I$89,3,0)*0.475*44/12</f>
        <v>14.974559780706082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15.415904769348597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2.5641025641025577</v>
      </c>
      <c r="BY72" s="12">
        <f>IF('Données projet'!$A$114&gt;35,BY71+BX72-CG71,IF(A72&lt;'Données projet'!$A$114,$BV$205^A72,IF(A72='Données projet'!$A$114,'Données projet'!$B$114,BY71+BX72-CG71)))</f>
        <v>111.5384615384615</v>
      </c>
      <c r="BZ72" s="13">
        <f>BY72*VLOOKUP('Données projet'!$B$12,Paramètres!$A$1:$I$89,3,0)*VLOOKUP('Données projet'!$B$12,Paramètres!$A$1:$I$89,5,0)</f>
        <v>90.479999999999976</v>
      </c>
      <c r="CA72" s="13">
        <f t="shared" si="93"/>
        <v>24.680953573367983</v>
      </c>
      <c r="CB72" s="20">
        <f t="shared" si="64"/>
        <v>200.57199414028253</v>
      </c>
      <c r="CC72" s="59">
        <f t="shared" si="65"/>
        <v>493.90532747361584</v>
      </c>
      <c r="CD72" s="59">
        <f ca="1">AVERAGE(OFFSET($CC$3,0,0,'Données projet'!$E$12+1,1))-AVERAGE(OFFSET($H$3,0,0,'Données projet'!$E$12+1,1))</f>
        <v>72.953866894533007</v>
      </c>
      <c r="CE72" s="59">
        <f t="shared" si="94"/>
        <v>60.640359826163092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0</v>
      </c>
      <c r="CL72" s="21">
        <f>EXP(-LN(2)/25)*CL71+(1-EXP(-LN(2)/25))/(LN(2)/25)*Calculateur!CG72*Calculateur!CI72*VLOOKUP('Données projet'!$B$12,Paramètres!$A$1:$I$89,3,0)*0.475*44/12</f>
        <v>3.3315923403003631</v>
      </c>
      <c r="CM72" s="21">
        <f>EXP(-LN(2)/2)*CM71+(1-EXP(-LN(2)/2))/(LN(2)/2)*CG72*CJ72*VLOOKUP('Données projet'!$B$12,Paramètres!$A$1:$I$89,3,0)*0.475*44/12</f>
        <v>0.40973740487465327</v>
      </c>
      <c r="CN72" s="22">
        <f t="shared" si="66"/>
        <v>3.7413297451750163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4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379.97361296469114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-1.7053025658242404E-13</v>
      </c>
      <c r="O73" s="13">
        <f>N73*VLOOKUP('Données projet'!$B$9,Paramètres!$A$1:$I$89,3,0)*VLOOKUP('Données projet'!$B$9,Paramètres!$A$1:$I$89,5,0)</f>
        <v>-1.0197709343628959E-13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235.90365770026909</v>
      </c>
      <c r="T73" s="59">
        <f t="shared" si="88"/>
        <v>348.09952585694253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81.116073109256362</v>
      </c>
      <c r="AA73" s="21">
        <f>EXP(-LN(2)/25)*AA72+(1-EXP(-LN(2)/25))/(LN(2)/25)*Calculateur!V73*Calculateur!X73*VLOOKUP('Données projet'!$B$9,Paramètres!$A$1:$I$89,3,0)*0.475*44/12</f>
        <v>24.360770491364832</v>
      </c>
      <c r="AB73" s="21">
        <f>EXP(-LN(2)/2)*AB72+(1-EXP(-LN(2)/2))/(LN(2)/2)*V73*Y73*VLOOKUP('Données projet'!$B$9,Paramètres!$A$1:$I$89,3,0)*0.475*44/12</f>
        <v>1.1847855036286221E-2</v>
      </c>
      <c r="AC73" s="22">
        <f t="shared" si="57"/>
        <v>105.48869145565747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9.733749999999997</v>
      </c>
      <c r="AI73" s="13">
        <f>IF('Données projet'!$A$62&gt;35,AI72+AH73-AQ72,IF(A73&lt;'Données projet'!$A$62,$AF$205^A73,IF(A73='Données projet'!$A$62,'Données projet'!$B$62,AI72+AH73-AQ72)))</f>
        <v>272.02500000000032</v>
      </c>
      <c r="AJ73" s="13">
        <f>AI73*VLOOKUP('Données projet'!$B$10,Paramètres!$A$1:$I$89,3,0)*VLOOKUP('Données projet'!$B$10,Paramètres!$A$1:$I$89,5,0)</f>
        <v>246.12822000000025</v>
      </c>
      <c r="AK73" s="13">
        <f t="shared" si="89"/>
        <v>59.756105801003123</v>
      </c>
      <c r="AL73" s="20">
        <f t="shared" si="58"/>
        <v>532.74853410341427</v>
      </c>
      <c r="AM73" s="59">
        <f t="shared" si="59"/>
        <v>826.08186743674764</v>
      </c>
      <c r="AN73" s="59">
        <f ca="1">AVERAGE(OFFSET($AM$3,0,0,'Données projet'!$E$10+1,1))-AVERAGE(OFFSET($H$3,0,0,'Données projet'!$E$10+1,1))</f>
        <v>490.21869105612649</v>
      </c>
      <c r="AO73" s="59">
        <f t="shared" si="90"/>
        <v>207.08773997010911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7.4652659027440214</v>
      </c>
      <c r="AV73" s="21">
        <f>EXP(-LN(2)/25)*AV72+(1-EXP(-LN(2)/25))/(LN(2)/25)*Calculateur!AQ73*Calculateur!AS73*VLOOKUP('Données projet'!$B$10,Paramètres!$A$1:$I$89,3,0)*0.475*44/12</f>
        <v>30.267840070294611</v>
      </c>
      <c r="AW73" s="21">
        <f>EXP(-LN(2)/2)*AW72+(1-EXP(-LN(2)/2))/(LN(2)/2)*AQ73*AT73*VLOOKUP('Données projet'!$B$10,Paramètres!$A$1:$I$89,3,0)*0.475*44/12</f>
        <v>1.2798880855501029</v>
      </c>
      <c r="AX73" s="21">
        <f t="shared" si="60"/>
        <v>39.012994058588738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128.84615384615384</v>
      </c>
      <c r="BB73" s="12">
        <f>VLOOKUP(A73,'Données projet'!$A$87:$I$107,9,0)</f>
        <v>2.6923076923076907</v>
      </c>
      <c r="BC73" s="12">
        <f t="array" ref="BC73">INDEX(BB:BB,MIN(IF(ISNUMBER(BB73:BB269),ROW(BB73:BB269),"")))</f>
        <v>2.6923076923076907</v>
      </c>
      <c r="BD73" s="12">
        <f>IF('Données projet'!$A$88&gt;35,BD72+BC73-BL72,IF(A73&lt;'Données projet'!$A$88,$BA$205^A73,IF(A73='Données projet'!$A$88,'Données projet'!$B$88,BD72+BC73-BL72)))</f>
        <v>128.84615384615378</v>
      </c>
      <c r="BE73" s="13">
        <f>BD73*VLOOKUP('Données projet'!$B$11,Paramètres!$A$1:$I$89,3,0)*VLOOKUP('Données projet'!$B$11,Paramètres!$A$1:$I$89,5,0)</f>
        <v>134.66999999999993</v>
      </c>
      <c r="BF73" s="13">
        <f t="shared" si="91"/>
        <v>35.07323271794791</v>
      </c>
      <c r="BG73" s="20">
        <f t="shared" si="61"/>
        <v>295.63613031709252</v>
      </c>
      <c r="BH73" s="59">
        <f t="shared" si="62"/>
        <v>588.96946365042584</v>
      </c>
      <c r="BI73" s="59">
        <f ca="1">AVERAGE(OFFSET($BH$3,0,0,'Données projet'!$E$11+1,1))-AVERAGE(OFFSET($H$3,0,0,'Données projet'!$E$11+1,1))</f>
        <v>144.01698107732989</v>
      </c>
      <c r="BJ73" s="59">
        <f t="shared" si="92"/>
        <v>139.28039875117332</v>
      </c>
      <c r="BK73" s="15">
        <f>IF(ISNA(VLOOKUP(A73,'Données projet'!$A$87:$I$107,3,0)),0,VLOOKUP(A73,'Données projet'!$A$87:$I$107,3,0))</f>
        <v>11</v>
      </c>
      <c r="BL73" s="15">
        <f>IF(ISNA(VLOOKUP(A73,'Données projet'!$A$87:$I$107,4,0)),0,VLOOKUP(A73,'Données projet'!$A$87:$I$107,4,0))</f>
        <v>8.9743589743589745</v>
      </c>
      <c r="BM73" s="16">
        <f>IF(ISNA(VLOOKUP(A73,'Données projet'!$A$87:$I$107,5,0)),0%,VLOOKUP(A73,'Données projet'!$A$87:$I$107,5,0)*VLOOKUP('Données projet'!$B$11,Paramètres!$A$1:$I$89,7,0))</f>
        <v>4.3000000000000003E-2</v>
      </c>
      <c r="BN73" s="16">
        <f>IF(ISNA(VLOOKUP(A73,'Données projet'!$A$87:$I$107,6,0)),0%,VLOOKUP(A73,'Données projet'!$A$87:$I$107,6,0)*VLOOKUP('Données projet'!$B$11,Paramètres!$A$1:$I$89,7,0))</f>
        <v>0.215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0.87857090548991645</v>
      </c>
      <c r="BQ73" s="21">
        <f>EXP(-LN(2)/25)*BQ72+(1-EXP(-LN(2)/25))/(LN(2)/25)*Calculateur!BL73*Calculateur!BN73*VLOOKUP('Données projet'!$B$11,Paramètres!$A$1:$I$89,3,0)*0.475*44/12</f>
        <v>16.785703764835688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17.664274670325604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114.10256410256409</v>
      </c>
      <c r="BW73" s="12">
        <f>VLOOKUP(A73,'Données projet'!$A$113:$I$133,9,0)</f>
        <v>2.5641025641025577</v>
      </c>
      <c r="BX73" s="12">
        <f t="array" ref="BX73">INDEX(BW:BW,MIN(IF(ISNUMBER(BW73:BW269),ROW(BW73:BW269),"")))</f>
        <v>2.5641025641025577</v>
      </c>
      <c r="BY73" s="12">
        <f>IF('Données projet'!$A$114&gt;35,BY72+BX73-CG72,IF(A73&lt;'Données projet'!$A$114,$BV$205^A73,IF(A73='Données projet'!$A$114,'Données projet'!$B$114,BY72+BX73-CG72)))</f>
        <v>114.10256410256406</v>
      </c>
      <c r="BZ73" s="13">
        <f>BY73*VLOOKUP('Données projet'!$B$12,Paramètres!$A$1:$I$89,3,0)*VLOOKUP('Données projet'!$B$12,Paramètres!$A$1:$I$89,5,0)</f>
        <v>92.559999999999974</v>
      </c>
      <c r="CA73" s="13">
        <f t="shared" si="93"/>
        <v>25.181623906063926</v>
      </c>
      <c r="CB73" s="20">
        <f t="shared" si="64"/>
        <v>205.06666163639463</v>
      </c>
      <c r="CC73" s="59">
        <f t="shared" si="65"/>
        <v>498.39999496972791</v>
      </c>
      <c r="CD73" s="59">
        <f ca="1">AVERAGE(OFFSET($CC$3,0,0,'Données projet'!$E$12+1,1))-AVERAGE(OFFSET($H$3,0,0,'Données projet'!$E$12+1,1))</f>
        <v>72.953866894533007</v>
      </c>
      <c r="CE73" s="59">
        <f t="shared" si="94"/>
        <v>60.640359826163092</v>
      </c>
      <c r="CF73" s="15">
        <f>IF(ISNA(VLOOKUP(A73,'Données projet'!$A$113:$I$133,3,0)),0,VLOOKUP(A73,'Données projet'!$A$113:$I$133,3,0))</f>
        <v>12</v>
      </c>
      <c r="CG73" s="15">
        <f>IF(ISNA(VLOOKUP(A73,'Données projet'!$A$113:$I$133,4,0)),0,VLOOKUP(A73,'Données projet'!$A$113:$I$133,4,0))</f>
        <v>7.0512820512820511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0.1075</v>
      </c>
      <c r="CJ73" s="16">
        <f>IF(ISNA(VLOOKUP(A73,'Données projet'!$A$113:$I$133,7,0)),0%,VLOOKUP(A73,'Données projet'!$A$113:$I$133,7,0))</f>
        <v>0.25</v>
      </c>
      <c r="CK73" s="21">
        <f>EXP(-LN(2)/35)*CK72+(1-EXP(-LN(2)/35))/(LN(2)/35)*CG73*CH73*VLOOKUP('Données projet'!$B$12,Paramètres!$A$1:$I$89,3,0)*0.475*44/12</f>
        <v>0</v>
      </c>
      <c r="CL73" s="21">
        <f>EXP(-LN(2)/25)*CL72+(1-EXP(-LN(2)/25))/(LN(2)/25)*Calculateur!CG73*Calculateur!CI73*VLOOKUP('Données projet'!$B$12,Paramètres!$A$1:$I$89,3,0)*0.475*44/12</f>
        <v>3.9175670594622471</v>
      </c>
      <c r="CM73" s="21">
        <f>EXP(-LN(2)/2)*CM72+(1-EXP(-LN(2)/2))/(LN(2)/2)*CG73*CJ73*VLOOKUP('Données projet'!$B$12,Paramètres!$A$1:$I$89,3,0)*0.475*44/12</f>
        <v>1.6389715853783506</v>
      </c>
      <c r="CN73" s="22">
        <f t="shared" si="66"/>
        <v>5.5565386448405976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4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381.17774185449025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-1.7053025658242404E-13</v>
      </c>
      <c r="O74" s="13">
        <f>N74*VLOOKUP('Données projet'!$B$9,Paramètres!$A$1:$I$89,3,0)*VLOOKUP('Données projet'!$B$9,Paramètres!$A$1:$I$89,5,0)</f>
        <v>-1.0197709343628959E-13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235.90365770026909</v>
      </c>
      <c r="T74" s="59">
        <f t="shared" si="88"/>
        <v>348.09952585694253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79.525436391503106</v>
      </c>
      <c r="AA74" s="21">
        <f>EXP(-LN(2)/25)*AA73+(1-EXP(-LN(2)/25))/(LN(2)/25)*Calculateur!V74*Calculateur!X74*VLOOKUP('Données projet'!$B$9,Paramètres!$A$1:$I$89,3,0)*0.475*44/12</f>
        <v>23.694623941201218</v>
      </c>
      <c r="AB74" s="21">
        <f>EXP(-LN(2)/2)*AB73+(1-EXP(-LN(2)/2))/(LN(2)/2)*V74*Y74*VLOOKUP('Données projet'!$B$9,Paramètres!$A$1:$I$89,3,0)*0.475*44/12</f>
        <v>8.3776986386731762E-3</v>
      </c>
      <c r="AC74" s="22">
        <f t="shared" si="57"/>
        <v>103.22843803134299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9.733749999999997</v>
      </c>
      <c r="AI74" s="13">
        <f>IF('Données projet'!$A$62&gt;35,AI73+AH74-AQ73,IF(A74&lt;'Données projet'!$A$62,$AF$205^A74,IF(A74='Données projet'!$A$62,'Données projet'!$B$62,AI73+AH74-AQ73)))</f>
        <v>281.7587500000003</v>
      </c>
      <c r="AJ74" s="13">
        <f>AI74*VLOOKUP('Données projet'!$B$10,Paramètres!$A$1:$I$89,3,0)*VLOOKUP('Données projet'!$B$10,Paramètres!$A$1:$I$89,5,0)</f>
        <v>254.93531700000028</v>
      </c>
      <c r="AK74" s="13">
        <f t="shared" si="89"/>
        <v>61.641559307209917</v>
      </c>
      <c r="AL74" s="20">
        <f t="shared" si="58"/>
        <v>551.37139290172445</v>
      </c>
      <c r="AM74" s="59">
        <f t="shared" si="59"/>
        <v>844.70472623505771</v>
      </c>
      <c r="AN74" s="59">
        <f ca="1">AVERAGE(OFFSET($AM$3,0,0,'Données projet'!$E$10+1,1))-AVERAGE(OFFSET($H$3,0,0,'Données projet'!$E$10+1,1))</f>
        <v>490.21869105612649</v>
      </c>
      <c r="AO74" s="59">
        <f t="shared" si="90"/>
        <v>207.08773997010911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7.3188765917538046</v>
      </c>
      <c r="AV74" s="21">
        <f>EXP(-LN(2)/25)*AV73+(1-EXP(-LN(2)/25))/(LN(2)/25)*Calculateur!AQ74*Calculateur!AS74*VLOOKUP('Données projet'!$B$10,Paramètres!$A$1:$I$89,3,0)*0.475*44/12</f>
        <v>29.440164391855873</v>
      </c>
      <c r="AW74" s="21">
        <f>EXP(-LN(2)/2)*AW73+(1-EXP(-LN(2)/2))/(LN(2)/2)*AQ74*AT74*VLOOKUP('Données projet'!$B$10,Paramètres!$A$1:$I$89,3,0)*0.475*44/12</f>
        <v>0.90501754445234595</v>
      </c>
      <c r="AX74" s="21">
        <f t="shared" si="60"/>
        <v>37.664058528062029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2.1794871794871766</v>
      </c>
      <c r="BD74" s="12">
        <f>IF('Données projet'!$A$88&gt;35,BD73+BC74-BL73,IF(A74&lt;'Données projet'!$A$88,$BA$205^A74,IF(A74='Données projet'!$A$88,'Données projet'!$B$88,BD73+BC74-BL73)))</f>
        <v>122.05128205128199</v>
      </c>
      <c r="BE74" s="13">
        <f>BD74*VLOOKUP('Données projet'!$B$11,Paramètres!$A$1:$I$89,3,0)*VLOOKUP('Données projet'!$B$11,Paramètres!$A$1:$I$89,5,0)</f>
        <v>127.56799999999994</v>
      </c>
      <c r="BF74" s="13">
        <f t="shared" si="91"/>
        <v>33.43377937608831</v>
      </c>
      <c r="BG74" s="20">
        <f t="shared" si="61"/>
        <v>280.41143241335368</v>
      </c>
      <c r="BH74" s="59">
        <f t="shared" si="62"/>
        <v>573.74476574668699</v>
      </c>
      <c r="BI74" s="59">
        <f ca="1">AVERAGE(OFFSET($BH$3,0,0,'Données projet'!$E$11+1,1))-AVERAGE(OFFSET($H$3,0,0,'Données projet'!$E$11+1,1))</f>
        <v>144.01698107732989</v>
      </c>
      <c r="BJ74" s="59">
        <f t="shared" si="92"/>
        <v>139.28039875117332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0.8613426659085982</v>
      </c>
      <c r="BQ74" s="21">
        <f>EXP(-LN(2)/25)*BQ73+(1-EXP(-LN(2)/25))/(LN(2)/25)*Calculateur!BL74*Calculateur!BN74*VLOOKUP('Données projet'!$B$11,Paramètres!$A$1:$I$89,3,0)*0.475*44/12</f>
        <v>16.32669781266446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17.188040478573058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2.3076923076923093</v>
      </c>
      <c r="BY74" s="12">
        <f>IF('Données projet'!$A$114&gt;35,BY73+BX74-CG73,IF(A74&lt;'Données projet'!$A$114,$BV$205^A74,IF(A74='Données projet'!$A$114,'Données projet'!$B$114,BY73+BX74-CG73)))</f>
        <v>109.35897435897431</v>
      </c>
      <c r="BZ74" s="13">
        <f>BY74*VLOOKUP('Données projet'!$B$12,Paramètres!$A$1:$I$89,3,0)*VLOOKUP('Données projet'!$B$12,Paramètres!$A$1:$I$89,5,0)</f>
        <v>88.711999999999961</v>
      </c>
      <c r="CA74" s="13">
        <f t="shared" si="93"/>
        <v>24.254330290837913</v>
      </c>
      <c r="CB74" s="20">
        <f t="shared" si="64"/>
        <v>196.74969192320927</v>
      </c>
      <c r="CC74" s="59">
        <f t="shared" si="65"/>
        <v>490.08302525654256</v>
      </c>
      <c r="CD74" s="59">
        <f ca="1">AVERAGE(OFFSET($CC$3,0,0,'Données projet'!$E$12+1,1))-AVERAGE(OFFSET($H$3,0,0,'Données projet'!$E$12+1,1))</f>
        <v>72.953866894533007</v>
      </c>
      <c r="CE74" s="59">
        <f t="shared" si="94"/>
        <v>60.640359826163092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0</v>
      </c>
      <c r="CL74" s="21">
        <f>EXP(-LN(2)/25)*CL73+(1-EXP(-LN(2)/25))/(LN(2)/25)*Calculateur!CG74*Calculateur!CI74*VLOOKUP('Données projet'!$B$12,Paramètres!$A$1:$I$89,3,0)*0.475*44/12</f>
        <v>3.8104409822053542</v>
      </c>
      <c r="CM74" s="21">
        <f>EXP(-LN(2)/2)*CM73+(1-EXP(-LN(2)/2))/(LN(2)/2)*CG74*CJ74*VLOOKUP('Données projet'!$B$12,Paramètres!$A$1:$I$89,3,0)*0.475*44/12</f>
        <v>1.1589279221930984</v>
      </c>
      <c r="CN74" s="22">
        <f t="shared" si="66"/>
        <v>4.9693689043984524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4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382.38145599910195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-1.7053025658242404E-13</v>
      </c>
      <c r="O75" s="13">
        <f>N75*VLOOKUP('Données projet'!$B$9,Paramètres!$A$1:$I$89,3,0)*VLOOKUP('Données projet'!$B$9,Paramètres!$A$1:$I$89,5,0)</f>
        <v>-1.0197709343628959E-13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235.90365770026909</v>
      </c>
      <c r="T75" s="59">
        <f t="shared" si="88"/>
        <v>348.09952585694253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77.965991089592393</v>
      </c>
      <c r="AA75" s="21">
        <f>EXP(-LN(2)/25)*AA74+(1-EXP(-LN(2)/25))/(LN(2)/25)*Calculateur!V75*Calculateur!X75*VLOOKUP('Données projet'!$B$9,Paramètres!$A$1:$I$89,3,0)*0.475*44/12</f>
        <v>23.046693203482953</v>
      </c>
      <c r="AB75" s="21">
        <f>EXP(-LN(2)/2)*AB74+(1-EXP(-LN(2)/2))/(LN(2)/2)*V75*Y75*VLOOKUP('Données projet'!$B$9,Paramètres!$A$1:$I$89,3,0)*0.475*44/12</f>
        <v>5.9239275181431107E-3</v>
      </c>
      <c r="AC75" s="22">
        <f t="shared" si="57"/>
        <v>101.01860822059349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9.733749999999997</v>
      </c>
      <c r="AI75" s="13">
        <f>IF('Données projet'!$A$62&gt;35,AI74+AH75-AQ74,IF(A75&lt;'Données projet'!$A$62,$AF$205^A75,IF(A75='Données projet'!$A$62,'Données projet'!$B$62,AI74+AH75-AQ74)))</f>
        <v>291.49250000000029</v>
      </c>
      <c r="AJ75" s="13">
        <f>AI75*VLOOKUP('Données projet'!$B$10,Paramètres!$A$1:$I$89,3,0)*VLOOKUP('Données projet'!$B$10,Paramètres!$A$1:$I$89,5,0)</f>
        <v>263.74241400000022</v>
      </c>
      <c r="AK75" s="13">
        <f t="shared" si="89"/>
        <v>63.519444659628142</v>
      </c>
      <c r="AL75" s="20">
        <f t="shared" si="58"/>
        <v>569.98107049885277</v>
      </c>
      <c r="AM75" s="59">
        <f t="shared" si="59"/>
        <v>863.31440383218614</v>
      </c>
      <c r="AN75" s="59">
        <f ca="1">AVERAGE(OFFSET($AM$3,0,0,'Données projet'!$E$10+1,1))-AVERAGE(OFFSET($H$3,0,0,'Données projet'!$E$10+1,1))</f>
        <v>490.21869105612649</v>
      </c>
      <c r="AO75" s="59">
        <f t="shared" si="90"/>
        <v>207.08773997010911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7.175357885863443</v>
      </c>
      <c r="AV75" s="21">
        <f>EXP(-LN(2)/25)*AV74+(1-EXP(-LN(2)/25))/(LN(2)/25)*Calculateur!AQ75*Calculateur!AS75*VLOOKUP('Données projet'!$B$10,Paramètres!$A$1:$I$89,3,0)*0.475*44/12</f>
        <v>28.635121548369614</v>
      </c>
      <c r="AW75" s="21">
        <f>EXP(-LN(2)/2)*AW74+(1-EXP(-LN(2)/2))/(LN(2)/2)*AQ75*AT75*VLOOKUP('Données projet'!$B$10,Paramètres!$A$1:$I$89,3,0)*0.475*44/12</f>
        <v>0.63994404277505157</v>
      </c>
      <c r="AX75" s="21">
        <f t="shared" si="60"/>
        <v>36.450423477008108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2.1794871794871766</v>
      </c>
      <c r="BD75" s="12">
        <f>IF('Données projet'!$A$88&gt;35,BD74+BC75-BL74,IF(A75&lt;'Données projet'!$A$88,$BA$205^A75,IF(A75='Données projet'!$A$88,'Données projet'!$B$88,BD74+BC75-BL74)))</f>
        <v>124.23076923076917</v>
      </c>
      <c r="BE75" s="13">
        <f>BD75*VLOOKUP('Données projet'!$B$11,Paramètres!$A$1:$I$89,3,0)*VLOOKUP('Données projet'!$B$11,Paramètres!$A$1:$I$89,5,0)</f>
        <v>129.84599999999995</v>
      </c>
      <c r="BF75" s="13">
        <f t="shared" si="91"/>
        <v>33.960771999433035</v>
      </c>
      <c r="BG75" s="20">
        <f t="shared" si="61"/>
        <v>285.29679456567914</v>
      </c>
      <c r="BH75" s="59">
        <f t="shared" si="62"/>
        <v>578.63012789901245</v>
      </c>
      <c r="BI75" s="59">
        <f ca="1">AVERAGE(OFFSET($BH$3,0,0,'Données projet'!$E$11+1,1))-AVERAGE(OFFSET($H$3,0,0,'Données projet'!$E$11+1,1))</f>
        <v>144.01698107732989</v>
      </c>
      <c r="BJ75" s="59">
        <f t="shared" si="92"/>
        <v>139.28039875117332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0.84445226159728115</v>
      </c>
      <c r="BQ75" s="21">
        <f>EXP(-LN(2)/25)*BQ74+(1-EXP(-LN(2)/25))/(LN(2)/25)*Calculateur!BL75*Calculateur!BN75*VLOOKUP('Données projet'!$B$11,Paramètres!$A$1:$I$89,3,0)*0.475*44/12</f>
        <v>15.880243402393427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16.724695663990708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2.3076923076923093</v>
      </c>
      <c r="BY75" s="12">
        <f>IF('Données projet'!$A$114&gt;35,BY74+BX75-CG74,IF(A75&lt;'Données projet'!$A$114,$BV$205^A75,IF(A75='Données projet'!$A$114,'Données projet'!$B$114,BY74+BX75-CG74)))</f>
        <v>111.66666666666661</v>
      </c>
      <c r="BZ75" s="13">
        <f>BY75*VLOOKUP('Données projet'!$B$12,Paramètres!$A$1:$I$89,3,0)*VLOOKUP('Données projet'!$B$12,Paramètres!$A$1:$I$89,5,0)</f>
        <v>90.583999999999961</v>
      </c>
      <c r="CA75" s="13">
        <f t="shared" si="93"/>
        <v>24.706018667982935</v>
      </c>
      <c r="CB75" s="20">
        <f t="shared" si="64"/>
        <v>200.79678251340351</v>
      </c>
      <c r="CC75" s="59">
        <f t="shared" si="65"/>
        <v>494.13011584673683</v>
      </c>
      <c r="CD75" s="59">
        <f ca="1">AVERAGE(OFFSET($CC$3,0,0,'Données projet'!$E$12+1,1))-AVERAGE(OFFSET($H$3,0,0,'Données projet'!$E$12+1,1))</f>
        <v>72.953866894533007</v>
      </c>
      <c r="CE75" s="59">
        <f t="shared" si="94"/>
        <v>60.640359826163092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0</v>
      </c>
      <c r="CL75" s="21">
        <f>EXP(-LN(2)/25)*CL74+(1-EXP(-LN(2)/25))/(LN(2)/25)*Calculateur!CG75*Calculateur!CI75*VLOOKUP('Données projet'!$B$12,Paramètres!$A$1:$I$89,3,0)*0.475*44/12</f>
        <v>3.7062442731645664</v>
      </c>
      <c r="CM75" s="21">
        <f>EXP(-LN(2)/2)*CM74+(1-EXP(-LN(2)/2))/(LN(2)/2)*CG75*CJ75*VLOOKUP('Données projet'!$B$12,Paramètres!$A$1:$I$89,3,0)*0.475*44/12</f>
        <v>0.81948579268917543</v>
      </c>
      <c r="CN75" s="22">
        <f t="shared" si="66"/>
        <v>4.5257300658537414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4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383.58476182460123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-1.7053025658242404E-13</v>
      </c>
      <c r="O76" s="13">
        <f>N76*VLOOKUP('Données projet'!$B$9,Paramètres!$A$1:$I$89,3,0)*VLOOKUP('Données projet'!$B$9,Paramètres!$A$1:$I$89,5,0)</f>
        <v>-1.0197709343628959E-13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235.90365770026909</v>
      </c>
      <c r="T76" s="59">
        <f t="shared" si="88"/>
        <v>348.09952585694253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76.437125558884432</v>
      </c>
      <c r="AA76" s="21">
        <f>EXP(-LN(2)/25)*AA75+(1-EXP(-LN(2)/25))/(LN(2)/25)*Calculateur!V76*Calculateur!X76*VLOOKUP('Données projet'!$B$9,Paramètres!$A$1:$I$89,3,0)*0.475*44/12</f>
        <v>22.41648016586079</v>
      </c>
      <c r="AB76" s="21">
        <f>EXP(-LN(2)/2)*AB75+(1-EXP(-LN(2)/2))/(LN(2)/2)*V76*Y76*VLOOKUP('Données projet'!$B$9,Paramètres!$A$1:$I$89,3,0)*0.475*44/12</f>
        <v>4.1888493193365881E-3</v>
      </c>
      <c r="AC76" s="22">
        <f t="shared" si="57"/>
        <v>98.857794574064556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9.733749999999997</v>
      </c>
      <c r="AI76" s="13">
        <f>IF('Données projet'!$A$62&gt;35,AI75+AH76-AQ75,IF(A76&lt;'Données projet'!$A$62,$AF$205^A76,IF(A76='Données projet'!$A$62,'Données projet'!$B$62,AI75+AH76-AQ75)))</f>
        <v>301.22625000000028</v>
      </c>
      <c r="AJ76" s="13">
        <f>AI76*VLOOKUP('Données projet'!$B$10,Paramètres!$A$1:$I$89,3,0)*VLOOKUP('Données projet'!$B$10,Paramètres!$A$1:$I$89,5,0)</f>
        <v>272.54951100000028</v>
      </c>
      <c r="AK76" s="13">
        <f t="shared" si="89"/>
        <v>65.390043555628168</v>
      </c>
      <c r="AL76" s="20">
        <f t="shared" si="58"/>
        <v>588.57805751771946</v>
      </c>
      <c r="AM76" s="59">
        <f t="shared" si="59"/>
        <v>881.91139085105283</v>
      </c>
      <c r="AN76" s="59">
        <f ca="1">AVERAGE(OFFSET($AM$3,0,0,'Données projet'!$E$10+1,1))-AVERAGE(OFFSET($H$3,0,0,'Données projet'!$E$10+1,1))</f>
        <v>490.21869105612649</v>
      </c>
      <c r="AO76" s="59">
        <f t="shared" si="90"/>
        <v>207.08773997010911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7.0346534942578245</v>
      </c>
      <c r="AV76" s="21">
        <f>EXP(-LN(2)/25)*AV75+(1-EXP(-LN(2)/25))/(LN(2)/25)*Calculateur!AQ76*Calculateur!AS76*VLOOKUP('Données projet'!$B$10,Paramètres!$A$1:$I$89,3,0)*0.475*44/12</f>
        <v>27.852092643773851</v>
      </c>
      <c r="AW76" s="21">
        <f>EXP(-LN(2)/2)*AW75+(1-EXP(-LN(2)/2))/(LN(2)/2)*AQ76*AT76*VLOOKUP('Données projet'!$B$10,Paramètres!$A$1:$I$89,3,0)*0.475*44/12</f>
        <v>0.45250877222617303</v>
      </c>
      <c r="AX76" s="21">
        <f t="shared" si="60"/>
        <v>35.33925491025785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2.1794871794871766</v>
      </c>
      <c r="BD76" s="12">
        <f>IF('Données projet'!$A$88&gt;35,BD75+BC76-BL75,IF(A76&lt;'Données projet'!$A$88,$BA$205^A76,IF(A76='Données projet'!$A$88,'Données projet'!$B$88,BD75+BC76-BL75)))</f>
        <v>126.41025641025635</v>
      </c>
      <c r="BE76" s="13">
        <f>BD76*VLOOKUP('Données projet'!$B$11,Paramètres!$A$1:$I$89,3,0)*VLOOKUP('Données projet'!$B$11,Paramètres!$A$1:$I$89,5,0)</f>
        <v>132.12399999999994</v>
      </c>
      <c r="BF76" s="13">
        <f t="shared" si="91"/>
        <v>34.486689488144428</v>
      </c>
      <c r="BG76" s="20">
        <f t="shared" si="61"/>
        <v>290.18028419185146</v>
      </c>
      <c r="BH76" s="59">
        <f t="shared" si="62"/>
        <v>583.51361752518483</v>
      </c>
      <c r="BI76" s="59">
        <f ca="1">AVERAGE(OFFSET($BH$3,0,0,'Données projet'!$E$11+1,1))-AVERAGE(OFFSET($H$3,0,0,'Données projet'!$E$11+1,1))</f>
        <v>144.01698107732989</v>
      </c>
      <c r="BJ76" s="59">
        <f t="shared" si="92"/>
        <v>139.28039875117332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0.82789306781237959</v>
      </c>
      <c r="BQ76" s="21">
        <f>EXP(-LN(2)/25)*BQ75+(1-EXP(-LN(2)/25))/(LN(2)/25)*Calculateur!BL76*Calculateur!BN76*VLOOKUP('Données projet'!$B$11,Paramètres!$A$1:$I$89,3,0)*0.475*44/12</f>
        <v>15.445997311449274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16.273890379261655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2.3076923076923093</v>
      </c>
      <c r="BY76" s="12">
        <f>IF('Données projet'!$A$114&gt;35,BY75+BX76-CG75,IF(A76&lt;'Données projet'!$A$114,$BV$205^A76,IF(A76='Données projet'!$A$114,'Données projet'!$B$114,BY75+BX76-CG75)))</f>
        <v>113.97435897435892</v>
      </c>
      <c r="BZ76" s="13">
        <f>BY76*VLOOKUP('Données projet'!$B$12,Paramètres!$A$1:$I$89,3,0)*VLOOKUP('Données projet'!$B$12,Paramètres!$A$1:$I$89,5,0)</f>
        <v>92.455999999999975</v>
      </c>
      <c r="CA76" s="13">
        <f t="shared" si="93"/>
        <v>25.156621727947371</v>
      </c>
      <c r="CB76" s="20">
        <f t="shared" si="64"/>
        <v>204.84198284284162</v>
      </c>
      <c r="CC76" s="59">
        <f t="shared" si="65"/>
        <v>498.17531617617493</v>
      </c>
      <c r="CD76" s="59">
        <f ca="1">AVERAGE(OFFSET($CC$3,0,0,'Données projet'!$E$12+1,1))-AVERAGE(OFFSET($H$3,0,0,'Données projet'!$E$12+1,1))</f>
        <v>72.953866894533007</v>
      </c>
      <c r="CE76" s="59">
        <f t="shared" si="94"/>
        <v>60.640359826163092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0</v>
      </c>
      <c r="CL76" s="21">
        <f>EXP(-LN(2)/25)*CL75+(1-EXP(-LN(2)/25))/(LN(2)/25)*Calculateur!CG76*Calculateur!CI76*VLOOKUP('Données projet'!$B$12,Paramètres!$A$1:$I$89,3,0)*0.475*44/12</f>
        <v>3.6048968286119658</v>
      </c>
      <c r="CM76" s="21">
        <f>EXP(-LN(2)/2)*CM75+(1-EXP(-LN(2)/2))/(LN(2)/2)*CG76*CJ76*VLOOKUP('Données projet'!$B$12,Paramètres!$A$1:$I$89,3,0)*0.475*44/12</f>
        <v>0.5794639610965493</v>
      </c>
      <c r="CN76" s="22">
        <f t="shared" si="66"/>
        <v>4.1843607897085153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4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384.78766557089068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-1.7053025658242404E-13</v>
      </c>
      <c r="O77" s="13">
        <f>N77*VLOOKUP('Données projet'!$B$9,Paramètres!$A$1:$I$89,3,0)*VLOOKUP('Données projet'!$B$9,Paramètres!$A$1:$I$89,5,0)</f>
        <v>-1.0197709343628959E-13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235.90365770026909</v>
      </c>
      <c r="T77" s="59">
        <f t="shared" si="88"/>
        <v>348.09952585694253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74.938240148717753</v>
      </c>
      <c r="AA77" s="21">
        <f>EXP(-LN(2)/25)*AA76+(1-EXP(-LN(2)/25))/(LN(2)/25)*Calculateur!V77*Calculateur!X77*VLOOKUP('Données projet'!$B$9,Paramètres!$A$1:$I$89,3,0)*0.475*44/12</f>
        <v>21.803500336893869</v>
      </c>
      <c r="AB77" s="21">
        <f>EXP(-LN(2)/2)*AB76+(1-EXP(-LN(2)/2))/(LN(2)/2)*V77*Y77*VLOOKUP('Données projet'!$B$9,Paramètres!$A$1:$I$89,3,0)*0.475*44/12</f>
        <v>2.9619637590715554E-3</v>
      </c>
      <c r="AC77" s="22">
        <f t="shared" si="57"/>
        <v>96.744702449370692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>
        <f>VLOOKUP(A77,'Données projet'!$A$61:$I$81,2,0)</f>
        <v>310.95999999999998</v>
      </c>
      <c r="AG77" s="12">
        <f>VLOOKUP(A77,'Données projet'!$A$61:$I$81,9,0)</f>
        <v>9.733749999999997</v>
      </c>
      <c r="AH77" s="12">
        <f t="array" ref="AH77">INDEX(AG:AG,MIN(IF(ISNUMBER(AG77:AG273),ROW(AG77:AG273),"")))</f>
        <v>9.733749999999997</v>
      </c>
      <c r="AI77" s="13">
        <f>IF('Données projet'!$A$62&gt;35,AI76+AH77-AQ76,IF(A77&lt;'Données projet'!$A$62,$AF$205^A77,IF(A77='Données projet'!$A$62,'Données projet'!$B$62,AI76+AH77-AQ76)))</f>
        <v>310.96000000000026</v>
      </c>
      <c r="AJ77" s="13">
        <f>AI77*VLOOKUP('Données projet'!$B$10,Paramètres!$A$1:$I$89,3,0)*VLOOKUP('Données projet'!$B$10,Paramètres!$A$1:$I$89,5,0)</f>
        <v>281.35660800000022</v>
      </c>
      <c r="AK77" s="13">
        <f t="shared" si="89"/>
        <v>67.253618453644265</v>
      </c>
      <c r="AL77" s="20">
        <f t="shared" si="58"/>
        <v>607.16281107343082</v>
      </c>
      <c r="AM77" s="59">
        <f t="shared" si="59"/>
        <v>900.49614440676419</v>
      </c>
      <c r="AN77" s="59">
        <f ca="1">AVERAGE(OFFSET($AM$3,0,0,'Données projet'!$E$10+1,1))-AVERAGE(OFFSET($H$3,0,0,'Données projet'!$E$10+1,1))</f>
        <v>490.21869105612649</v>
      </c>
      <c r="AO77" s="59">
        <f t="shared" si="90"/>
        <v>207.08773997010911</v>
      </c>
      <c r="AP77" s="15">
        <f>IF(ISNA(VLOOKUP(A77,'Données projet'!$A$61:$I$81,3,0)),0,VLOOKUP(A77,'Données projet'!$A$61:$I$81,3,0))</f>
        <v>5</v>
      </c>
      <c r="AQ77" s="15">
        <f>IF(ISNA(VLOOKUP(A77,'Données projet'!$A$61:$I$81,4,0)),0,VLOOKUP(A77,'Données projet'!$A$61:$I$81,4,0))</f>
        <v>51.339999999999975</v>
      </c>
      <c r="AR77" s="16">
        <f>IF(ISNA(VLOOKUP(A77,'Données projet'!$A$61:$I$81,5,0)),0%,VLOOKUP(A77,'Données projet'!$A$61:$I$81,5,0)*VLOOKUP('Données projet'!$B$10,Paramètres!$A$1:$I$89,7,0))</f>
        <v>0.15049999999999999</v>
      </c>
      <c r="AS77" s="16">
        <f>IF(ISNA(VLOOKUP(A77,'Données projet'!$A$61:$I$81,6,0)),0%,VLOOKUP(A77,'Données projet'!$A$61:$I$81,6,0)*VLOOKUP('Données projet'!$B$10,Paramètres!$A$1:$I$89,7,0))</f>
        <v>8.6000000000000007E-2</v>
      </c>
      <c r="AT77" s="16">
        <f>IF(ISNA(VLOOKUP(A77,'Données projet'!$A$61:$I$81,7,0)),0%,VLOOKUP(A77,'Données projet'!$A$61:$I$81,7,0))</f>
        <v>0.1</v>
      </c>
      <c r="AU77" s="21">
        <f>EXP(-LN(2)/35)*AU76+(1-EXP(-LN(2)/35))/(LN(2)/35)*AQ77*AR77*VLOOKUP('Données projet'!$B$10,Paramètres!$A$1:$I$89,3,0)*0.475*44/12</f>
        <v>14.625152268757301</v>
      </c>
      <c r="AV77" s="21">
        <f>EXP(-LN(2)/25)*AV76+(1-EXP(-LN(2)/25))/(LN(2)/25)*Calculateur!AQ77*Calculateur!AS77*VLOOKUP('Données projet'!$B$10,Paramètres!$A$1:$I$89,3,0)*0.475*44/12</f>
        <v>31.489340968528012</v>
      </c>
      <c r="AW77" s="21">
        <f>EXP(-LN(2)/2)*AW76+(1-EXP(-LN(2)/2))/(LN(2)/2)*AQ77*AT77*VLOOKUP('Données projet'!$B$10,Paramètres!$A$1:$I$89,3,0)*0.475*44/12</f>
        <v>4.7028840054751821</v>
      </c>
      <c r="AX77" s="21">
        <f t="shared" si="60"/>
        <v>50.8173772427605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2.1794871794871766</v>
      </c>
      <c r="BD77" s="12">
        <f>IF('Données projet'!$A$88&gt;35,BD76+BC77-BL76,IF(A77&lt;'Données projet'!$A$88,$BA$205^A77,IF(A77='Données projet'!$A$88,'Données projet'!$B$88,BD76+BC77-BL76)))</f>
        <v>128.58974358974353</v>
      </c>
      <c r="BE77" s="13">
        <f>BD77*VLOOKUP('Données projet'!$B$11,Paramètres!$A$1:$I$89,3,0)*VLOOKUP('Données projet'!$B$11,Paramètres!$A$1:$I$89,5,0)</f>
        <v>134.40199999999996</v>
      </c>
      <c r="BF77" s="13">
        <f t="shared" si="91"/>
        <v>35.011552518023244</v>
      </c>
      <c r="BG77" s="20">
        <f t="shared" si="61"/>
        <v>295.06193730222373</v>
      </c>
      <c r="BH77" s="59">
        <f t="shared" si="62"/>
        <v>588.39527063555704</v>
      </c>
      <c r="BI77" s="59">
        <f ca="1">AVERAGE(OFFSET($BH$3,0,0,'Données projet'!$E$11+1,1))-AVERAGE(OFFSET($H$3,0,0,'Données projet'!$E$11+1,1))</f>
        <v>144.01698107732989</v>
      </c>
      <c r="BJ77" s="59">
        <f t="shared" si="92"/>
        <v>139.28039875117332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0.81165858971748905</v>
      </c>
      <c r="BQ77" s="21">
        <f>EXP(-LN(2)/25)*BQ76+(1-EXP(-LN(2)/25))/(LN(2)/25)*Calculateur!BL77*Calculateur!BN77*VLOOKUP('Données projet'!$B$11,Paramètres!$A$1:$I$89,3,0)*0.475*44/12</f>
        <v>15.023625702697997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15.835284292415485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2.3076923076923093</v>
      </c>
      <c r="BY77" s="12">
        <f>IF('Données projet'!$A$114&gt;35,BY76+BX77-CG76,IF(A77&lt;'Données projet'!$A$114,$BV$205^A77,IF(A77='Données projet'!$A$114,'Données projet'!$B$114,BY76+BX77-CG76)))</f>
        <v>116.28205128205123</v>
      </c>
      <c r="BZ77" s="13">
        <f>BY77*VLOOKUP('Données projet'!$B$12,Paramètres!$A$1:$I$89,3,0)*VLOOKUP('Données projet'!$B$12,Paramètres!$A$1:$I$89,5,0)</f>
        <v>94.32799999999996</v>
      </c>
      <c r="CA77" s="13">
        <f t="shared" si="93"/>
        <v>25.606163978031738</v>
      </c>
      <c r="CB77" s="20">
        <f t="shared" si="64"/>
        <v>208.88533559507187</v>
      </c>
      <c r="CC77" s="59">
        <f t="shared" si="65"/>
        <v>502.21866892840518</v>
      </c>
      <c r="CD77" s="59">
        <f ca="1">AVERAGE(OFFSET($CC$3,0,0,'Données projet'!$E$12+1,1))-AVERAGE(OFFSET($H$3,0,0,'Données projet'!$E$12+1,1))</f>
        <v>72.953866894533007</v>
      </c>
      <c r="CE77" s="59">
        <f t="shared" si="94"/>
        <v>60.640359826163092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0</v>
      </c>
      <c r="CL77" s="21">
        <f>EXP(-LN(2)/25)*CL76+(1-EXP(-LN(2)/25))/(LN(2)/25)*Calculateur!CG77*Calculateur!CI77*VLOOKUP('Données projet'!$B$12,Paramètres!$A$1:$I$89,3,0)*0.475*44/12</f>
        <v>3.5063207352602865</v>
      </c>
      <c r="CM77" s="21">
        <f>EXP(-LN(2)/2)*CM76+(1-EXP(-LN(2)/2))/(LN(2)/2)*CG77*CJ77*VLOOKUP('Données projet'!$B$12,Paramètres!$A$1:$I$89,3,0)*0.475*44/12</f>
        <v>0.40974289634458783</v>
      </c>
      <c r="CN77" s="22">
        <f t="shared" si="66"/>
        <v>3.9160636316048745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4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385.99017329953574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-1.7053025658242404E-13</v>
      </c>
      <c r="O78" s="13">
        <f>N78*VLOOKUP('Données projet'!$B$9,Paramètres!$A$1:$I$89,3,0)*VLOOKUP('Données projet'!$B$9,Paramètres!$A$1:$I$89,5,0)</f>
        <v>-1.0197709343628959E-13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235.90365770026909</v>
      </c>
      <c r="T78" s="59">
        <f t="shared" si="88"/>
        <v>348.09952585694253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73.468746967214614</v>
      </c>
      <c r="AA78" s="21">
        <f>EXP(-LN(2)/25)*AA77+(1-EXP(-LN(2)/25))/(LN(2)/25)*Calculateur!V78*Calculateur!X78*VLOOKUP('Données projet'!$B$9,Paramètres!$A$1:$I$89,3,0)*0.475*44/12</f>
        <v>21.207282473585256</v>
      </c>
      <c r="AB78" s="21">
        <f>EXP(-LN(2)/2)*AB77+(1-EXP(-LN(2)/2))/(LN(2)/2)*V78*Y78*VLOOKUP('Données projet'!$B$9,Paramètres!$A$1:$I$89,3,0)*0.475*44/12</f>
        <v>2.0944246596682941E-3</v>
      </c>
      <c r="AC78" s="22">
        <f t="shared" si="57"/>
        <v>94.67812386545954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9.546999999999997</v>
      </c>
      <c r="AI78" s="13">
        <f>IF('Données projet'!$A$62&gt;35,AI77+AH78-AQ77,IF(A78&lt;'Données projet'!$A$62,$AF$205^A78,IF(A78='Données projet'!$A$62,'Données projet'!$B$62,AI77+AH78-AQ77)))</f>
        <v>269.16700000000031</v>
      </c>
      <c r="AJ78" s="13">
        <f>AI78*VLOOKUP('Données projet'!$B$10,Paramètres!$A$1:$I$89,3,0)*VLOOKUP('Données projet'!$B$10,Paramètres!$A$1:$I$89,5,0)</f>
        <v>243.54230160000029</v>
      </c>
      <c r="AK78" s="13">
        <f t="shared" si="89"/>
        <v>59.201022808040776</v>
      </c>
      <c r="AL78" s="20">
        <f t="shared" si="58"/>
        <v>527.27795667733812</v>
      </c>
      <c r="AM78" s="59">
        <f t="shared" si="59"/>
        <v>820.61129001067138</v>
      </c>
      <c r="AN78" s="59">
        <f ca="1">AVERAGE(OFFSET($AM$3,0,0,'Données projet'!$E$10+1,1))-AVERAGE(OFFSET($H$3,0,0,'Données projet'!$E$10+1,1))</f>
        <v>490.21869105612649</v>
      </c>
      <c r="AO78" s="59">
        <f t="shared" si="90"/>
        <v>207.08773997010911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14.338361953229031</v>
      </c>
      <c r="AV78" s="21">
        <f>EXP(-LN(2)/25)*AV77+(1-EXP(-LN(2)/25))/(LN(2)/25)*Calculateur!AQ78*Calculateur!AS78*VLOOKUP('Données projet'!$B$10,Paramètres!$A$1:$I$89,3,0)*0.475*44/12</f>
        <v>30.628263283791142</v>
      </c>
      <c r="AW78" s="21">
        <f>EXP(-LN(2)/2)*AW77+(1-EXP(-LN(2)/2))/(LN(2)/2)*AQ78*AT78*VLOOKUP('Données projet'!$B$10,Paramètres!$A$1:$I$89,3,0)*0.475*44/12</f>
        <v>3.3254411714052541</v>
      </c>
      <c r="AX78" s="21">
        <f t="shared" si="60"/>
        <v>48.292066408425427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130.76923076923075</v>
      </c>
      <c r="BB78" s="12">
        <f>VLOOKUP(A78,'Données projet'!$A$87:$I$107,9,0)</f>
        <v>2.1794871794871766</v>
      </c>
      <c r="BC78" s="12">
        <f t="array" ref="BC78">INDEX(BB:BB,MIN(IF(ISNUMBER(BB78:BB274),ROW(BB78:BB274),"")))</f>
        <v>2.1794871794871766</v>
      </c>
      <c r="BD78" s="12">
        <f>IF('Données projet'!$A$88&gt;35,BD77+BC78-BL77,IF(A78&lt;'Données projet'!$A$88,$BA$205^A78,IF(A78='Données projet'!$A$88,'Données projet'!$B$88,BD77+BC78-BL77)))</f>
        <v>130.76923076923072</v>
      </c>
      <c r="BE78" s="13">
        <f>BD78*VLOOKUP('Données projet'!$B$11,Paramètres!$A$1:$I$89,3,0)*VLOOKUP('Données projet'!$B$11,Paramètres!$A$1:$I$89,5,0)</f>
        <v>136.67999999999995</v>
      </c>
      <c r="BF78" s="13">
        <f t="shared" si="91"/>
        <v>35.535381023829849</v>
      </c>
      <c r="BG78" s="20">
        <f t="shared" si="61"/>
        <v>299.94178861650352</v>
      </c>
      <c r="BH78" s="59">
        <f t="shared" si="62"/>
        <v>593.27512194983683</v>
      </c>
      <c r="BI78" s="59">
        <f ca="1">AVERAGE(OFFSET($BH$3,0,0,'Données projet'!$E$11+1,1))-AVERAGE(OFFSET($H$3,0,0,'Données projet'!$E$11+1,1))</f>
        <v>144.01698107732989</v>
      </c>
      <c r="BJ78" s="59">
        <f t="shared" si="92"/>
        <v>139.28039875117332</v>
      </c>
      <c r="BK78" s="15">
        <f>IF(ISNA(VLOOKUP(A78,'Données projet'!$A$87:$I$107,3,0)),0,VLOOKUP(A78,'Données projet'!$A$87:$I$107,3,0))</f>
        <v>12</v>
      </c>
      <c r="BL78" s="15">
        <f>IF(ISNA(VLOOKUP(A78,'Données projet'!$A$87:$I$107,4,0)),0,VLOOKUP(A78,'Données projet'!$A$87:$I$107,4,0))</f>
        <v>7.6923076923076916</v>
      </c>
      <c r="BM78" s="16">
        <f>IF(ISNA(VLOOKUP(A78,'Données projet'!$A$87:$I$107,5,0)),0%,VLOOKUP(A78,'Données projet'!$A$87:$I$107,5,0)*VLOOKUP('Données projet'!$B$11,Paramètres!$A$1:$I$89,7,0))</f>
        <v>4.3000000000000003E-2</v>
      </c>
      <c r="BN78" s="16">
        <f>IF(ISNA(VLOOKUP(A78,'Données projet'!$A$87:$I$107,6,0)),0%,VLOOKUP(A78,'Données projet'!$A$87:$I$107,6,0)*VLOOKUP('Données projet'!$B$11,Paramètres!$A$1:$I$89,7,0))</f>
        <v>0.215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1.177925679448117</v>
      </c>
      <c r="BQ78" s="21">
        <f>EXP(-LN(2)/25)*BQ77+(1-EXP(-LN(2)/25))/(LN(2)/25)*Calculateur!BL78*Calculateur!BN78*VLOOKUP('Données projet'!$B$11,Paramètres!$A$1:$I$89,3,0)*0.475*44/12</f>
        <v>16.516195961066057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17.694121640514172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118.58974358974359</v>
      </c>
      <c r="BW78" s="12">
        <f>VLOOKUP(A78,'Données projet'!$A$113:$I$133,9,0)</f>
        <v>2.3076923076923093</v>
      </c>
      <c r="BX78" s="12">
        <f t="array" ref="BX78">INDEX(BW:BW,MIN(IF(ISNUMBER(BW78:BW274),ROW(BW78:BW274),"")))</f>
        <v>2.3076923076923093</v>
      </c>
      <c r="BY78" s="12">
        <f>IF('Données projet'!$A$114&gt;35,BY77+BX78-CG77,IF(A78&lt;'Données projet'!$A$114,$BV$205^A78,IF(A78='Données projet'!$A$114,'Données projet'!$B$114,BY77+BX78-CG77)))</f>
        <v>118.58974358974353</v>
      </c>
      <c r="BZ78" s="13">
        <f>BY78*VLOOKUP('Données projet'!$B$12,Paramètres!$A$1:$I$89,3,0)*VLOOKUP('Données projet'!$B$12,Paramètres!$A$1:$I$89,5,0)</f>
        <v>96.19999999999996</v>
      </c>
      <c r="CA78" s="13">
        <f t="shared" si="93"/>
        <v>26.054668897183113</v>
      </c>
      <c r="CB78" s="20">
        <f t="shared" si="64"/>
        <v>212.92688166259384</v>
      </c>
      <c r="CC78" s="59">
        <f t="shared" si="65"/>
        <v>506.26021499592719</v>
      </c>
      <c r="CD78" s="59">
        <f ca="1">AVERAGE(OFFSET($CC$3,0,0,'Données projet'!$E$12+1,1))-AVERAGE(OFFSET($H$3,0,0,'Données projet'!$E$12+1,1))</f>
        <v>72.953866894533007</v>
      </c>
      <c r="CE78" s="59">
        <f t="shared" si="94"/>
        <v>60.640359826163092</v>
      </c>
      <c r="CF78" s="15">
        <f>IF(ISNA(VLOOKUP(A78,'Données projet'!$A$113:$I$133,3,0)),0,VLOOKUP(A78,'Données projet'!$A$113:$I$133,3,0))</f>
        <v>13</v>
      </c>
      <c r="CG78" s="15">
        <f>IF(ISNA(VLOOKUP(A78,'Données projet'!$A$113:$I$133,4,0)),0,VLOOKUP(A78,'Données projet'!$A$113:$I$133,4,0))</f>
        <v>7.0512820512820511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0.1075</v>
      </c>
      <c r="CJ78" s="16">
        <f>IF(ISNA(VLOOKUP(A78,'Données projet'!$A$113:$I$133,7,0)),0%,VLOOKUP(A78,'Données projet'!$A$113:$I$133,7,0))</f>
        <v>0.25</v>
      </c>
      <c r="CK78" s="21">
        <f>EXP(-LN(2)/35)*CK77+(1-EXP(-LN(2)/35))/(LN(2)/35)*CG78*CH78*VLOOKUP('Données projet'!$B$12,Paramètres!$A$1:$I$89,3,0)*0.475*44/12</f>
        <v>0</v>
      </c>
      <c r="CL78" s="21">
        <f>EXP(-LN(2)/25)*CL77+(1-EXP(-LN(2)/25))/(LN(2)/25)*Calculateur!CG78*Calculateur!CI78*VLOOKUP('Données projet'!$B$12,Paramètres!$A$1:$I$89,3,0)*0.475*44/12</f>
        <v>4.0875174972734243</v>
      </c>
      <c r="CM78" s="21">
        <f>EXP(-LN(2)/2)*CM77+(1-EXP(-LN(2)/2))/(LN(2)/2)*CG78*CJ78*VLOOKUP('Données projet'!$B$12,Paramètres!$A$1:$I$89,3,0)*0.475*44/12</f>
        <v>1.6389754684339801</v>
      </c>
      <c r="CN78" s="22">
        <f t="shared" si="66"/>
        <v>5.7264929657074042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4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387.19229090117022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-1.7053025658242404E-13</v>
      </c>
      <c r="O79" s="13">
        <f>N79*VLOOKUP('Données projet'!$B$9,Paramètres!$A$1:$I$89,3,0)*VLOOKUP('Données projet'!$B$9,Paramètres!$A$1:$I$89,5,0)</f>
        <v>-1.0197709343628959E-13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235.90365770026909</v>
      </c>
      <c r="T79" s="59">
        <f t="shared" si="88"/>
        <v>348.09952585694253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72.028069650698413</v>
      </c>
      <c r="AA79" s="21">
        <f>EXP(-LN(2)/25)*AA78+(1-EXP(-LN(2)/25))/(LN(2)/25)*Calculateur!V79*Calculateur!X79*VLOOKUP('Données projet'!$B$9,Paramètres!$A$1:$I$89,3,0)*0.475*44/12</f>
        <v>20.62736821910255</v>
      </c>
      <c r="AB79" s="21">
        <f>EXP(-LN(2)/2)*AB78+(1-EXP(-LN(2)/2))/(LN(2)/2)*V79*Y79*VLOOKUP('Données projet'!$B$9,Paramètres!$A$1:$I$89,3,0)*0.475*44/12</f>
        <v>1.4809818795357777E-3</v>
      </c>
      <c r="AC79" s="22">
        <f t="shared" si="57"/>
        <v>92.656918851680501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9.546999999999997</v>
      </c>
      <c r="AI79" s="13">
        <f>IF('Données projet'!$A$62&gt;35,AI78+AH79-AQ78,IF(A79&lt;'Données projet'!$A$62,$AF$205^A79,IF(A79='Données projet'!$A$62,'Données projet'!$B$62,AI78+AH79-AQ78)))</f>
        <v>278.71400000000028</v>
      </c>
      <c r="AJ79" s="13">
        <f>AI79*VLOOKUP('Données projet'!$B$10,Paramètres!$A$1:$I$89,3,0)*VLOOKUP('Données projet'!$B$10,Paramètres!$A$1:$I$89,5,0)</f>
        <v>252.18042720000025</v>
      </c>
      <c r="AK79" s="13">
        <f t="shared" si="89"/>
        <v>61.052610283141384</v>
      </c>
      <c r="AL79" s="20">
        <f t="shared" si="58"/>
        <v>545.54754028313835</v>
      </c>
      <c r="AM79" s="59">
        <f t="shared" si="59"/>
        <v>838.88087361647172</v>
      </c>
      <c r="AN79" s="59">
        <f ca="1">AVERAGE(OFFSET($AM$3,0,0,'Données projet'!$E$10+1,1))-AVERAGE(OFFSET($H$3,0,0,'Données projet'!$E$10+1,1))</f>
        <v>490.21869105612649</v>
      </c>
      <c r="AO79" s="59">
        <f t="shared" si="90"/>
        <v>207.08773997010911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14.057195420863451</v>
      </c>
      <c r="AV79" s="21">
        <f>EXP(-LN(2)/25)*AV78+(1-EXP(-LN(2)/25))/(LN(2)/25)*Calculateur!AQ79*Calculateur!AS79*VLOOKUP('Données projet'!$B$10,Paramètres!$A$1:$I$89,3,0)*0.475*44/12</f>
        <v>29.790731813625509</v>
      </c>
      <c r="AW79" s="21">
        <f>EXP(-LN(2)/2)*AW78+(1-EXP(-LN(2)/2))/(LN(2)/2)*AQ79*AT79*VLOOKUP('Données projet'!$B$10,Paramètres!$A$1:$I$89,3,0)*0.475*44/12</f>
        <v>2.3514420027375915</v>
      </c>
      <c r="AX79" s="21">
        <f t="shared" si="60"/>
        <v>46.199369237226556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2.0512820512820582</v>
      </c>
      <c r="BD79" s="12">
        <f>IF('Données projet'!$A$88&gt;35,BD78+BC79-BL78,IF(A79&lt;'Données projet'!$A$88,$BA$205^A79,IF(A79='Données projet'!$A$88,'Données projet'!$B$88,BD78+BC79-BL78)))</f>
        <v>125.12820512820507</v>
      </c>
      <c r="BE79" s="13">
        <f>BD79*VLOOKUP('Données projet'!$B$11,Paramètres!$A$1:$I$89,3,0)*VLOOKUP('Données projet'!$B$11,Paramètres!$A$1:$I$89,5,0)</f>
        <v>130.78399999999993</v>
      </c>
      <c r="BF79" s="13">
        <f t="shared" si="91"/>
        <v>34.177455270520305</v>
      </c>
      <c r="BG79" s="20">
        <f t="shared" si="61"/>
        <v>287.30786792948942</v>
      </c>
      <c r="BH79" s="59">
        <f t="shared" si="62"/>
        <v>580.64120126282273</v>
      </c>
      <c r="BI79" s="59">
        <f ca="1">AVERAGE(OFFSET($BH$3,0,0,'Données projet'!$E$11+1,1))-AVERAGE(OFFSET($H$3,0,0,'Données projet'!$E$11+1,1))</f>
        <v>144.01698107732989</v>
      </c>
      <c r="BJ79" s="59">
        <f t="shared" si="92"/>
        <v>139.28039875117332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1.1548272753378614</v>
      </c>
      <c r="BQ79" s="21">
        <f>EXP(-LN(2)/25)*BQ78+(1-EXP(-LN(2)/25))/(LN(2)/25)*Calculateur!BL79*Calculateur!BN79*VLOOKUP('Données projet'!$B$11,Paramètres!$A$1:$I$89,3,0)*0.475*44/12</f>
        <v>16.064559713961707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17.219386989299569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2.3076923076923039</v>
      </c>
      <c r="BY79" s="12">
        <f>IF('Données projet'!$A$114&gt;35,BY78+BX79-CG78,IF(A79&lt;'Données projet'!$A$114,$BV$205^A79,IF(A79='Données projet'!$A$114,'Données projet'!$B$114,BY78+BX79-CG78)))</f>
        <v>113.84615384615378</v>
      </c>
      <c r="BZ79" s="13">
        <f>BY79*VLOOKUP('Données projet'!$B$12,Paramètres!$A$1:$I$89,3,0)*VLOOKUP('Données projet'!$B$12,Paramètres!$A$1:$I$89,5,0)</f>
        <v>92.351999999999947</v>
      </c>
      <c r="CA79" s="13">
        <f t="shared" si="93"/>
        <v>25.131616275989728</v>
      </c>
      <c r="CB79" s="20">
        <f t="shared" si="64"/>
        <v>204.61729834734868</v>
      </c>
      <c r="CC79" s="59">
        <f t="shared" si="65"/>
        <v>497.95063168068202</v>
      </c>
      <c r="CD79" s="59">
        <f ca="1">AVERAGE(OFFSET($CC$3,0,0,'Données projet'!$E$12+1,1))-AVERAGE(OFFSET($H$3,0,0,'Données projet'!$E$12+1,1))</f>
        <v>72.953866894533007</v>
      </c>
      <c r="CE79" s="59">
        <f t="shared" si="94"/>
        <v>60.640359826163092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0</v>
      </c>
      <c r="CL79" s="21">
        <f>EXP(-LN(2)/25)*CL78+(1-EXP(-LN(2)/25))/(LN(2)/25)*Calculateur!CG79*Calculateur!CI79*VLOOKUP('Données projet'!$B$12,Paramètres!$A$1:$I$89,3,0)*0.475*44/12</f>
        <v>3.9757441163572795</v>
      </c>
      <c r="CM79" s="21">
        <f>EXP(-LN(2)/2)*CM78+(1-EXP(-LN(2)/2))/(LN(2)/2)*CG79*CJ79*VLOOKUP('Données projet'!$B$12,Paramètres!$A$1:$I$89,3,0)*0.475*44/12</f>
        <v>1.1589306679280658</v>
      </c>
      <c r="CN79" s="22">
        <f t="shared" si="66"/>
        <v>5.1346747842853455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4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388.39402410250074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-1.7053025658242404E-13</v>
      </c>
      <c r="O80" s="13">
        <f>N80*VLOOKUP('Données projet'!$B$9,Paramètres!$A$1:$I$89,3,0)*VLOOKUP('Données projet'!$B$9,Paramètres!$A$1:$I$89,5,0)</f>
        <v>-1.0197709343628959E-13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235.90365770026909</v>
      </c>
      <c r="T80" s="59">
        <f t="shared" si="88"/>
        <v>348.09952585694253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70.615643137632702</v>
      </c>
      <c r="AA80" s="21">
        <f>EXP(-LN(2)/25)*AA79+(1-EXP(-LN(2)/25))/(LN(2)/25)*Calculateur!V80*Calculateur!X80*VLOOKUP('Données projet'!$B$9,Paramètres!$A$1:$I$89,3,0)*0.475*44/12</f>
        <v>20.063311750405042</v>
      </c>
      <c r="AB80" s="21">
        <f>EXP(-LN(2)/2)*AB79+(1-EXP(-LN(2)/2))/(LN(2)/2)*V80*Y80*VLOOKUP('Données projet'!$B$9,Paramètres!$A$1:$I$89,3,0)*0.475*44/12</f>
        <v>1.047212329834147E-3</v>
      </c>
      <c r="AC80" s="22">
        <f t="shared" si="57"/>
        <v>90.680002100367574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9.546999999999997</v>
      </c>
      <c r="AI80" s="13">
        <f>IF('Données projet'!$A$62&gt;35,AI79+AH80-AQ79,IF(A80&lt;'Données projet'!$A$62,$AF$205^A80,IF(A80='Données projet'!$A$62,'Données projet'!$B$62,AI79+AH80-AQ79)))</f>
        <v>288.26100000000031</v>
      </c>
      <c r="AJ80" s="13">
        <f>AI80*VLOOKUP('Données projet'!$B$10,Paramètres!$A$1:$I$89,3,0)*VLOOKUP('Données projet'!$B$10,Paramètres!$A$1:$I$89,5,0)</f>
        <v>260.8185528000003</v>
      </c>
      <c r="AK80" s="13">
        <f t="shared" si="89"/>
        <v>62.896828401660521</v>
      </c>
      <c r="AL80" s="20">
        <f t="shared" si="58"/>
        <v>563.80428892622592</v>
      </c>
      <c r="AM80" s="59">
        <f t="shared" si="59"/>
        <v>857.13762225955929</v>
      </c>
      <c r="AN80" s="59">
        <f ca="1">AVERAGE(OFFSET($AM$3,0,0,'Données projet'!$E$10+1,1))-AVERAGE(OFFSET($H$3,0,0,'Données projet'!$E$10+1,1))</f>
        <v>490.21869105612649</v>
      </c>
      <c r="AO80" s="59">
        <f t="shared" si="90"/>
        <v>207.08773997010911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13.781542392702908</v>
      </c>
      <c r="AV80" s="21">
        <f>EXP(-LN(2)/25)*AV79+(1-EXP(-LN(2)/25))/(LN(2)/25)*Calculateur!AQ80*Calculateur!AS80*VLOOKUP('Données projet'!$B$10,Paramètres!$A$1:$I$89,3,0)*0.475*44/12</f>
        <v>28.976102685555421</v>
      </c>
      <c r="AW80" s="21">
        <f>EXP(-LN(2)/2)*AW79+(1-EXP(-LN(2)/2))/(LN(2)/2)*AQ80*AT80*VLOOKUP('Données projet'!$B$10,Paramètres!$A$1:$I$89,3,0)*0.475*44/12</f>
        <v>1.6627205857026273</v>
      </c>
      <c r="AX80" s="21">
        <f t="shared" si="60"/>
        <v>44.420365663960958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2.0512820512820582</v>
      </c>
      <c r="BD80" s="12">
        <f>IF('Données projet'!$A$88&gt;35,BD79+BC80-BL79,IF(A80&lt;'Données projet'!$A$88,$BA$205^A80,IF(A80='Données projet'!$A$88,'Données projet'!$B$88,BD79+BC80-BL79)))</f>
        <v>127.17948717948713</v>
      </c>
      <c r="BE80" s="13">
        <f>BD80*VLOOKUP('Données projet'!$B$11,Paramètres!$A$1:$I$89,3,0)*VLOOKUP('Données projet'!$B$11,Paramètres!$A$1:$I$89,5,0)</f>
        <v>132.92799999999994</v>
      </c>
      <c r="BF80" s="13">
        <f t="shared" si="91"/>
        <v>34.67205462685105</v>
      </c>
      <c r="BG80" s="20">
        <f t="shared" si="61"/>
        <v>291.90342847509879</v>
      </c>
      <c r="BH80" s="59">
        <f t="shared" si="62"/>
        <v>585.23676180843211</v>
      </c>
      <c r="BI80" s="59">
        <f ca="1">AVERAGE(OFFSET($BH$3,0,0,'Données projet'!$E$11+1,1))-AVERAGE(OFFSET($H$3,0,0,'Données projet'!$E$11+1,1))</f>
        <v>144.01698107732989</v>
      </c>
      <c r="BJ80" s="59">
        <f t="shared" si="92"/>
        <v>139.28039875117332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1.1321818168435727</v>
      </c>
      <c r="BQ80" s="21">
        <f>EXP(-LN(2)/25)*BQ79+(1-EXP(-LN(2)/25))/(LN(2)/25)*Calculateur!BL80*Calculateur!BN80*VLOOKUP('Données projet'!$B$11,Paramètres!$A$1:$I$89,3,0)*0.475*44/12</f>
        <v>15.625273483784945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16.757455300628518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2.3076923076923039</v>
      </c>
      <c r="BY80" s="12">
        <f>IF('Données projet'!$A$114&gt;35,BY79+BX80-CG79,IF(A80&lt;'Données projet'!$A$114,$BV$205^A80,IF(A80='Données projet'!$A$114,'Données projet'!$B$114,BY79+BX80-CG79)))</f>
        <v>116.15384615384609</v>
      </c>
      <c r="BZ80" s="13">
        <f>BY80*VLOOKUP('Données projet'!$B$12,Paramètres!$A$1:$I$89,3,0)*VLOOKUP('Données projet'!$B$12,Paramètres!$A$1:$I$89,5,0)</f>
        <v>94.223999999999961</v>
      </c>
      <c r="CA80" s="13">
        <f t="shared" si="93"/>
        <v>25.581216834792983</v>
      </c>
      <c r="CB80" s="20">
        <f t="shared" si="64"/>
        <v>208.66075265393101</v>
      </c>
      <c r="CC80" s="59">
        <f t="shared" si="65"/>
        <v>501.99408598726433</v>
      </c>
      <c r="CD80" s="59">
        <f ca="1">AVERAGE(OFFSET($CC$3,0,0,'Données projet'!$E$12+1,1))-AVERAGE(OFFSET($H$3,0,0,'Données projet'!$E$12+1,1))</f>
        <v>72.953866894533007</v>
      </c>
      <c r="CE80" s="59">
        <f t="shared" si="94"/>
        <v>60.640359826163092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0</v>
      </c>
      <c r="CL80" s="21">
        <f>EXP(-LN(2)/25)*CL79+(1-EXP(-LN(2)/25))/(LN(2)/25)*Calculateur!CG80*Calculateur!CI80*VLOOKUP('Données projet'!$B$12,Paramètres!$A$1:$I$89,3,0)*0.475*44/12</f>
        <v>3.8670271844201936</v>
      </c>
      <c r="CM80" s="21">
        <f>EXP(-LN(2)/2)*CM79+(1-EXP(-LN(2)/2))/(LN(2)/2)*CG80*CJ80*VLOOKUP('Données projet'!$B$12,Paramètres!$A$1:$I$89,3,0)*0.475*44/12</f>
        <v>0.81948773421699017</v>
      </c>
      <c r="CN80" s="22">
        <f t="shared" si="66"/>
        <v>4.6865149186371839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4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389.59537847293694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-1.7053025658242404E-13</v>
      </c>
      <c r="O81" s="13">
        <f>N81*VLOOKUP('Données projet'!$B$9,Paramètres!$A$1:$I$89,3,0)*VLOOKUP('Données projet'!$B$9,Paramètres!$A$1:$I$89,5,0)</f>
        <v>-1.0197709343628959E-13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235.90365770026909</v>
      </c>
      <c r="T81" s="59">
        <f t="shared" si="88"/>
        <v>348.09952585694253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69.2309134469931</v>
      </c>
      <c r="AA81" s="21">
        <f>EXP(-LN(2)/25)*AA80+(1-EXP(-LN(2)/25))/(LN(2)/25)*Calculateur!V81*Calculateur!X81*VLOOKUP('Données projet'!$B$9,Paramètres!$A$1:$I$89,3,0)*0.475*44/12</f>
        <v>19.514679435506505</v>
      </c>
      <c r="AB81" s="21">
        <f>EXP(-LN(2)/2)*AB80+(1-EXP(-LN(2)/2))/(LN(2)/2)*V81*Y81*VLOOKUP('Données projet'!$B$9,Paramètres!$A$1:$I$89,3,0)*0.475*44/12</f>
        <v>7.4049093976788884E-4</v>
      </c>
      <c r="AC81" s="22">
        <f t="shared" si="57"/>
        <v>88.74633337343937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9.546999999999997</v>
      </c>
      <c r="AI81" s="13">
        <f>IF('Données projet'!$A$62&gt;35,AI80+AH81-AQ80,IF(A81&lt;'Données projet'!$A$62,$AF$205^A81,IF(A81='Données projet'!$A$62,'Données projet'!$B$62,AI80+AH81-AQ80)))</f>
        <v>297.80800000000033</v>
      </c>
      <c r="AJ81" s="13">
        <f>AI81*VLOOKUP('Données projet'!$B$10,Paramètres!$A$1:$I$89,3,0)*VLOOKUP('Données projet'!$B$10,Paramètres!$A$1:$I$89,5,0)</f>
        <v>269.45667840000027</v>
      </c>
      <c r="AK81" s="13">
        <f t="shared" si="89"/>
        <v>64.733949217436958</v>
      </c>
      <c r="AL81" s="20">
        <f t="shared" si="58"/>
        <v>582.04867643370324</v>
      </c>
      <c r="AM81" s="59">
        <f t="shared" si="59"/>
        <v>875.38200976703661</v>
      </c>
      <c r="AN81" s="59">
        <f ca="1">AVERAGE(OFFSET($AM$3,0,0,'Données projet'!$E$10+1,1))-AVERAGE(OFFSET($H$3,0,0,'Données projet'!$E$10+1,1))</f>
        <v>490.21869105612649</v>
      </c>
      <c r="AO81" s="59">
        <f t="shared" si="90"/>
        <v>207.08773997010911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13.51129475229285</v>
      </c>
      <c r="AV81" s="21">
        <f>EXP(-LN(2)/25)*AV80+(1-EXP(-LN(2)/25))/(LN(2)/25)*Calculateur!AQ81*Calculateur!AS81*VLOOKUP('Données projet'!$B$10,Paramètres!$A$1:$I$89,3,0)*0.475*44/12</f>
        <v>28.183749633831894</v>
      </c>
      <c r="AW81" s="21">
        <f>EXP(-LN(2)/2)*AW80+(1-EXP(-LN(2)/2))/(LN(2)/2)*AQ81*AT81*VLOOKUP('Données projet'!$B$10,Paramètres!$A$1:$I$89,3,0)*0.475*44/12</f>
        <v>1.175721001368796</v>
      </c>
      <c r="AX81" s="21">
        <f t="shared" si="60"/>
        <v>42.870765387493535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2.0512820512820582</v>
      </c>
      <c r="BD81" s="12">
        <f>IF('Données projet'!$A$88&gt;35,BD80+BC81-BL80,IF(A81&lt;'Données projet'!$A$88,$BA$205^A81,IF(A81='Données projet'!$A$88,'Données projet'!$B$88,BD80+BC81-BL80)))</f>
        <v>129.23076923076917</v>
      </c>
      <c r="BE81" s="13">
        <f>BD81*VLOOKUP('Données projet'!$B$11,Paramètres!$A$1:$I$89,3,0)*VLOOKUP('Données projet'!$B$11,Paramètres!$A$1:$I$89,5,0)</f>
        <v>135.07199999999995</v>
      </c>
      <c r="BF81" s="13">
        <f t="shared" si="91"/>
        <v>35.165726241361632</v>
      </c>
      <c r="BG81" s="20">
        <f t="shared" si="61"/>
        <v>296.49737320370468</v>
      </c>
      <c r="BH81" s="59">
        <f t="shared" si="62"/>
        <v>589.83070653703794</v>
      </c>
      <c r="BI81" s="59">
        <f ca="1">AVERAGE(OFFSET($BH$3,0,0,'Données projet'!$E$11+1,1))-AVERAGE(OFFSET($H$3,0,0,'Données projet'!$E$11+1,1))</f>
        <v>144.01698107732989</v>
      </c>
      <c r="BJ81" s="59">
        <f t="shared" si="92"/>
        <v>139.28039875117332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1.1099804219779912</v>
      </c>
      <c r="BQ81" s="21">
        <f>EXP(-LN(2)/25)*BQ80+(1-EXP(-LN(2)/25))/(LN(2)/25)*Calculateur!BL81*Calculateur!BN81*VLOOKUP('Données projet'!$B$11,Paramètres!$A$1:$I$89,3,0)*0.475*44/12</f>
        <v>15.197999558673425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16.307979980651417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2.3076923076923039</v>
      </c>
      <c r="BY81" s="12">
        <f>IF('Données projet'!$A$114&gt;35,BY80+BX81-CG80,IF(A81&lt;'Données projet'!$A$114,$BV$205^A81,IF(A81='Données projet'!$A$114,'Données projet'!$B$114,BY80+BX81-CG80)))</f>
        <v>118.4615384615384</v>
      </c>
      <c r="BZ81" s="13">
        <f>BY81*VLOOKUP('Données projet'!$B$12,Paramètres!$A$1:$I$89,3,0)*VLOOKUP('Données projet'!$B$12,Paramètres!$A$1:$I$89,5,0)</f>
        <v>96.095999999999947</v>
      </c>
      <c r="CA81" s="13">
        <f t="shared" si="93"/>
        <v>26.029778784173327</v>
      </c>
      <c r="CB81" s="20">
        <f t="shared" si="64"/>
        <v>212.70239804910179</v>
      </c>
      <c r="CC81" s="59">
        <f t="shared" si="65"/>
        <v>506.03573138243507</v>
      </c>
      <c r="CD81" s="59">
        <f ca="1">AVERAGE(OFFSET($CC$3,0,0,'Données projet'!$E$12+1,1))-AVERAGE(OFFSET($H$3,0,0,'Données projet'!$E$12+1,1))</f>
        <v>72.953866894533007</v>
      </c>
      <c r="CE81" s="59">
        <f t="shared" si="94"/>
        <v>60.640359826163092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0</v>
      </c>
      <c r="CL81" s="21">
        <f>EXP(-LN(2)/25)*CL80+(1-EXP(-LN(2)/25))/(LN(2)/25)*Calculateur!CG81*Calculateur!CI81*VLOOKUP('Données projet'!$B$12,Paramètres!$A$1:$I$89,3,0)*0.475*44/12</f>
        <v>3.7612831227041021</v>
      </c>
      <c r="CM81" s="21">
        <f>EXP(-LN(2)/2)*CM80+(1-EXP(-LN(2)/2))/(LN(2)/2)*CG81*CJ81*VLOOKUP('Données projet'!$B$12,Paramètres!$A$1:$I$89,3,0)*0.475*44/12</f>
        <v>0.57946533396403288</v>
      </c>
      <c r="CN81" s="22">
        <f t="shared" si="66"/>
        <v>4.3407484566681349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4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390.79635943087231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-1.7053025658242404E-13</v>
      </c>
      <c r="O82" s="13">
        <f>N82*VLOOKUP('Données projet'!$B$9,Paramètres!$A$1:$I$89,3,0)*VLOOKUP('Données projet'!$B$9,Paramètres!$A$1:$I$89,5,0)</f>
        <v>-1.0197709343628959E-13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235.90365770026909</v>
      </c>
      <c r="T82" s="59">
        <f t="shared" si="88"/>
        <v>348.09952585694253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67.873337460985226</v>
      </c>
      <c r="AA82" s="21">
        <f>EXP(-LN(2)/25)*AA81+(1-EXP(-LN(2)/25))/(LN(2)/25)*Calculateur!V82*Calculateur!X82*VLOOKUP('Données projet'!$B$9,Paramètres!$A$1:$I$89,3,0)*0.475*44/12</f>
        <v>18.981049500110188</v>
      </c>
      <c r="AB82" s="21">
        <f>EXP(-LN(2)/2)*AB81+(1-EXP(-LN(2)/2))/(LN(2)/2)*V82*Y82*VLOOKUP('Données projet'!$B$9,Paramètres!$A$1:$I$89,3,0)*0.475*44/12</f>
        <v>5.2360616491707352E-4</v>
      </c>
      <c r="AC82" s="22">
        <f t="shared" si="57"/>
        <v>86.854910567260333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9.546999999999997</v>
      </c>
      <c r="AI82" s="13">
        <f>IF('Données projet'!$A$62&gt;35,AI81+AH82-AQ81,IF(A82&lt;'Données projet'!$A$62,$AF$205^A82,IF(A82='Données projet'!$A$62,'Données projet'!$B$62,AI81+AH82-AQ81)))</f>
        <v>307.35500000000036</v>
      </c>
      <c r="AJ82" s="13">
        <f>AI82*VLOOKUP('Données projet'!$B$10,Paramètres!$A$1:$I$89,3,0)*VLOOKUP('Données projet'!$B$10,Paramètres!$A$1:$I$89,5,0)</f>
        <v>278.09480400000029</v>
      </c>
      <c r="AK82" s="13">
        <f t="shared" si="89"/>
        <v>66.564226351179173</v>
      </c>
      <c r="AL82" s="20">
        <f t="shared" si="58"/>
        <v>600.28114452830425</v>
      </c>
      <c r="AM82" s="59">
        <f t="shared" si="59"/>
        <v>893.61447786163762</v>
      </c>
      <c r="AN82" s="59">
        <f ca="1">AVERAGE(OFFSET($AM$3,0,0,'Données projet'!$E$10+1,1))-AVERAGE(OFFSET($H$3,0,0,'Données projet'!$E$10+1,1))</f>
        <v>490.21869105612649</v>
      </c>
      <c r="AO82" s="59">
        <f t="shared" si="90"/>
        <v>207.08773997010911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13.246346503276447</v>
      </c>
      <c r="AV82" s="21">
        <f>EXP(-LN(2)/25)*AV81+(1-EXP(-LN(2)/25))/(LN(2)/25)*Calculateur!AQ82*Calculateur!AS82*VLOOKUP('Données projet'!$B$10,Paramètres!$A$1:$I$89,3,0)*0.475*44/12</f>
        <v>27.413063517975782</v>
      </c>
      <c r="AW82" s="21">
        <f>EXP(-LN(2)/2)*AW81+(1-EXP(-LN(2)/2))/(LN(2)/2)*AQ82*AT82*VLOOKUP('Données projet'!$B$10,Paramètres!$A$1:$I$89,3,0)*0.475*44/12</f>
        <v>0.83136029285131385</v>
      </c>
      <c r="AX82" s="21">
        <f t="shared" si="60"/>
        <v>41.490770314103543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2.0512820512820582</v>
      </c>
      <c r="BD82" s="12">
        <f>IF('Données projet'!$A$88&gt;35,BD81+BC82-BL81,IF(A82&lt;'Données projet'!$A$88,$BA$205^A82,IF(A82='Données projet'!$A$88,'Données projet'!$B$88,BD81+BC82-BL81)))</f>
        <v>131.28205128205121</v>
      </c>
      <c r="BE82" s="13">
        <f>BD82*VLOOKUP('Données projet'!$B$11,Paramètres!$A$1:$I$89,3,0)*VLOOKUP('Données projet'!$B$11,Paramètres!$A$1:$I$89,5,0)</f>
        <v>137.21599999999995</v>
      </c>
      <c r="BF82" s="13">
        <f t="shared" si="91"/>
        <v>35.658486540437423</v>
      </c>
      <c r="BG82" s="20">
        <f t="shared" si="61"/>
        <v>301.08973072459509</v>
      </c>
      <c r="BH82" s="59">
        <f t="shared" si="62"/>
        <v>594.4230640579284</v>
      </c>
      <c r="BI82" s="59">
        <f ca="1">AVERAGE(OFFSET($BH$3,0,0,'Données projet'!$E$11+1,1))-AVERAGE(OFFSET($H$3,0,0,'Données projet'!$E$11+1,1))</f>
        <v>144.01698107732989</v>
      </c>
      <c r="BJ82" s="59">
        <f t="shared" si="92"/>
        <v>139.28039875117332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1.0882143829242099</v>
      </c>
      <c r="BQ82" s="21">
        <f>EXP(-LN(2)/25)*BQ81+(1-EXP(-LN(2)/25))/(LN(2)/25)*Calculateur!BL82*Calculateur!BN82*VLOOKUP('Données projet'!$B$11,Paramètres!$A$1:$I$89,3,0)*0.475*44/12</f>
        <v>14.782409461513438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15.870623844437649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2.3076923076923039</v>
      </c>
      <c r="BY82" s="12">
        <f>IF('Données projet'!$A$114&gt;35,BY81+BX82-CG81,IF(A82&lt;'Données projet'!$A$114,$BV$205^A82,IF(A82='Données projet'!$A$114,'Données projet'!$B$114,BY81+BX82-CG81)))</f>
        <v>120.7692307692307</v>
      </c>
      <c r="BZ82" s="13">
        <f>BY82*VLOOKUP('Données projet'!$B$12,Paramètres!$A$1:$I$89,3,0)*VLOOKUP('Données projet'!$B$12,Paramètres!$A$1:$I$89,5,0)</f>
        <v>97.967999999999961</v>
      </c>
      <c r="CA82" s="13">
        <f t="shared" si="93"/>
        <v>26.477324689152407</v>
      </c>
      <c r="CB82" s="20">
        <f t="shared" si="64"/>
        <v>216.74227383360707</v>
      </c>
      <c r="CC82" s="59">
        <f t="shared" si="65"/>
        <v>510.07560716694036</v>
      </c>
      <c r="CD82" s="59">
        <f ca="1">AVERAGE(OFFSET($CC$3,0,0,'Données projet'!$E$12+1,1))-AVERAGE(OFFSET($H$3,0,0,'Données projet'!$E$12+1,1))</f>
        <v>72.953866894533007</v>
      </c>
      <c r="CE82" s="59">
        <f t="shared" si="94"/>
        <v>60.640359826163092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0</v>
      </c>
      <c r="CL82" s="21">
        <f>EXP(-LN(2)/25)*CL81+(1-EXP(-LN(2)/25))/(LN(2)/25)*Calculateur!CG82*Calculateur!CI82*VLOOKUP('Données projet'!$B$12,Paramètres!$A$1:$I$89,3,0)*0.475*44/12</f>
        <v>3.6584306379164757</v>
      </c>
      <c r="CM82" s="21">
        <f>EXP(-LN(2)/2)*CM81+(1-EXP(-LN(2)/2))/(LN(2)/2)*CG82*CJ82*VLOOKUP('Données projet'!$B$12,Paramètres!$A$1:$I$89,3,0)*0.475*44/12</f>
        <v>0.40974386710849509</v>
      </c>
      <c r="CN82" s="22">
        <f t="shared" si="66"/>
        <v>4.0681745050249711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4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391.99697224963751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-1.7053025658242404E-13</v>
      </c>
      <c r="O83" s="13">
        <f>N83*VLOOKUP('Données projet'!$B$9,Paramètres!$A$1:$I$89,3,0)*VLOOKUP('Données projet'!$B$9,Paramètres!$A$1:$I$89,5,0)</f>
        <v>-1.0197709343628959E-13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235.90365770026909</v>
      </c>
      <c r="T83" s="59">
        <f t="shared" si="88"/>
        <v>348.09952585694253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66.542382712023382</v>
      </c>
      <c r="AA83" s="21">
        <f>EXP(-LN(2)/25)*AA82+(1-EXP(-LN(2)/25))/(LN(2)/25)*Calculateur!V83*Calculateur!X83*VLOOKUP('Données projet'!$B$9,Paramètres!$A$1:$I$89,3,0)*0.475*44/12</f>
        <v>18.462011703359664</v>
      </c>
      <c r="AB83" s="21">
        <f>EXP(-LN(2)/2)*AB82+(1-EXP(-LN(2)/2))/(LN(2)/2)*V83*Y83*VLOOKUP('Données projet'!$B$9,Paramètres!$A$1:$I$89,3,0)*0.475*44/12</f>
        <v>3.7024546988394442E-4</v>
      </c>
      <c r="AC83" s="22">
        <f t="shared" si="57"/>
        <v>85.004764660852928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9.546999999999997</v>
      </c>
      <c r="AI83" s="13">
        <f>IF('Données projet'!$A$62&gt;35,AI82+AH83-AQ82,IF(A83&lt;'Données projet'!$A$62,$AF$205^A83,IF(A83='Données projet'!$A$62,'Données projet'!$B$62,AI82+AH83-AQ82)))</f>
        <v>316.90200000000038</v>
      </c>
      <c r="AJ83" s="13">
        <f>AI83*VLOOKUP('Données projet'!$B$10,Paramètres!$A$1:$I$89,3,0)*VLOOKUP('Données projet'!$B$10,Paramètres!$A$1:$I$89,5,0)</f>
        <v>286.73292960000038</v>
      </c>
      <c r="AK83" s="13">
        <f t="shared" si="89"/>
        <v>68.387896772756079</v>
      </c>
      <c r="AL83" s="20">
        <f t="shared" si="58"/>
        <v>618.50210593255088</v>
      </c>
      <c r="AM83" s="59">
        <f t="shared" si="59"/>
        <v>911.83543926588413</v>
      </c>
      <c r="AN83" s="59">
        <f ca="1">AVERAGE(OFFSET($AM$3,0,0,'Données projet'!$E$10+1,1))-AVERAGE(OFFSET($H$3,0,0,'Données projet'!$E$10+1,1))</f>
        <v>490.21869105612649</v>
      </c>
      <c r="AO83" s="59">
        <f t="shared" si="90"/>
        <v>207.08773997010911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12.986593727820781</v>
      </c>
      <c r="AV83" s="21">
        <f>EXP(-LN(2)/25)*AV82+(1-EXP(-LN(2)/25))/(LN(2)/25)*Calculateur!AQ83*Calculateur!AS83*VLOOKUP('Données projet'!$B$10,Paramètres!$A$1:$I$89,3,0)*0.475*44/12</f>
        <v>26.663451854486379</v>
      </c>
      <c r="AW83" s="21">
        <f>EXP(-LN(2)/2)*AW82+(1-EXP(-LN(2)/2))/(LN(2)/2)*AQ83*AT83*VLOOKUP('Données projet'!$B$10,Paramètres!$A$1:$I$89,3,0)*0.475*44/12</f>
        <v>0.5878605006843981</v>
      </c>
      <c r="AX83" s="21">
        <f t="shared" si="60"/>
        <v>40.237906082991557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133.33333333333334</v>
      </c>
      <c r="BB83" s="12">
        <f>VLOOKUP(A83,'Données projet'!$A$87:$I$107,9,0)</f>
        <v>2.0512820512820582</v>
      </c>
      <c r="BC83" s="12">
        <f t="array" ref="BC83">INDEX(BB:BB,MIN(IF(ISNUMBER(BB83:BB279),ROW(BB83:BB279),"")))</f>
        <v>2.0512820512820582</v>
      </c>
      <c r="BD83" s="12">
        <f>IF('Données projet'!$A$88&gt;35,BD82+BC83-BL82,IF(A83&lt;'Données projet'!$A$88,$BA$205^A83,IF(A83='Données projet'!$A$88,'Données projet'!$B$88,BD82+BC83-BL82)))</f>
        <v>133.33333333333326</v>
      </c>
      <c r="BE83" s="13">
        <f>BD83*VLOOKUP('Données projet'!$B$11,Paramètres!$A$1:$I$89,3,0)*VLOOKUP('Données projet'!$B$11,Paramètres!$A$1:$I$89,5,0)</f>
        <v>139.35999999999993</v>
      </c>
      <c r="BF83" s="13">
        <f t="shared" si="91"/>
        <v>36.150351407691339</v>
      </c>
      <c r="BG83" s="20">
        <f t="shared" si="61"/>
        <v>305.68052870172897</v>
      </c>
      <c r="BH83" s="59">
        <f t="shared" si="62"/>
        <v>599.01386203506229</v>
      </c>
      <c r="BI83" s="59">
        <f ca="1">AVERAGE(OFFSET($BH$3,0,0,'Données projet'!$E$11+1,1))-AVERAGE(OFFSET($H$3,0,0,'Données projet'!$E$11+1,1))</f>
        <v>144.01698107732989</v>
      </c>
      <c r="BJ83" s="59">
        <f t="shared" si="92"/>
        <v>139.28039875117332</v>
      </c>
      <c r="BK83" s="15">
        <f>IF(ISNA(VLOOKUP(A83,'Données projet'!$A$87:$I$107,3,0)),0,VLOOKUP(A83,'Données projet'!$A$87:$I$107,3,0))</f>
        <v>13</v>
      </c>
      <c r="BL83" s="21">
        <f>IF(ISNA(VLOOKUP(A83,'Données projet'!$A$87:$I$107,4,0)),0,VLOOKUP(A83,'Données projet'!$A$87:$I$107,4,0))</f>
        <v>7.0512820512820511</v>
      </c>
      <c r="BM83" s="16">
        <f>IF(ISNA(VLOOKUP(A83,'Données projet'!$A$87:$I$107,5,0)),0%,VLOOKUP(A83,'Données projet'!$A$87:$I$107,5,0)*VLOOKUP('Données projet'!$B$11,Paramètres!$A$1:$I$89,7,0))</f>
        <v>4.3000000000000003E-2</v>
      </c>
      <c r="BN83" s="16">
        <f>IF(ISNA(VLOOKUP(A83,'Données projet'!$A$87:$I$107,6,0)),0%,VLOOKUP(A83,'Données projet'!$A$87:$I$107,6,0)*VLOOKUP('Données projet'!$B$11,Paramètres!$A$1:$I$89,7,0))</f>
        <v>0.215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1.4172097805980877</v>
      </c>
      <c r="BQ83" s="21">
        <f>EXP(-LN(2)/25)*BQ82+(1-EXP(-LN(2)/25))/(LN(2)/25)*Calculateur!BL83*Calculateur!BN83*VLOOKUP('Données projet'!$B$11,Paramètres!$A$1:$I$89,3,0)*0.475*44/12</f>
        <v>16.122959782909497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17.540169563507586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123.07692307692307</v>
      </c>
      <c r="BW83" s="12">
        <f>VLOOKUP(A83,'Données projet'!$A$113:$I$133,9,0)</f>
        <v>2.3076923076923039</v>
      </c>
      <c r="BX83" s="12">
        <f t="array" ref="BX83">INDEX(BW:BW,MIN(IF(ISNUMBER(BW83:BW279),ROW(BW83:BW279),"")))</f>
        <v>2.3076923076923039</v>
      </c>
      <c r="BY83" s="12">
        <f>IF('Données projet'!$A$114&gt;35,BY82+BX83-CG82,IF(A83&lt;'Données projet'!$A$114,$BV$205^A83,IF(A83='Données projet'!$A$114,'Données projet'!$B$114,BY82+BX83-CG82)))</f>
        <v>123.07692307692301</v>
      </c>
      <c r="BZ83" s="13">
        <f>BY83*VLOOKUP('Données projet'!$B$12,Paramètres!$A$1:$I$89,3,0)*VLOOKUP('Données projet'!$B$12,Paramètres!$A$1:$I$89,5,0)</f>
        <v>99.839999999999947</v>
      </c>
      <c r="CA83" s="13">
        <f t="shared" si="93"/>
        <v>26.923876203052842</v>
      </c>
      <c r="CB83" s="20">
        <f t="shared" si="64"/>
        <v>220.78041772031693</v>
      </c>
      <c r="CC83" s="59">
        <f t="shared" si="65"/>
        <v>514.11375105365028</v>
      </c>
      <c r="CD83" s="59">
        <f ca="1">AVERAGE(OFFSET($CC$3,0,0,'Données projet'!$E$12+1,1))-AVERAGE(OFFSET($H$3,0,0,'Données projet'!$E$12+1,1))</f>
        <v>72.953866894533007</v>
      </c>
      <c r="CE83" s="59">
        <f t="shared" si="94"/>
        <v>60.640359826163092</v>
      </c>
      <c r="CF83" s="15">
        <f>IF(ISNA(VLOOKUP(A83,'Données projet'!$A$113:$I$133,3,0)),0,VLOOKUP(A83,'Données projet'!$A$113:$I$133,3,0))</f>
        <v>14</v>
      </c>
      <c r="CG83" s="15">
        <f>IF(ISNA(VLOOKUP(A83,'Données projet'!$A$113:$I$133,4,0)),0,VLOOKUP(A83,'Données projet'!$A$113:$I$133,4,0))</f>
        <v>7.0512820512820511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0.1075</v>
      </c>
      <c r="CJ83" s="16">
        <f>IF(ISNA(VLOOKUP(A83,'Données projet'!$A$113:$I$133,7,0)),0%,VLOOKUP(A83,'Données projet'!$A$113:$I$133,7,0))</f>
        <v>0.25</v>
      </c>
      <c r="CK83" s="21">
        <f>EXP(-LN(2)/35)*CK82+(1-EXP(-LN(2)/35))/(LN(2)/35)*CG83*CH83*VLOOKUP('Données projet'!$B$12,Paramètres!$A$1:$I$89,3,0)*0.475*44/12</f>
        <v>0</v>
      </c>
      <c r="CL83" s="21">
        <f>EXP(-LN(2)/25)*CL82+(1-EXP(-LN(2)/25))/(LN(2)/25)*Calculateur!CG83*Calculateur!CI83*VLOOKUP('Données projet'!$B$12,Paramètres!$A$1:$I$89,3,0)*0.475*44/12</f>
        <v>4.2354679466423679</v>
      </c>
      <c r="CM83" s="21">
        <f>EXP(-LN(2)/2)*CM82+(1-EXP(-LN(2)/2))/(LN(2)/2)*CG83*CJ83*VLOOKUP('Données projet'!$B$12,Paramètres!$A$1:$I$89,3,0)*0.475*44/12</f>
        <v>1.6389761548677217</v>
      </c>
      <c r="CN83" s="22">
        <f t="shared" si="66"/>
        <v>5.8744441015100897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4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393.19722206314799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-1.7053025658242404E-13</v>
      </c>
      <c r="O84" s="13">
        <f>N84*VLOOKUP('Données projet'!$B$9,Paramètres!$A$1:$I$89,3,0)*VLOOKUP('Données projet'!$B$9,Paramètres!$A$1:$I$89,5,0)</f>
        <v>-1.0197709343628959E-13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235.90365770026909</v>
      </c>
      <c r="T84" s="59">
        <f t="shared" si="88"/>
        <v>348.09952585694253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65.237527173886434</v>
      </c>
      <c r="AA84" s="21">
        <f>EXP(-LN(2)/25)*AA83+(1-EXP(-LN(2)/25))/(LN(2)/25)*Calculateur!V84*Calculateur!X84*VLOOKUP('Données projet'!$B$9,Paramètres!$A$1:$I$89,3,0)*0.475*44/12</f>
        <v>17.957167022456293</v>
      </c>
      <c r="AB84" s="21">
        <f>EXP(-LN(2)/2)*AB83+(1-EXP(-LN(2)/2))/(LN(2)/2)*V84*Y84*VLOOKUP('Données projet'!$B$9,Paramètres!$A$1:$I$89,3,0)*0.475*44/12</f>
        <v>2.6180308245853676E-4</v>
      </c>
      <c r="AC84" s="22">
        <f t="shared" si="57"/>
        <v>83.194955999425176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9.546999999999997</v>
      </c>
      <c r="AI84" s="13">
        <f>IF('Données projet'!$A$62&gt;35,AI83+AH84-AQ83,IF(A84&lt;'Données projet'!$A$62,$AF$205^A84,IF(A84='Données projet'!$A$62,'Données projet'!$B$62,AI83+AH84-AQ83)))</f>
        <v>326.44900000000041</v>
      </c>
      <c r="AJ84" s="13">
        <f>AI84*VLOOKUP('Données projet'!$B$10,Paramètres!$A$1:$I$89,3,0)*VLOOKUP('Données projet'!$B$10,Paramètres!$A$1:$I$89,5,0)</f>
        <v>295.37105520000034</v>
      </c>
      <c r="AK84" s="13">
        <f t="shared" si="89"/>
        <v>70.205182362680091</v>
      </c>
      <c r="AL84" s="20">
        <f t="shared" si="58"/>
        <v>636.71194708833502</v>
      </c>
      <c r="AM84" s="59">
        <f t="shared" si="59"/>
        <v>930.04528042166839</v>
      </c>
      <c r="AN84" s="59">
        <f ca="1">AVERAGE(OFFSET($AM$3,0,0,'Données projet'!$E$10+1,1))-AVERAGE(OFFSET($H$3,0,0,'Données projet'!$E$10+1,1))</f>
        <v>490.21869105612649</v>
      </c>
      <c r="AO84" s="59">
        <f t="shared" si="90"/>
        <v>207.08773997010911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12.731934545858252</v>
      </c>
      <c r="AV84" s="21">
        <f>EXP(-LN(2)/25)*AV83+(1-EXP(-LN(2)/25))/(LN(2)/25)*Calculateur!AQ84*Calculateur!AS84*VLOOKUP('Données projet'!$B$10,Paramètres!$A$1:$I$89,3,0)*0.475*44/12</f>
        <v>25.934338361355454</v>
      </c>
      <c r="AW84" s="21">
        <f>EXP(-LN(2)/2)*AW83+(1-EXP(-LN(2)/2))/(LN(2)/2)*AQ84*AT84*VLOOKUP('Données projet'!$B$10,Paramètres!$A$1:$I$89,3,0)*0.475*44/12</f>
        <v>0.41568014642565698</v>
      </c>
      <c r="AX84" s="21">
        <f t="shared" si="60"/>
        <v>39.081953053639367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1.7948717948717898</v>
      </c>
      <c r="BD84" s="12">
        <f>IF('Données projet'!$A$88&gt;35,BD83+BC84-BL83,IF(A84&lt;'Données projet'!$A$88,$BA$205^A84,IF(A84='Données projet'!$A$88,'Données projet'!$B$88,BD83+BC84-BL83)))</f>
        <v>128.07692307692301</v>
      </c>
      <c r="BE84" s="13">
        <f>BD84*VLOOKUP('Données projet'!$B$11,Paramètres!$A$1:$I$89,3,0)*VLOOKUP('Données projet'!$B$11,Paramètres!$A$1:$I$89,5,0)</f>
        <v>133.86599999999993</v>
      </c>
      <c r="BF84" s="13">
        <f t="shared" si="91"/>
        <v>34.888149132612561</v>
      </c>
      <c r="BG84" s="20">
        <f t="shared" si="61"/>
        <v>293.91347640596678</v>
      </c>
      <c r="BH84" s="59">
        <f t="shared" si="62"/>
        <v>587.24680973930003</v>
      </c>
      <c r="BI84" s="59">
        <f ca="1">AVERAGE(OFFSET($BH$3,0,0,'Données projet'!$E$11+1,1))-AVERAGE(OFFSET($H$3,0,0,'Données projet'!$E$11+1,1))</f>
        <v>144.01698107732989</v>
      </c>
      <c r="BJ84" s="59">
        <f t="shared" si="92"/>
        <v>139.28039875117332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1.3894191612131717</v>
      </c>
      <c r="BQ84" s="21">
        <f>EXP(-LN(2)/25)*BQ83+(1-EXP(-LN(2)/25))/(LN(2)/25)*Calculateur!BL84*Calculateur!BN84*VLOOKUP('Données projet'!$B$11,Paramètres!$A$1:$I$89,3,0)*0.475*44/12</f>
        <v>15.682076599776231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17.071495760989404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2.0512820512820498</v>
      </c>
      <c r="BY84" s="12">
        <f>IF('Données projet'!$A$114&gt;35,BY83+BX84-CG83,IF(A84&lt;'Données projet'!$A$114,$BV$205^A84,IF(A84='Données projet'!$A$114,'Données projet'!$B$114,BY83+BX84-CG83)))</f>
        <v>118.07692307692301</v>
      </c>
      <c r="BZ84" s="13">
        <f>BY84*VLOOKUP('Données projet'!$B$12,Paramètres!$A$1:$I$89,3,0)*VLOOKUP('Données projet'!$B$12,Paramètres!$A$1:$I$89,5,0)</f>
        <v>95.783999999999963</v>
      </c>
      <c r="CA84" s="13">
        <f t="shared" si="93"/>
        <v>25.955089615728056</v>
      </c>
      <c r="CB84" s="20">
        <f t="shared" si="64"/>
        <v>212.02891441405961</v>
      </c>
      <c r="CC84" s="59">
        <f t="shared" si="65"/>
        <v>505.36224774739293</v>
      </c>
      <c r="CD84" s="59">
        <f ca="1">AVERAGE(OFFSET($CC$3,0,0,'Données projet'!$E$12+1,1))-AVERAGE(OFFSET($H$3,0,0,'Données projet'!$E$12+1,1))</f>
        <v>72.953866894533007</v>
      </c>
      <c r="CE84" s="59">
        <f t="shared" si="94"/>
        <v>60.640359826163092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0</v>
      </c>
      <c r="CL84" s="21">
        <f>EXP(-LN(2)/25)*CL83+(1-EXP(-LN(2)/25))/(LN(2)/25)*Calculateur!CG84*Calculateur!CI84*VLOOKUP('Données projet'!$B$12,Paramètres!$A$1:$I$89,3,0)*0.475*44/12</f>
        <v>4.1196488529078534</v>
      </c>
      <c r="CM84" s="21">
        <f>EXP(-LN(2)/2)*CM83+(1-EXP(-LN(2)/2))/(LN(2)/2)*CG84*CJ84*VLOOKUP('Données projet'!$B$12,Paramètres!$A$1:$I$89,3,0)*0.475*44/12</f>
        <v>1.1589311533100193</v>
      </c>
      <c r="CN84" s="22">
        <f t="shared" si="66"/>
        <v>5.2785800062178723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4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394.39711387126425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-1.7053025658242404E-13</v>
      </c>
      <c r="O85" s="13">
        <f>N85*VLOOKUP('Données projet'!$B$9,Paramètres!$A$1:$I$89,3,0)*VLOOKUP('Données projet'!$B$9,Paramètres!$A$1:$I$89,5,0)</f>
        <v>-1.0197709343628959E-13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235.90365770026909</v>
      </c>
      <c r="T85" s="59">
        <f t="shared" si="88"/>
        <v>348.09952585694253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63.958259056969069</v>
      </c>
      <c r="AA85" s="21">
        <f>EXP(-LN(2)/25)*AA84+(1-EXP(-LN(2)/25))/(LN(2)/25)*Calculateur!V85*Calculateur!X85*VLOOKUP('Données projet'!$B$9,Paramètres!$A$1:$I$89,3,0)*0.475*44/12</f>
        <v>17.466127345900855</v>
      </c>
      <c r="AB85" s="21">
        <f>EXP(-LN(2)/2)*AB84+(1-EXP(-LN(2)/2))/(LN(2)/2)*V85*Y85*VLOOKUP('Données projet'!$B$9,Paramètres!$A$1:$I$89,3,0)*0.475*44/12</f>
        <v>1.8512273494197221E-4</v>
      </c>
      <c r="AC85" s="22">
        <f t="shared" si="57"/>
        <v>81.424571525604875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9.546999999999997</v>
      </c>
      <c r="AI85" s="13">
        <f>IF('Données projet'!$A$62&gt;35,AI84+AH85-AQ84,IF(A85&lt;'Données projet'!$A$62,$AF$205^A85,IF(A85='Données projet'!$A$62,'Données projet'!$B$62,AI84+AH85-AQ84)))</f>
        <v>335.99600000000044</v>
      </c>
      <c r="AJ85" s="13">
        <f>AI85*VLOOKUP('Données projet'!$B$10,Paramètres!$A$1:$I$89,3,0)*VLOOKUP('Données projet'!$B$10,Paramètres!$A$1:$I$89,5,0)</f>
        <v>304.00918080000037</v>
      </c>
      <c r="AK85" s="13">
        <f t="shared" si="89"/>
        <v>72.016291285794935</v>
      </c>
      <c r="AL85" s="20">
        <f t="shared" si="58"/>
        <v>654.91103054942675</v>
      </c>
      <c r="AM85" s="59">
        <f t="shared" si="59"/>
        <v>948.24436388276013</v>
      </c>
      <c r="AN85" s="59">
        <f ca="1">AVERAGE(OFFSET($AM$3,0,0,'Données projet'!$E$10+1,1))-AVERAGE(OFFSET($H$3,0,0,'Données projet'!$E$10+1,1))</f>
        <v>490.21869105612649</v>
      </c>
      <c r="AO85" s="59">
        <f t="shared" si="90"/>
        <v>207.08773997010911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12.482269075127244</v>
      </c>
      <c r="AV85" s="21">
        <f>EXP(-LN(2)/25)*AV84+(1-EXP(-LN(2)/25))/(LN(2)/25)*Calculateur!AQ85*Calculateur!AS85*VLOOKUP('Données projet'!$B$10,Paramètres!$A$1:$I$89,3,0)*0.475*44/12</f>
        <v>25.225162515036608</v>
      </c>
      <c r="AW85" s="21">
        <f>EXP(-LN(2)/2)*AW84+(1-EXP(-LN(2)/2))/(LN(2)/2)*AQ85*AT85*VLOOKUP('Données projet'!$B$10,Paramètres!$A$1:$I$89,3,0)*0.475*44/12</f>
        <v>0.29393025034219911</v>
      </c>
      <c r="AX85" s="21">
        <f t="shared" si="60"/>
        <v>38.00136184050605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1.7948717948717898</v>
      </c>
      <c r="BD85" s="12">
        <f>IF('Données projet'!$A$88&gt;35,BD84+BC85-BL84,IF(A85&lt;'Données projet'!$A$88,$BA$205^A85,IF(A85='Données projet'!$A$88,'Données projet'!$B$88,BD84+BC85-BL84)))</f>
        <v>129.8717948717948</v>
      </c>
      <c r="BE85" s="13">
        <f>BD85*VLOOKUP('Données projet'!$B$11,Paramètres!$A$1:$I$89,3,0)*VLOOKUP('Données projet'!$B$11,Paramètres!$A$1:$I$89,5,0)</f>
        <v>135.74199999999996</v>
      </c>
      <c r="BF85" s="13">
        <f t="shared" si="91"/>
        <v>35.319810973036205</v>
      </c>
      <c r="BG85" s="20">
        <f t="shared" si="61"/>
        <v>297.93265411137128</v>
      </c>
      <c r="BH85" s="59">
        <f t="shared" si="62"/>
        <v>591.26598744470459</v>
      </c>
      <c r="BI85" s="59">
        <f ca="1">AVERAGE(OFFSET($BH$3,0,0,'Données projet'!$E$11+1,1))-AVERAGE(OFFSET($H$3,0,0,'Données projet'!$E$11+1,1))</f>
        <v>144.01698107732989</v>
      </c>
      <c r="BJ85" s="59">
        <f t="shared" si="92"/>
        <v>139.28039875117332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1.3621734989237897</v>
      </c>
      <c r="BQ85" s="21">
        <f>EXP(-LN(2)/25)*BQ84+(1-EXP(-LN(2)/25))/(LN(2)/25)*Calculateur!BL85*Calculateur!BN85*VLOOKUP('Données projet'!$B$11,Paramètres!$A$1:$I$89,3,0)*0.475*44/12</f>
        <v>15.253249390470783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16.615422889394573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2.0512820512820498</v>
      </c>
      <c r="BY85" s="12">
        <f>IF('Données projet'!$A$114&gt;35,BY84+BX85-CG84,IF(A85&lt;'Données projet'!$A$114,$BV$205^A85,IF(A85='Données projet'!$A$114,'Données projet'!$B$114,BY84+BX85-CG84)))</f>
        <v>120.12820512820505</v>
      </c>
      <c r="BZ85" s="13">
        <f>BY85*VLOOKUP('Données projet'!$B$12,Paramètres!$A$1:$I$89,3,0)*VLOOKUP('Données projet'!$B$12,Paramètres!$A$1:$I$89,5,0)</f>
        <v>97.447999999999951</v>
      </c>
      <c r="CA85" s="13">
        <f t="shared" si="93"/>
        <v>26.353107037128467</v>
      </c>
      <c r="CB85" s="20">
        <f t="shared" si="64"/>
        <v>215.62026142299865</v>
      </c>
      <c r="CC85" s="59">
        <f t="shared" si="65"/>
        <v>508.953594756332</v>
      </c>
      <c r="CD85" s="59">
        <f ca="1">AVERAGE(OFFSET($CC$3,0,0,'Données projet'!$E$12+1,1))-AVERAGE(OFFSET($H$3,0,0,'Données projet'!$E$12+1,1))</f>
        <v>72.953866894533007</v>
      </c>
      <c r="CE85" s="59">
        <f t="shared" si="94"/>
        <v>60.640359826163092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0</v>
      </c>
      <c r="CL85" s="21">
        <f>EXP(-LN(2)/25)*CL84+(1-EXP(-LN(2)/25))/(LN(2)/25)*Calculateur!CG85*Calculateur!CI85*VLOOKUP('Données projet'!$B$12,Paramètres!$A$1:$I$89,3,0)*0.475*44/12</f>
        <v>4.0069968383821708</v>
      </c>
      <c r="CM85" s="21">
        <f>EXP(-LN(2)/2)*CM84+(1-EXP(-LN(2)/2))/(LN(2)/2)*CG85*CJ85*VLOOKUP('Données projet'!$B$12,Paramètres!$A$1:$I$89,3,0)*0.475*44/12</f>
        <v>0.81948807743386098</v>
      </c>
      <c r="CN85" s="22">
        <f t="shared" si="66"/>
        <v>4.8264849158160317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4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395.59665254488391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-1.7053025658242404E-13</v>
      </c>
      <c r="O86" s="13">
        <f>N86*VLOOKUP('Données projet'!$B$9,Paramètres!$A$1:$I$89,3,0)*VLOOKUP('Données projet'!$B$9,Paramètres!$A$1:$I$89,5,0)</f>
        <v>-1.0197709343628959E-13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235.90365770026909</v>
      </c>
      <c r="T86" s="59">
        <f t="shared" si="88"/>
        <v>348.09952585694253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62.704076607547947</v>
      </c>
      <c r="AA86" s="21">
        <f>EXP(-LN(2)/25)*AA85+(1-EXP(-LN(2)/25))/(LN(2)/25)*Calculateur!V86*Calculateur!X86*VLOOKUP('Données projet'!$B$9,Paramètres!$A$1:$I$89,3,0)*0.475*44/12</f>
        <v>16.988515175123478</v>
      </c>
      <c r="AB86" s="21">
        <f>EXP(-LN(2)/2)*AB85+(1-EXP(-LN(2)/2))/(LN(2)/2)*V86*Y86*VLOOKUP('Données projet'!$B$9,Paramètres!$A$1:$I$89,3,0)*0.475*44/12</f>
        <v>1.3090154122926838E-4</v>
      </c>
      <c r="AC86" s="22">
        <f t="shared" si="57"/>
        <v>79.692722684212654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9.546999999999997</v>
      </c>
      <c r="AI86" s="13">
        <f>IF('Données projet'!$A$62&gt;35,AI85+AH86-AQ85,IF(A86&lt;'Données projet'!$A$62,$AF$205^A86,IF(A86='Données projet'!$A$62,'Données projet'!$B$62,AI85+AH86-AQ85)))</f>
        <v>345.54300000000046</v>
      </c>
      <c r="AJ86" s="13">
        <f>AI86*VLOOKUP('Données projet'!$B$10,Paramètres!$A$1:$I$89,3,0)*VLOOKUP('Données projet'!$B$10,Paramètres!$A$1:$I$89,5,0)</f>
        <v>312.64730640000039</v>
      </c>
      <c r="AK86" s="13">
        <f t="shared" si="89"/>
        <v>73.821419204446315</v>
      </c>
      <c r="AL86" s="20">
        <f t="shared" si="58"/>
        <v>673.09969709441123</v>
      </c>
      <c r="AM86" s="59">
        <f t="shared" si="59"/>
        <v>966.4330304277446</v>
      </c>
      <c r="AN86" s="59">
        <f ca="1">AVERAGE(OFFSET($AM$3,0,0,'Données projet'!$E$10+1,1))-AVERAGE(OFFSET($H$3,0,0,'Données projet'!$E$10+1,1))</f>
        <v>490.21869105612649</v>
      </c>
      <c r="AO86" s="59">
        <f t="shared" si="90"/>
        <v>207.08773997010911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12.237499391996371</v>
      </c>
      <c r="AV86" s="21">
        <f>EXP(-LN(2)/25)*AV85+(1-EXP(-LN(2)/25))/(LN(2)/25)*Calculateur!AQ86*Calculateur!AS86*VLOOKUP('Données projet'!$B$10,Paramètres!$A$1:$I$89,3,0)*0.475*44/12</f>
        <v>24.535379119529289</v>
      </c>
      <c r="AW86" s="21">
        <f>EXP(-LN(2)/2)*AW85+(1-EXP(-LN(2)/2))/(LN(2)/2)*AQ86*AT86*VLOOKUP('Données projet'!$B$10,Paramètres!$A$1:$I$89,3,0)*0.475*44/12</f>
        <v>0.20784007321282855</v>
      </c>
      <c r="AX86" s="21">
        <f t="shared" si="60"/>
        <v>36.98071858473849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1.7948717948717898</v>
      </c>
      <c r="BD86" s="12">
        <f>IF('Données projet'!$A$88&gt;35,BD85+BC86-BL85,IF(A86&lt;'Données projet'!$A$88,$BA$205^A86,IF(A86='Données projet'!$A$88,'Données projet'!$B$88,BD85+BC86-BL85)))</f>
        <v>131.6666666666666</v>
      </c>
      <c r="BE86" s="13">
        <f>BD86*VLOOKUP('Données projet'!$B$11,Paramètres!$A$1:$I$89,3,0)*VLOOKUP('Données projet'!$B$11,Paramètres!$A$1:$I$89,5,0)</f>
        <v>137.61799999999994</v>
      </c>
      <c r="BF86" s="13">
        <f t="shared" si="91"/>
        <v>35.750778939526811</v>
      </c>
      <c r="BG86" s="20">
        <f t="shared" si="61"/>
        <v>301.95062331967574</v>
      </c>
      <c r="BH86" s="59">
        <f t="shared" si="62"/>
        <v>595.283956653009</v>
      </c>
      <c r="BI86" s="59">
        <f ca="1">AVERAGE(OFFSET($BH$3,0,0,'Données projet'!$E$11+1,1))-AVERAGE(OFFSET($H$3,0,0,'Données projet'!$E$11+1,1))</f>
        <v>144.01698107732989</v>
      </c>
      <c r="BJ86" s="59">
        <f t="shared" si="92"/>
        <v>139.28039875117332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1.3354621074536894</v>
      </c>
      <c r="BQ86" s="21">
        <f>EXP(-LN(2)/25)*BQ85+(1-EXP(-LN(2)/25))/(LN(2)/25)*Calculateur!BL86*Calculateur!BN86*VLOOKUP('Données projet'!$B$11,Paramètres!$A$1:$I$89,3,0)*0.475*44/12</f>
        <v>14.836148483754837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16.171610591208527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2.0512820512820498</v>
      </c>
      <c r="BY86" s="12">
        <f>IF('Données projet'!$A$114&gt;35,BY85+BX86-CG85,IF(A86&lt;'Données projet'!$A$114,$BV$205^A86,IF(A86='Données projet'!$A$114,'Données projet'!$B$114,BY85+BX86-CG85)))</f>
        <v>122.1794871794871</v>
      </c>
      <c r="BZ86" s="13">
        <f>BY86*VLOOKUP('Données projet'!$B$12,Paramètres!$A$1:$I$89,3,0)*VLOOKUP('Données projet'!$B$12,Paramètres!$A$1:$I$89,5,0)</f>
        <v>99.111999999999938</v>
      </c>
      <c r="CA86" s="13">
        <f t="shared" si="93"/>
        <v>26.750334096198984</v>
      </c>
      <c r="CB86" s="20">
        <f t="shared" si="64"/>
        <v>219.21023188421313</v>
      </c>
      <c r="CC86" s="59">
        <f t="shared" si="65"/>
        <v>512.54356521754642</v>
      </c>
      <c r="CD86" s="59">
        <f ca="1">AVERAGE(OFFSET($CC$3,0,0,'Données projet'!$E$12+1,1))-AVERAGE(OFFSET($H$3,0,0,'Données projet'!$E$12+1,1))</f>
        <v>72.953866894533007</v>
      </c>
      <c r="CE86" s="59">
        <f t="shared" si="94"/>
        <v>60.640359826163092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0</v>
      </c>
      <c r="CL86" s="21">
        <f>EXP(-LN(2)/25)*CL85+(1-EXP(-LN(2)/25))/(LN(2)/25)*Calculateur!CG86*Calculateur!CI86*VLOOKUP('Données projet'!$B$12,Paramètres!$A$1:$I$89,3,0)*0.475*44/12</f>
        <v>3.8974252991178049</v>
      </c>
      <c r="CM86" s="21">
        <f>EXP(-LN(2)/2)*CM85+(1-EXP(-LN(2)/2))/(LN(2)/2)*CG86*CJ86*VLOOKUP('Données projet'!$B$12,Paramètres!$A$1:$I$89,3,0)*0.475*44/12</f>
        <v>0.57946557665500964</v>
      </c>
      <c r="CN86" s="22">
        <f t="shared" si="66"/>
        <v>4.4768908757728143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4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396.79584283078037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-1.7053025658242404E-13</v>
      </c>
      <c r="O87" s="13">
        <f>N87*VLOOKUP('Données projet'!$B$9,Paramètres!$A$1:$I$89,3,0)*VLOOKUP('Données projet'!$B$9,Paramètres!$A$1:$I$89,5,0)</f>
        <v>-1.0197709343628959E-13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235.90365770026909</v>
      </c>
      <c r="T87" s="59">
        <f t="shared" si="88"/>
        <v>348.09952585694253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61.474487910984209</v>
      </c>
      <c r="AA87" s="21">
        <f>EXP(-LN(2)/25)*AA86+(1-EXP(-LN(2)/25))/(LN(2)/25)*Calculateur!V87*Calculateur!X87*VLOOKUP('Données projet'!$B$9,Paramètres!$A$1:$I$89,3,0)*0.475*44/12</f>
        <v>16.52396333427254</v>
      </c>
      <c r="AB87" s="21">
        <f>EXP(-LN(2)/2)*AB86+(1-EXP(-LN(2)/2))/(LN(2)/2)*V87*Y87*VLOOKUP('Données projet'!$B$9,Paramètres!$A$1:$I$89,3,0)*0.475*44/12</f>
        <v>9.2561367470986105E-5</v>
      </c>
      <c r="AC87" s="22">
        <f t="shared" si="57"/>
        <v>77.998543806624212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>
        <f>VLOOKUP(A87,'Données projet'!$A$61:$I$81,2,0)</f>
        <v>355.09</v>
      </c>
      <c r="AG87" s="12">
        <f>VLOOKUP(A87,'Données projet'!$A$61:$I$81,9,0)</f>
        <v>9.546999999999997</v>
      </c>
      <c r="AH87" s="12">
        <f t="array" ref="AH87">INDEX(AG:AG,MIN(IF(ISNUMBER(AG87:AG283),ROW(AG87:AG283),"")))</f>
        <v>9.546999999999997</v>
      </c>
      <c r="AI87" s="13">
        <f>IF('Données projet'!$A$62&gt;35,AI86+AH87-AQ86,IF(A87&lt;'Données projet'!$A$62,$AF$205^A87,IF(A87='Données projet'!$A$62,'Données projet'!$B$62,AI86+AH87-AQ86)))</f>
        <v>355.09000000000049</v>
      </c>
      <c r="AJ87" s="13">
        <f>AI87*VLOOKUP('Données projet'!$B$10,Paramètres!$A$1:$I$89,3,0)*VLOOKUP('Données projet'!$B$10,Paramètres!$A$1:$I$89,5,0)</f>
        <v>321.28543200000041</v>
      </c>
      <c r="AK87" s="13">
        <f t="shared" si="89"/>
        <v>75.620750353808944</v>
      </c>
      <c r="AL87" s="20">
        <f t="shared" si="58"/>
        <v>691.27826759955133</v>
      </c>
      <c r="AM87" s="59">
        <f t="shared" si="59"/>
        <v>984.61160093288458</v>
      </c>
      <c r="AN87" s="59">
        <f ca="1">AVERAGE(OFFSET($AM$3,0,0,'Données projet'!$E$10+1,1))-AVERAGE(OFFSET($H$3,0,0,'Données projet'!$E$10+1,1))</f>
        <v>490.21869105612649</v>
      </c>
      <c r="AO87" s="59">
        <f t="shared" si="90"/>
        <v>207.08773997010911</v>
      </c>
      <c r="AP87" s="15">
        <f>IF(ISNA(VLOOKUP(A87,'Données projet'!$A$61:$I$81,3,0)),0,VLOOKUP(A87,'Données projet'!$A$61:$I$81,3,0))</f>
        <v>6</v>
      </c>
      <c r="AQ87" s="15">
        <f>IF(ISNA(VLOOKUP(A87,'Données projet'!$A$61:$I$81,4,0)),0,VLOOKUP(A87,'Données projet'!$A$61:$I$81,4,0))</f>
        <v>66.69</v>
      </c>
      <c r="AR87" s="16">
        <f>IF(ISNA(VLOOKUP(A87,'Données projet'!$A$61:$I$81,5,0)),0%,VLOOKUP(A87,'Données projet'!$A$61:$I$81,5,0)*VLOOKUP('Données projet'!$B$10,Paramètres!$A$1:$I$89,7,0))</f>
        <v>0.15049999999999999</v>
      </c>
      <c r="AS87" s="16">
        <f>IF(ISNA(VLOOKUP(A87,'Données projet'!$A$61:$I$81,6,0)),0%,VLOOKUP(A87,'Données projet'!$A$61:$I$81,6,0)*VLOOKUP('Données projet'!$B$10,Paramètres!$A$1:$I$89,7,0))</f>
        <v>8.6000000000000007E-2</v>
      </c>
      <c r="AT87" s="16">
        <f>IF(ISNA(VLOOKUP(A87,'Données projet'!$A$61:$I$81,7,0)),0%,VLOOKUP(A87,'Données projet'!$A$61:$I$81,7,0))</f>
        <v>0.1</v>
      </c>
      <c r="AU87" s="21">
        <f>EXP(-LN(2)/35)*AU86+(1-EXP(-LN(2)/35))/(LN(2)/35)*AQ87*AR87*VLOOKUP('Données projet'!$B$10,Paramètres!$A$1:$I$89,3,0)*0.475*44/12</f>
        <v>22.036678946661006</v>
      </c>
      <c r="AV87" s="21">
        <f>EXP(-LN(2)/25)*AV86+(1-EXP(-LN(2)/25))/(LN(2)/25)*Calculateur!AQ87*Calculateur!AS87*VLOOKUP('Données projet'!$B$10,Paramètres!$A$1:$I$89,3,0)*0.475*44/12</f>
        <v>29.578527314097339</v>
      </c>
      <c r="AW87" s="21">
        <f>EXP(-LN(2)/2)*AW86+(1-EXP(-LN(2)/2))/(LN(2)/2)*AQ87*AT87*VLOOKUP('Données projet'!$B$10,Paramètres!$A$1:$I$89,3,0)*0.475*44/12</f>
        <v>5.8403114480929164</v>
      </c>
      <c r="AX87" s="21">
        <f t="shared" si="60"/>
        <v>57.455517708851261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1.7948717948717898</v>
      </c>
      <c r="BD87" s="12">
        <f>IF('Données projet'!$A$88&gt;35,BD86+BC87-BL86,IF(A87&lt;'Données projet'!$A$88,$BA$205^A87,IF(A87='Données projet'!$A$88,'Données projet'!$B$88,BD86+BC87-BL86)))</f>
        <v>133.4615384615384</v>
      </c>
      <c r="BE87" s="13">
        <f>BD87*VLOOKUP('Données projet'!$B$11,Paramètres!$A$1:$I$89,3,0)*VLOOKUP('Données projet'!$B$11,Paramètres!$A$1:$I$89,5,0)</f>
        <v>139.49399999999994</v>
      </c>
      <c r="BF87" s="13">
        <f t="shared" si="91"/>
        <v>36.181063584224482</v>
      </c>
      <c r="BG87" s="20">
        <f t="shared" si="61"/>
        <v>305.96740240919087</v>
      </c>
      <c r="BH87" s="59">
        <f t="shared" si="62"/>
        <v>599.30073574252424</v>
      </c>
      <c r="BI87" s="59">
        <f ca="1">AVERAGE(OFFSET($BH$3,0,0,'Données projet'!$E$11+1,1))-AVERAGE(OFFSET($H$3,0,0,'Données projet'!$E$11+1,1))</f>
        <v>144.01698107732989</v>
      </c>
      <c r="BJ87" s="59">
        <f t="shared" si="92"/>
        <v>139.28039875117332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1.3092745100779779</v>
      </c>
      <c r="BQ87" s="21">
        <f>EXP(-LN(2)/25)*BQ86+(1-EXP(-LN(2)/25))/(LN(2)/25)*Calculateur!BL87*Calculateur!BN87*VLOOKUP('Données projet'!$B$11,Paramètres!$A$1:$I$89,3,0)*0.475*44/12</f>
        <v>14.430453223267421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15.739727733345399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2.0512820512820498</v>
      </c>
      <c r="BY87" s="12">
        <f>IF('Données projet'!$A$114&gt;35,BY86+BX87-CG86,IF(A87&lt;'Données projet'!$A$114,$BV$205^A87,IF(A87='Données projet'!$A$114,'Données projet'!$B$114,BY86+BX87-CG86)))</f>
        <v>124.23076923076914</v>
      </c>
      <c r="BZ87" s="13">
        <f>BY87*VLOOKUP('Données projet'!$B$12,Paramètres!$A$1:$I$89,3,0)*VLOOKUP('Données projet'!$B$12,Paramètres!$A$1:$I$89,5,0)</f>
        <v>100.77599999999993</v>
      </c>
      <c r="CA87" s="13">
        <f t="shared" si="93"/>
        <v>27.146785593902447</v>
      </c>
      <c r="CB87" s="20">
        <f t="shared" si="64"/>
        <v>222.79885157604664</v>
      </c>
      <c r="CC87" s="59">
        <f t="shared" si="65"/>
        <v>516.13218490937993</v>
      </c>
      <c r="CD87" s="59">
        <f ca="1">AVERAGE(OFFSET($CC$3,0,0,'Données projet'!$E$12+1,1))-AVERAGE(OFFSET($H$3,0,0,'Données projet'!$E$12+1,1))</f>
        <v>72.953866894533007</v>
      </c>
      <c r="CE87" s="59">
        <f t="shared" si="94"/>
        <v>60.640359826163092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0</v>
      </c>
      <c r="CL87" s="21">
        <f>EXP(-LN(2)/25)*CL86+(1-EXP(-LN(2)/25))/(LN(2)/25)*Calculateur!CG87*Calculateur!CI87*VLOOKUP('Données projet'!$B$12,Paramètres!$A$1:$I$89,3,0)*0.475*44/12</f>
        <v>3.7908499993567397</v>
      </c>
      <c r="CM87" s="21">
        <f>EXP(-LN(2)/2)*CM86+(1-EXP(-LN(2)/2))/(LN(2)/2)*CG87*CJ87*VLOOKUP('Données projet'!$B$12,Paramètres!$A$1:$I$89,3,0)*0.475*44/12</f>
        <v>0.40974403871693049</v>
      </c>
      <c r="CN87" s="22">
        <f t="shared" si="66"/>
        <v>4.2005940380736702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4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397.99468935620564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-1.7053025658242404E-13</v>
      </c>
      <c r="O88" s="13">
        <f>N88*VLOOKUP('Données projet'!$B$9,Paramètres!$A$1:$I$89,3,0)*VLOOKUP('Données projet'!$B$9,Paramètres!$A$1:$I$89,5,0)</f>
        <v>-1.0197709343628959E-13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235.90365770026909</v>
      </c>
      <c r="T88" s="59">
        <f t="shared" si="88"/>
        <v>348.09952585694253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60.269010698785038</v>
      </c>
      <c r="AA88" s="21">
        <f>EXP(-LN(2)/25)*AA87+(1-EXP(-LN(2)/25))/(LN(2)/25)*Calculateur!V88*Calculateur!X88*VLOOKUP('Données projet'!$B$9,Paramètres!$A$1:$I$89,3,0)*0.475*44/12</f>
        <v>16.072114687939393</v>
      </c>
      <c r="AB88" s="21">
        <f>EXP(-LN(2)/2)*AB87+(1-EXP(-LN(2)/2))/(LN(2)/2)*V88*Y88*VLOOKUP('Données projet'!$B$9,Paramètres!$A$1:$I$89,3,0)*0.475*44/12</f>
        <v>6.5450770614634189E-5</v>
      </c>
      <c r="AC88" s="22">
        <f t="shared" si="57"/>
        <v>76.341190837495049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9.1730000000000018</v>
      </c>
      <c r="AI88" s="13">
        <f>IF('Données projet'!$A$62&gt;35,AI87+AH88-AQ87,IF(A88&lt;'Données projet'!$A$62,$AF$205^A88,IF(A88='Données projet'!$A$62,'Données projet'!$B$62,AI87+AH88-AQ87)))</f>
        <v>297.57300000000049</v>
      </c>
      <c r="AJ88" s="13">
        <f>AI88*VLOOKUP('Données projet'!$B$10,Paramètres!$A$1:$I$89,3,0)*VLOOKUP('Données projet'!$B$10,Paramètres!$A$1:$I$89,5,0)</f>
        <v>269.24405040000045</v>
      </c>
      <c r="AK88" s="13">
        <f t="shared" si="89"/>
        <v>64.688811534365087</v>
      </c>
      <c r="AL88" s="20">
        <f t="shared" si="58"/>
        <v>581.59973453568659</v>
      </c>
      <c r="AM88" s="59">
        <f t="shared" si="59"/>
        <v>874.93306786901985</v>
      </c>
      <c r="AN88" s="59">
        <f ca="1">AVERAGE(OFFSET($AM$3,0,0,'Données projet'!$E$10+1,1))-AVERAGE(OFFSET($H$3,0,0,'Données projet'!$E$10+1,1))</f>
        <v>490.21869105612649</v>
      </c>
      <c r="AO88" s="59">
        <f t="shared" si="90"/>
        <v>207.08773997010911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21.604553113563949</v>
      </c>
      <c r="AV88" s="21">
        <f>EXP(-LN(2)/25)*AV87+(1-EXP(-LN(2)/25))/(LN(2)/25)*Calculateur!AQ88*Calculateur!AS88*VLOOKUP('Données projet'!$B$10,Paramètres!$A$1:$I$89,3,0)*0.475*44/12</f>
        <v>28.7697009292262</v>
      </c>
      <c r="AW88" s="21">
        <f>EXP(-LN(2)/2)*AW87+(1-EXP(-LN(2)/2))/(LN(2)/2)*AQ88*AT88*VLOOKUP('Données projet'!$B$10,Paramètres!$A$1:$I$89,3,0)*0.475*44/12</f>
        <v>4.1297238291879266</v>
      </c>
      <c r="AX88" s="21">
        <f t="shared" si="60"/>
        <v>54.503977871978073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>
        <f>VLOOKUP(A88,'Données projet'!$A$87:$I$107,2,0)</f>
        <v>135.25641025641025</v>
      </c>
      <c r="BB88" s="12">
        <f>VLOOKUP(A88,'Données projet'!$A$87:$I$107,9,0)</f>
        <v>1.7948717948717898</v>
      </c>
      <c r="BC88" s="12">
        <f t="array" ref="BC88">INDEX(BB:BB,MIN(IF(ISNUMBER(BB88:BB284),ROW(BB88:BB284),"")))</f>
        <v>1.7948717948717898</v>
      </c>
      <c r="BD88" s="12">
        <f>IF('Données projet'!$A$88&gt;35,BD87+BC88-BL87,IF(A88&lt;'Données projet'!$A$88,$BA$205^A88,IF(A88='Données projet'!$A$88,'Données projet'!$B$88,BD87+BC88-BL87)))</f>
        <v>135.25641025641019</v>
      </c>
      <c r="BE88" s="13">
        <f>BD88*VLOOKUP('Données projet'!$B$11,Paramètres!$A$1:$I$89,3,0)*VLOOKUP('Données projet'!$B$11,Paramètres!$A$1:$I$89,5,0)</f>
        <v>141.36999999999995</v>
      </c>
      <c r="BF88" s="13">
        <f t="shared" si="91"/>
        <v>36.610675159135553</v>
      </c>
      <c r="BG88" s="20">
        <f t="shared" si="61"/>
        <v>309.98300923549431</v>
      </c>
      <c r="BH88" s="59">
        <f t="shared" si="62"/>
        <v>603.31634256882762</v>
      </c>
      <c r="BI88" s="59">
        <f ca="1">AVERAGE(OFFSET($BH$3,0,0,'Données projet'!$E$11+1,1))-AVERAGE(OFFSET($H$3,0,0,'Données projet'!$E$11+1,1))</f>
        <v>144.01698107732989</v>
      </c>
      <c r="BJ88" s="59">
        <f t="shared" si="92"/>
        <v>139.28039875117332</v>
      </c>
      <c r="BK88" s="15">
        <f>IF(ISNA(VLOOKUP(A88,'Données projet'!$A$87:$I$107,3,0)),0,VLOOKUP(A88,'Données projet'!$A$87:$I$107,3,0))</f>
        <v>14</v>
      </c>
      <c r="BL88" s="15">
        <f>IF(ISNA(VLOOKUP(A88,'Données projet'!$A$87:$I$107,4,0)),0,VLOOKUP(A88,'Données projet'!$A$87:$I$107,4,0))</f>
        <v>6.4102564102564097</v>
      </c>
      <c r="BM88" s="16">
        <f>IF(ISNA(VLOOKUP(A88,'Données projet'!$A$87:$I$107,5,0)),0%,VLOOKUP(A88,'Données projet'!$A$87:$I$107,5,0)*VLOOKUP('Données projet'!$B$11,Paramètres!$A$1:$I$89,7,0))</f>
        <v>4.3000000000000003E-2</v>
      </c>
      <c r="BN88" s="16">
        <f>IF(ISNA(VLOOKUP(A88,'Données projet'!$A$87:$I$107,6,0)),0%,VLOOKUP(A88,'Données projet'!$A$87:$I$107,6,0)*VLOOKUP('Données projet'!$B$11,Paramètres!$A$1:$I$89,7,0))</f>
        <v>0.215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1.6020864518573896</v>
      </c>
      <c r="BQ88" s="21">
        <f>EXP(-LN(2)/25)*BQ87+(1-EXP(-LN(2)/25))/(LN(2)/25)*Calculateur!BL88*Calculateur!BN88*VLOOKUP('Données projet'!$B$11,Paramètres!$A$1:$I$89,3,0)*0.475*44/12</f>
        <v>15.622011798734682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17.224098250592071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>
        <f>VLOOKUP(A88,'Données projet'!$A$113:$I$133,2,0)</f>
        <v>126.28205128205127</v>
      </c>
      <c r="BW88" s="12">
        <f>VLOOKUP(A88,'Données projet'!$A$113:$I$133,9,0)</f>
        <v>2.0512820512820498</v>
      </c>
      <c r="BX88" s="12">
        <f t="array" ref="BX88">INDEX(BW:BW,MIN(IF(ISNUMBER(BW88:BW284),ROW(BW88:BW284),"")))</f>
        <v>2.0512820512820498</v>
      </c>
      <c r="BY88" s="12">
        <f>IF('Données projet'!$A$114&gt;35,BY87+BX88-CG87,IF(A88&lt;'Données projet'!$A$114,$BV$205^A88,IF(A88='Données projet'!$A$114,'Données projet'!$B$114,BY87+BX88-CG87)))</f>
        <v>126.28205128205119</v>
      </c>
      <c r="BZ88" s="13">
        <f>BY88*VLOOKUP('Données projet'!$B$12,Paramètres!$A$1:$I$89,3,0)*VLOOKUP('Données projet'!$B$12,Paramètres!$A$1:$I$89,5,0)</f>
        <v>102.43999999999993</v>
      </c>
      <c r="CA88" s="13">
        <f t="shared" si="93"/>
        <v>27.542475814398081</v>
      </c>
      <c r="CB88" s="20">
        <f t="shared" si="64"/>
        <v>226.3861453767432</v>
      </c>
      <c r="CC88" s="59">
        <f t="shared" si="65"/>
        <v>519.71947871007649</v>
      </c>
      <c r="CD88" s="59">
        <f ca="1">AVERAGE(OFFSET($CC$3,0,0,'Données projet'!$E$12+1,1))-AVERAGE(OFFSET($H$3,0,0,'Données projet'!$E$12+1,1))</f>
        <v>72.953866894533007</v>
      </c>
      <c r="CE88" s="59">
        <f t="shared" si="94"/>
        <v>60.640359826163092</v>
      </c>
      <c r="CF88" s="15">
        <f>IF(ISNA(VLOOKUP(A88,'Données projet'!$A$113:$I$133,3,0)),0,VLOOKUP(A88,'Données projet'!$A$113:$I$133,3,0))</f>
        <v>15</v>
      </c>
      <c r="CG88" s="15">
        <f>IF(ISNA(VLOOKUP(A88,'Données projet'!$A$113:$I$133,4,0)),0,VLOOKUP(A88,'Données projet'!$A$113:$I$133,4,0))</f>
        <v>6.4102564102564097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0.1075</v>
      </c>
      <c r="CJ88" s="16">
        <f>IF(ISNA(VLOOKUP(A88,'Données projet'!$A$113:$I$133,7,0)),0%,VLOOKUP(A88,'Données projet'!$A$113:$I$133,7,0))</f>
        <v>0.25</v>
      </c>
      <c r="CK88" s="21">
        <f>EXP(-LN(2)/35)*CK87+(1-EXP(-LN(2)/35))/(LN(2)/35)*CG88*CH88*VLOOKUP('Données projet'!$B$12,Paramètres!$A$1:$I$89,3,0)*0.475*44/12</f>
        <v>0</v>
      </c>
      <c r="CL88" s="21">
        <f>EXP(-LN(2)/25)*CL87+(1-EXP(-LN(2)/25))/(LN(2)/25)*Calculateur!CG88*Calculateur!CI88*VLOOKUP('Données projet'!$B$12,Paramètres!$A$1:$I$89,3,0)*0.475*44/12</f>
        <v>4.3027138130523959</v>
      </c>
      <c r="CM88" s="21">
        <f>EXP(-LN(2)/2)*CM87+(1-EXP(-LN(2)/2))/(LN(2)/2)*CG88*CJ88*VLOOKUP('Données projet'!$B$12,Paramètres!$A$1:$I$89,3,0)*0.475*44/12</f>
        <v>1.5163177773145096</v>
      </c>
      <c r="CN88" s="22">
        <f t="shared" si="66"/>
        <v>5.8190315903669054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4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399.19319663326939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-1.7053025658242404E-13</v>
      </c>
      <c r="O89" s="13">
        <f>N89*VLOOKUP('Données projet'!$B$9,Paramètres!$A$1:$I$89,3,0)*VLOOKUP('Données projet'!$B$9,Paramètres!$A$1:$I$89,5,0)</f>
        <v>-1.0197709343628959E-13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235.90365770026909</v>
      </c>
      <c r="T89" s="59">
        <f t="shared" si="88"/>
        <v>348.09952585694253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59.087172159448599</v>
      </c>
      <c r="AA89" s="21">
        <f>EXP(-LN(2)/25)*AA88+(1-EXP(-LN(2)/25))/(LN(2)/25)*Calculateur!V89*Calculateur!X89*VLOOKUP('Données projet'!$B$9,Paramètres!$A$1:$I$89,3,0)*0.475*44/12</f>
        <v>15.632621866601912</v>
      </c>
      <c r="AB89" s="21">
        <f>EXP(-LN(2)/2)*AB88+(1-EXP(-LN(2)/2))/(LN(2)/2)*V89*Y89*VLOOKUP('Données projet'!$B$9,Paramètres!$A$1:$I$89,3,0)*0.475*44/12</f>
        <v>4.6280683735493053E-5</v>
      </c>
      <c r="AC89" s="22">
        <f t="shared" si="57"/>
        <v>74.719840306734241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9.1730000000000018</v>
      </c>
      <c r="AI89" s="13">
        <f>IF('Données projet'!$A$62&gt;35,AI88+AH89-AQ88,IF(A89&lt;'Données projet'!$A$62,$AF$205^A89,IF(A89='Données projet'!$A$62,'Données projet'!$B$62,AI88+AH89-AQ88)))</f>
        <v>306.74600000000049</v>
      </c>
      <c r="AJ89" s="13">
        <f>AI89*VLOOKUP('Données projet'!$B$10,Paramètres!$A$1:$I$89,3,0)*VLOOKUP('Données projet'!$B$10,Paramètres!$A$1:$I$89,5,0)</f>
        <v>277.54378080000043</v>
      </c>
      <c r="AK89" s="13">
        <f t="shared" si="89"/>
        <v>66.447673279805883</v>
      </c>
      <c r="AL89" s="20">
        <f t="shared" si="58"/>
        <v>599.11844918899601</v>
      </c>
      <c r="AM89" s="59">
        <f t="shared" si="59"/>
        <v>892.45178252232927</v>
      </c>
      <c r="AN89" s="59">
        <f ca="1">AVERAGE(OFFSET($AM$3,0,0,'Données projet'!$E$10+1,1))-AVERAGE(OFFSET($H$3,0,0,'Données projet'!$E$10+1,1))</f>
        <v>490.21869105612649</v>
      </c>
      <c r="AO89" s="59">
        <f t="shared" si="90"/>
        <v>207.08773997010911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21.180901004483189</v>
      </c>
      <c r="AV89" s="21">
        <f>EXP(-LN(2)/25)*AV88+(1-EXP(-LN(2)/25))/(LN(2)/25)*Calculateur!AQ89*Calculateur!AS89*VLOOKUP('Données projet'!$B$10,Paramètres!$A$1:$I$89,3,0)*0.475*44/12</f>
        <v>27.982991944383691</v>
      </c>
      <c r="AW89" s="21">
        <f>EXP(-LN(2)/2)*AW88+(1-EXP(-LN(2)/2))/(LN(2)/2)*AQ89*AT89*VLOOKUP('Données projet'!$B$10,Paramètres!$A$1:$I$89,3,0)*0.475*44/12</f>
        <v>2.9201557240464586</v>
      </c>
      <c r="AX89" s="21">
        <f t="shared" si="60"/>
        <v>52.08404867291334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1.7948717948717956</v>
      </c>
      <c r="BD89" s="12">
        <f>IF('Données projet'!$A$88&gt;35,BD88+BC89-BL88,IF(A89&lt;'Données projet'!$A$88,$BA$205^A89,IF(A89='Données projet'!$A$88,'Données projet'!$B$88,BD88+BC89-BL88)))</f>
        <v>130.64102564102558</v>
      </c>
      <c r="BE89" s="13">
        <f>BD89*VLOOKUP('Données projet'!$B$11,Paramètres!$A$1:$I$89,3,0)*VLOOKUP('Données projet'!$B$11,Paramètres!$A$1:$I$89,5,0)</f>
        <v>136.54599999999996</v>
      </c>
      <c r="BF89" s="13">
        <f t="shared" si="91"/>
        <v>35.504595871947302</v>
      </c>
      <c r="BG89" s="20">
        <f t="shared" si="61"/>
        <v>299.65478781030816</v>
      </c>
      <c r="BH89" s="59">
        <f t="shared" si="62"/>
        <v>592.98812114364148</v>
      </c>
      <c r="BI89" s="59">
        <f ca="1">AVERAGE(OFFSET($BH$3,0,0,'Données projet'!$E$11+1,1))-AVERAGE(OFFSET($H$3,0,0,'Données projet'!$E$11+1,1))</f>
        <v>144.01698107732989</v>
      </c>
      <c r="BJ89" s="59">
        <f t="shared" si="92"/>
        <v>139.28039875117332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1.5706705137127137</v>
      </c>
      <c r="BQ89" s="21">
        <f>EXP(-LN(2)/25)*BQ88+(1-EXP(-LN(2)/25))/(LN(2)/25)*Calculateur!BL89*Calculateur!BN89*VLOOKUP('Données projet'!$B$11,Paramètres!$A$1:$I$89,3,0)*0.475*44/12</f>
        <v>15.194827064572387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16.7654975782851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1.9230769230769227</v>
      </c>
      <c r="BY89" s="12">
        <f>IF('Données projet'!$A$114&gt;35,BY88+BX89-CG88,IF(A89&lt;'Données projet'!$A$114,$BV$205^A89,IF(A89='Données projet'!$A$114,'Données projet'!$B$114,BY88+BX89-CG88)))</f>
        <v>121.79487179487171</v>
      </c>
      <c r="BZ89" s="13">
        <f>BY89*VLOOKUP('Données projet'!$B$12,Paramètres!$A$1:$I$89,3,0)*VLOOKUP('Données projet'!$B$12,Paramètres!$A$1:$I$89,5,0)</f>
        <v>98.79999999999994</v>
      </c>
      <c r="CA89" s="13">
        <f t="shared" si="93"/>
        <v>26.675913537633271</v>
      </c>
      <c r="CB89" s="20">
        <f t="shared" si="64"/>
        <v>218.53721607804448</v>
      </c>
      <c r="CC89" s="59">
        <f t="shared" si="65"/>
        <v>511.87054941137779</v>
      </c>
      <c r="CD89" s="59">
        <f ca="1">AVERAGE(OFFSET($CC$3,0,0,'Données projet'!$E$12+1,1))-AVERAGE(OFFSET($H$3,0,0,'Données projet'!$E$12+1,1))</f>
        <v>72.953866894533007</v>
      </c>
      <c r="CE89" s="59">
        <f t="shared" si="94"/>
        <v>60.640359826163092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0</v>
      </c>
      <c r="CL89" s="21">
        <f>EXP(-LN(2)/25)*CL88+(1-EXP(-LN(2)/25))/(LN(2)/25)*Calculateur!CG89*Calculateur!CI89*VLOOKUP('Données projet'!$B$12,Paramètres!$A$1:$I$89,3,0)*0.475*44/12</f>
        <v>4.1850558775645927</v>
      </c>
      <c r="CM89" s="21">
        <f>EXP(-LN(2)/2)*CM88+(1-EXP(-LN(2)/2))/(LN(2)/2)*CG89*CJ89*VLOOKUP('Données projet'!$B$12,Paramètres!$A$1:$I$89,3,0)*0.475*44/12</f>
        <v>1.0721985827728031</v>
      </c>
      <c r="CN89" s="22">
        <f t="shared" si="66"/>
        <v>5.2572544603373963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4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400.39136906310915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-1.7053025658242404E-13</v>
      </c>
      <c r="O90" s="13">
        <f>N90*VLOOKUP('Données projet'!$B$9,Paramètres!$A$1:$I$89,3,0)*VLOOKUP('Données projet'!$B$9,Paramètres!$A$1:$I$89,5,0)</f>
        <v>-1.0197709343628959E-13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235.90365770026909</v>
      </c>
      <c r="T90" s="59">
        <f t="shared" si="88"/>
        <v>348.09952585694253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57.928508753018214</v>
      </c>
      <c r="AA90" s="21">
        <f>EXP(-LN(2)/25)*AA89+(1-EXP(-LN(2)/25))/(LN(2)/25)*Calculateur!V90*Calculateur!X90*VLOOKUP('Données projet'!$B$9,Paramètres!$A$1:$I$89,3,0)*0.475*44/12</f>
        <v>15.205146999575827</v>
      </c>
      <c r="AB90" s="21">
        <f>EXP(-LN(2)/2)*AB89+(1-EXP(-LN(2)/2))/(LN(2)/2)*V90*Y90*VLOOKUP('Données projet'!$B$9,Paramètres!$A$1:$I$89,3,0)*0.475*44/12</f>
        <v>3.2725385307317095E-5</v>
      </c>
      <c r="AC90" s="22">
        <f t="shared" si="57"/>
        <v>73.133688477979348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9.1730000000000018</v>
      </c>
      <c r="AI90" s="13">
        <f>IF('Données projet'!$A$62&gt;35,AI89+AH90-AQ89,IF(A90&lt;'Données projet'!$A$62,$AF$205^A90,IF(A90='Données projet'!$A$62,'Données projet'!$B$62,AI89+AH90-AQ89)))</f>
        <v>315.91900000000049</v>
      </c>
      <c r="AJ90" s="13">
        <f>AI90*VLOOKUP('Données projet'!$B$10,Paramètres!$A$1:$I$89,3,0)*VLOOKUP('Données projet'!$B$10,Paramètres!$A$1:$I$89,5,0)</f>
        <v>285.84351120000042</v>
      </c>
      <c r="AK90" s="13">
        <f t="shared" si="89"/>
        <v>68.200422369637309</v>
      </c>
      <c r="AL90" s="20">
        <f t="shared" si="58"/>
        <v>616.62651763378562</v>
      </c>
      <c r="AM90" s="59">
        <f t="shared" si="59"/>
        <v>909.95985096711888</v>
      </c>
      <c r="AN90" s="59">
        <f ca="1">AVERAGE(OFFSET($AM$3,0,0,'Données projet'!$E$10+1,1))-AVERAGE(OFFSET($H$3,0,0,'Données projet'!$E$10+1,1))</f>
        <v>490.21869105612649</v>
      </c>
      <c r="AO90" s="59">
        <f t="shared" si="90"/>
        <v>207.08773997010911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20.765556454859233</v>
      </c>
      <c r="AV90" s="21">
        <f>EXP(-LN(2)/25)*AV89+(1-EXP(-LN(2)/25))/(LN(2)/25)*Calculateur!AQ90*Calculateur!AS90*VLOOKUP('Données projet'!$B$10,Paramètres!$A$1:$I$89,3,0)*0.475*44/12</f>
        <v>27.217795558102928</v>
      </c>
      <c r="AW90" s="21">
        <f>EXP(-LN(2)/2)*AW89+(1-EXP(-LN(2)/2))/(LN(2)/2)*AQ90*AT90*VLOOKUP('Données projet'!$B$10,Paramètres!$A$1:$I$89,3,0)*0.475*44/12</f>
        <v>2.0648619145939637</v>
      </c>
      <c r="AX90" s="21">
        <f t="shared" si="60"/>
        <v>50.04821392755612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1.7948717948717956</v>
      </c>
      <c r="BD90" s="12">
        <f>IF('Données projet'!$A$88&gt;35,BD89+BC90-BL89,IF(A90&lt;'Données projet'!$A$88,$BA$205^A90,IF(A90='Données projet'!$A$88,'Données projet'!$B$88,BD89+BC90-BL89)))</f>
        <v>132.43589743589737</v>
      </c>
      <c r="BE90" s="13">
        <f>BD90*VLOOKUP('Données projet'!$B$11,Paramètres!$A$1:$I$89,3,0)*VLOOKUP('Données projet'!$B$11,Paramètres!$A$1:$I$89,5,0)</f>
        <v>138.42199999999994</v>
      </c>
      <c r="BF90" s="13">
        <f t="shared" si="91"/>
        <v>35.935269711934978</v>
      </c>
      <c r="BG90" s="20">
        <f t="shared" si="61"/>
        <v>303.67224474828663</v>
      </c>
      <c r="BH90" s="59">
        <f t="shared" si="62"/>
        <v>597.00557808161989</v>
      </c>
      <c r="BI90" s="59">
        <f ca="1">AVERAGE(OFFSET($BH$3,0,0,'Données projet'!$E$11+1,1))-AVERAGE(OFFSET($H$3,0,0,'Données projet'!$E$11+1,1))</f>
        <v>144.01698107732989</v>
      </c>
      <c r="BJ90" s="59">
        <f t="shared" si="92"/>
        <v>139.28039875117332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1.5398706229532246</v>
      </c>
      <c r="BQ90" s="21">
        <f>EXP(-LN(2)/25)*BQ89+(1-EXP(-LN(2)/25))/(LN(2)/25)*Calculateur!BL90*Calculateur!BN90*VLOOKUP('Données projet'!$B$11,Paramètres!$A$1:$I$89,3,0)*0.475*44/12</f>
        <v>14.779323719430428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16.319194342383653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1.9230769230769227</v>
      </c>
      <c r="BY90" s="12">
        <f>IF('Données projet'!$A$114&gt;35,BY89+BX90-CG89,IF(A90&lt;'Données projet'!$A$114,$BV$205^A90,IF(A90='Données projet'!$A$114,'Données projet'!$B$114,BY89+BX90-CG89)))</f>
        <v>123.71794871794863</v>
      </c>
      <c r="BZ90" s="13">
        <f>BY90*VLOOKUP('Données projet'!$B$12,Paramètres!$A$1:$I$89,3,0)*VLOOKUP('Données projet'!$B$12,Paramètres!$A$1:$I$89,5,0)</f>
        <v>100.35999999999993</v>
      </c>
      <c r="CA90" s="13">
        <f t="shared" si="93"/>
        <v>27.047744638609704</v>
      </c>
      <c r="CB90" s="20">
        <f t="shared" si="64"/>
        <v>221.90182191224508</v>
      </c>
      <c r="CC90" s="59">
        <f t="shared" si="65"/>
        <v>515.23515524557843</v>
      </c>
      <c r="CD90" s="59">
        <f ca="1">AVERAGE(OFFSET($CC$3,0,0,'Données projet'!$E$12+1,1))-AVERAGE(OFFSET($H$3,0,0,'Données projet'!$E$12+1,1))</f>
        <v>72.953866894533007</v>
      </c>
      <c r="CE90" s="59">
        <f t="shared" si="94"/>
        <v>60.640359826163092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0</v>
      </c>
      <c r="CL90" s="21">
        <f>EXP(-LN(2)/25)*CL89+(1-EXP(-LN(2)/25))/(LN(2)/25)*Calculateur!CG90*Calculateur!CI90*VLOOKUP('Données projet'!$B$12,Paramètres!$A$1:$I$89,3,0)*0.475*44/12</f>
        <v>4.0706153045100653</v>
      </c>
      <c r="CM90" s="21">
        <f>EXP(-LN(2)/2)*CM89+(1-EXP(-LN(2)/2))/(LN(2)/2)*CG90*CJ90*VLOOKUP('Données projet'!$B$12,Paramètres!$A$1:$I$89,3,0)*0.475*44/12</f>
        <v>0.75815888865725489</v>
      </c>
      <c r="CN90" s="22">
        <f t="shared" si="66"/>
        <v>4.8287741931673205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4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401.58921093986299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-1.7053025658242404E-13</v>
      </c>
      <c r="O91" s="13">
        <f>N91*VLOOKUP('Données projet'!$B$9,Paramètres!$A$1:$I$89,3,0)*VLOOKUP('Données projet'!$B$9,Paramètres!$A$1:$I$89,5,0)</f>
        <v>-1.0197709343628959E-13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235.90365770026909</v>
      </c>
      <c r="T91" s="59">
        <f t="shared" si="88"/>
        <v>348.09952585694253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56.792566029273033</v>
      </c>
      <c r="AA91" s="21">
        <f>EXP(-LN(2)/25)*AA90+(1-EXP(-LN(2)/25))/(LN(2)/25)*Calculateur!V91*Calculateur!X91*VLOOKUP('Données projet'!$B$9,Paramètres!$A$1:$I$89,3,0)*0.475*44/12</f>
        <v>14.789361455268498</v>
      </c>
      <c r="AB91" s="21">
        <f>EXP(-LN(2)/2)*AB90+(1-EXP(-LN(2)/2))/(LN(2)/2)*V91*Y91*VLOOKUP('Données projet'!$B$9,Paramètres!$A$1:$I$89,3,0)*0.475*44/12</f>
        <v>2.3140341867746526E-5</v>
      </c>
      <c r="AC91" s="22">
        <f t="shared" si="57"/>
        <v>71.58195062488339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9.1730000000000018</v>
      </c>
      <c r="AI91" s="13">
        <f>IF('Données projet'!$A$62&gt;35,AI90+AH91-AQ90,IF(A91&lt;'Données projet'!$A$62,$AF$205^A91,IF(A91='Données projet'!$A$62,'Données projet'!$B$62,AI90+AH91-AQ90)))</f>
        <v>325.0920000000005</v>
      </c>
      <c r="AJ91" s="13">
        <f>AI91*VLOOKUP('Données projet'!$B$10,Paramètres!$A$1:$I$89,3,0)*VLOOKUP('Données projet'!$B$10,Paramètres!$A$1:$I$89,5,0)</f>
        <v>294.14324160000047</v>
      </c>
      <c r="AK91" s="13">
        <f t="shared" si="89"/>
        <v>69.947256671789191</v>
      </c>
      <c r="AL91" s="20">
        <f t="shared" si="58"/>
        <v>634.12428449003357</v>
      </c>
      <c r="AM91" s="59">
        <f t="shared" si="59"/>
        <v>927.45761782336695</v>
      </c>
      <c r="AN91" s="59">
        <f ca="1">AVERAGE(OFFSET($AM$3,0,0,'Données projet'!$E$10+1,1))-AVERAGE(OFFSET($H$3,0,0,'Données projet'!$E$10+1,1))</f>
        <v>490.21869105612649</v>
      </c>
      <c r="AO91" s="59">
        <f t="shared" si="90"/>
        <v>207.08773997010911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20.358356558518242</v>
      </c>
      <c r="AV91" s="21">
        <f>EXP(-LN(2)/25)*AV90+(1-EXP(-LN(2)/25))/(LN(2)/25)*Calculateur!AQ91*Calculateur!AS91*VLOOKUP('Données projet'!$B$10,Paramètres!$A$1:$I$89,3,0)*0.475*44/12</f>
        <v>26.473523507244941</v>
      </c>
      <c r="AW91" s="21">
        <f>EXP(-LN(2)/2)*AW90+(1-EXP(-LN(2)/2))/(LN(2)/2)*AQ91*AT91*VLOOKUP('Données projet'!$B$10,Paramètres!$A$1:$I$89,3,0)*0.475*44/12</f>
        <v>1.4600778620232295</v>
      </c>
      <c r="AX91" s="21">
        <f t="shared" si="60"/>
        <v>48.291957927786413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1.7948717948717956</v>
      </c>
      <c r="BD91" s="12">
        <f>IF('Données projet'!$A$88&gt;35,BD90+BC91-BL90,IF(A91&lt;'Données projet'!$A$88,$BA$205^A91,IF(A91='Données projet'!$A$88,'Données projet'!$B$88,BD90+BC91-BL90)))</f>
        <v>134.23076923076917</v>
      </c>
      <c r="BE91" s="13">
        <f>BD91*VLOOKUP('Données projet'!$B$11,Paramètres!$A$1:$I$89,3,0)*VLOOKUP('Données projet'!$B$11,Paramètres!$A$1:$I$89,5,0)</f>
        <v>140.29799999999997</v>
      </c>
      <c r="BF91" s="13">
        <f t="shared" si="91"/>
        <v>36.365264659858738</v>
      </c>
      <c r="BG91" s="20">
        <f t="shared" si="61"/>
        <v>307.68851928258727</v>
      </c>
      <c r="BH91" s="59">
        <f t="shared" si="62"/>
        <v>601.02185261592058</v>
      </c>
      <c r="BI91" s="59">
        <f ca="1">AVERAGE(OFFSET($BH$3,0,0,'Données projet'!$E$11+1,1))-AVERAGE(OFFSET($H$3,0,0,'Données projet'!$E$11+1,1))</f>
        <v>144.01698107732989</v>
      </c>
      <c r="BJ91" s="59">
        <f t="shared" si="92"/>
        <v>139.28039875117332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1.5096746992654508</v>
      </c>
      <c r="BQ91" s="21">
        <f>EXP(-LN(2)/25)*BQ90+(1-EXP(-LN(2)/25))/(LN(2)/25)*Calculateur!BL91*Calculateur!BN91*VLOOKUP('Données projet'!$B$11,Paramètres!$A$1:$I$89,3,0)*0.475*44/12</f>
        <v>14.375182335111747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15.884857034377198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1.9230769230769227</v>
      </c>
      <c r="BY91" s="12">
        <f>IF('Données projet'!$A$114&gt;35,BY90+BX91-CG90,IF(A91&lt;'Données projet'!$A$114,$BV$205^A91,IF(A91='Données projet'!$A$114,'Données projet'!$B$114,BY90+BX91-CG90)))</f>
        <v>125.64102564102555</v>
      </c>
      <c r="BZ91" s="13">
        <f>BY91*VLOOKUP('Données projet'!$B$12,Paramètres!$A$1:$I$89,3,0)*VLOOKUP('Données projet'!$B$12,Paramètres!$A$1:$I$89,5,0)</f>
        <v>101.91999999999993</v>
      </c>
      <c r="CA91" s="13">
        <f t="shared" si="93"/>
        <v>27.418903555387619</v>
      </c>
      <c r="CB91" s="20">
        <f t="shared" si="64"/>
        <v>225.2652570256333</v>
      </c>
      <c r="CC91" s="59">
        <f t="shared" si="65"/>
        <v>518.59859035896659</v>
      </c>
      <c r="CD91" s="59">
        <f ca="1">AVERAGE(OFFSET($CC$3,0,0,'Données projet'!$E$12+1,1))-AVERAGE(OFFSET($H$3,0,0,'Données projet'!$E$12+1,1))</f>
        <v>72.953866894533007</v>
      </c>
      <c r="CE91" s="59">
        <f t="shared" si="94"/>
        <v>60.640359826163092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0</v>
      </c>
      <c r="CL91" s="21">
        <f>EXP(-LN(2)/25)*CL90+(1-EXP(-LN(2)/25))/(LN(2)/25)*Calculateur!CG91*Calculateur!CI91*VLOOKUP('Données projet'!$B$12,Paramètres!$A$1:$I$89,3,0)*0.475*44/12</f>
        <v>3.9593041149438823</v>
      </c>
      <c r="CM91" s="21">
        <f>EXP(-LN(2)/2)*CM90+(1-EXP(-LN(2)/2))/(LN(2)/2)*CG91*CJ91*VLOOKUP('Données projet'!$B$12,Paramètres!$A$1:$I$89,3,0)*0.475*44/12</f>
        <v>0.53609929138640167</v>
      </c>
      <c r="CN91" s="22">
        <f t="shared" si="66"/>
        <v>4.4954034063302837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4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402.78672645445664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-1.7053025658242404E-13</v>
      </c>
      <c r="O92" s="13">
        <f>N92*VLOOKUP('Données projet'!$B$9,Paramètres!$A$1:$I$89,3,0)*VLOOKUP('Données projet'!$B$9,Paramètres!$A$1:$I$89,5,0)</f>
        <v>-1.0197709343628959E-13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235.90365770026909</v>
      </c>
      <c r="T92" s="59">
        <f t="shared" si="88"/>
        <v>348.09952585694253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55.678898449483846</v>
      </c>
      <c r="AA92" s="21">
        <f>EXP(-LN(2)/25)*AA91+(1-EXP(-LN(2)/25))/(LN(2)/25)*Calculateur!V92*Calculateur!X92*VLOOKUP('Données projet'!$B$9,Paramètres!$A$1:$I$89,3,0)*0.475*44/12</f>
        <v>14.384945588535464</v>
      </c>
      <c r="AB92" s="21">
        <f>EXP(-LN(2)/2)*AB91+(1-EXP(-LN(2)/2))/(LN(2)/2)*V92*Y92*VLOOKUP('Données projet'!$B$9,Paramètres!$A$1:$I$89,3,0)*0.475*44/12</f>
        <v>1.6362692653658547E-5</v>
      </c>
      <c r="AC92" s="22">
        <f t="shared" si="57"/>
        <v>70.06386040071196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9.1730000000000018</v>
      </c>
      <c r="AI92" s="13">
        <f>IF('Données projet'!$A$62&gt;35,AI91+AH92-AQ91,IF(A92&lt;'Données projet'!$A$62,$AF$205^A92,IF(A92='Données projet'!$A$62,'Données projet'!$B$62,AI91+AH92-AQ91)))</f>
        <v>334.2650000000005</v>
      </c>
      <c r="AJ92" s="13">
        <f>AI92*VLOOKUP('Données projet'!$B$10,Paramètres!$A$1:$I$89,3,0)*VLOOKUP('Données projet'!$B$10,Paramètres!$A$1:$I$89,5,0)</f>
        <v>302.44297200000045</v>
      </c>
      <c r="AK92" s="13">
        <f t="shared" si="89"/>
        <v>71.688362252626035</v>
      </c>
      <c r="AL92" s="20">
        <f t="shared" si="58"/>
        <v>651.61207382332452</v>
      </c>
      <c r="AM92" s="59">
        <f t="shared" si="59"/>
        <v>944.94540715665789</v>
      </c>
      <c r="AN92" s="59">
        <f ca="1">AVERAGE(OFFSET($AM$3,0,0,'Données projet'!$E$10+1,1))-AVERAGE(OFFSET($H$3,0,0,'Données projet'!$E$10+1,1))</f>
        <v>490.21869105612649</v>
      </c>
      <c r="AO92" s="59">
        <f t="shared" si="90"/>
        <v>207.08773997010911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19.959141603777088</v>
      </c>
      <c r="AV92" s="21">
        <f>EXP(-LN(2)/25)*AV91+(1-EXP(-LN(2)/25))/(LN(2)/25)*Calculateur!AQ92*Calculateur!AS92*VLOOKUP('Données projet'!$B$10,Paramètres!$A$1:$I$89,3,0)*0.475*44/12</f>
        <v>25.749603614757234</v>
      </c>
      <c r="AW92" s="21">
        <f>EXP(-LN(2)/2)*AW91+(1-EXP(-LN(2)/2))/(LN(2)/2)*AQ92*AT92*VLOOKUP('Données projet'!$B$10,Paramètres!$A$1:$I$89,3,0)*0.475*44/12</f>
        <v>1.0324309572969819</v>
      </c>
      <c r="AX92" s="21">
        <f t="shared" si="60"/>
        <v>46.741176175831299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1.7948717948717956</v>
      </c>
      <c r="BD92" s="12">
        <f>IF('Données projet'!$A$88&gt;35,BD91+BC92-BL91,IF(A92&lt;'Données projet'!$A$88,$BA$205^A92,IF(A92='Données projet'!$A$88,'Données projet'!$B$88,BD91+BC92-BL91)))</f>
        <v>136.02564102564097</v>
      </c>
      <c r="BE92" s="13">
        <f>BD92*VLOOKUP('Données projet'!$B$11,Paramètres!$A$1:$I$89,3,0)*VLOOKUP('Données projet'!$B$11,Paramètres!$A$1:$I$89,5,0)</f>
        <v>142.17399999999995</v>
      </c>
      <c r="BF92" s="13">
        <f t="shared" si="91"/>
        <v>36.794590842933211</v>
      </c>
      <c r="BG92" s="20">
        <f t="shared" si="61"/>
        <v>311.70362905144191</v>
      </c>
      <c r="BH92" s="59">
        <f t="shared" si="62"/>
        <v>605.03696238477528</v>
      </c>
      <c r="BI92" s="59">
        <f ca="1">AVERAGE(OFFSET($BH$3,0,0,'Données projet'!$E$11+1,1))-AVERAGE(OFFSET($H$3,0,0,'Données projet'!$E$11+1,1))</f>
        <v>144.01698107732989</v>
      </c>
      <c r="BJ92" s="59">
        <f t="shared" si="92"/>
        <v>139.28039875117332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1.4800708992234994</v>
      </c>
      <c r="BQ92" s="21">
        <f>EXP(-LN(2)/25)*BQ91+(1-EXP(-LN(2)/25))/(LN(2)/25)*Calculateur!BL92*Calculateur!BN92*VLOOKUP('Données projet'!$B$11,Paramètres!$A$1:$I$89,3,0)*0.475*44/12</f>
        <v>13.982092218200131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15.46216311742363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1.9230769230769227</v>
      </c>
      <c r="BY92" s="12">
        <f>IF('Données projet'!$A$114&gt;35,BY91+BX92-CG91,IF(A92&lt;'Données projet'!$A$114,$BV$205^A92,IF(A92='Données projet'!$A$114,'Données projet'!$B$114,BY91+BX92-CG91)))</f>
        <v>127.56410256410247</v>
      </c>
      <c r="BZ92" s="13">
        <f>BY92*VLOOKUP('Données projet'!$B$12,Paramètres!$A$1:$I$89,3,0)*VLOOKUP('Données projet'!$B$12,Paramètres!$A$1:$I$89,5,0)</f>
        <v>103.47999999999993</v>
      </c>
      <c r="CA92" s="13">
        <f t="shared" si="93"/>
        <v>27.789401764762509</v>
      </c>
      <c r="CB92" s="20">
        <f t="shared" si="64"/>
        <v>228.62754140696123</v>
      </c>
      <c r="CC92" s="59">
        <f t="shared" si="65"/>
        <v>521.96087474029457</v>
      </c>
      <c r="CD92" s="59">
        <f ca="1">AVERAGE(OFFSET($CC$3,0,0,'Données projet'!$E$12+1,1))-AVERAGE(OFFSET($H$3,0,0,'Données projet'!$E$12+1,1))</f>
        <v>72.953866894533007</v>
      </c>
      <c r="CE92" s="59">
        <f t="shared" si="94"/>
        <v>60.640359826163092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0</v>
      </c>
      <c r="CL92" s="21">
        <f>EXP(-LN(2)/25)*CL91+(1-EXP(-LN(2)/25))/(LN(2)/25)*Calculateur!CG92*Calculateur!CI92*VLOOKUP('Données projet'!$B$12,Paramètres!$A$1:$I$89,3,0)*0.475*44/12</f>
        <v>3.8510367357099877</v>
      </c>
      <c r="CM92" s="21">
        <f>EXP(-LN(2)/2)*CM91+(1-EXP(-LN(2)/2))/(LN(2)/2)*CG92*CJ92*VLOOKUP('Données projet'!$B$12,Paramètres!$A$1:$I$89,3,0)*0.475*44/12</f>
        <v>0.37907944432862756</v>
      </c>
      <c r="CN92" s="22">
        <f t="shared" si="66"/>
        <v>4.2301161800386149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4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403.98391969821557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-1.7053025658242404E-13</v>
      </c>
      <c r="O93" s="13">
        <f>N93*VLOOKUP('Données projet'!$B$9,Paramètres!$A$1:$I$89,3,0)*VLOOKUP('Données projet'!$B$9,Paramètres!$A$1:$I$89,5,0)</f>
        <v>-1.0197709343628959E-13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235.90365770026909</v>
      </c>
      <c r="T93" s="59">
        <f t="shared" si="88"/>
        <v>348.09952585694253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54.587069211664172</v>
      </c>
      <c r="AA93" s="21">
        <f>EXP(-LN(2)/25)*AA92+(1-EXP(-LN(2)/25))/(LN(2)/25)*Calculateur!V93*Calculateur!X93*VLOOKUP('Données projet'!$B$9,Paramètres!$A$1:$I$89,3,0)*0.475*44/12</f>
        <v>13.991588494945551</v>
      </c>
      <c r="AB93" s="21">
        <f>EXP(-LN(2)/2)*AB92+(1-EXP(-LN(2)/2))/(LN(2)/2)*V93*Y93*VLOOKUP('Données projet'!$B$9,Paramètres!$A$1:$I$89,3,0)*0.475*44/12</f>
        <v>1.1570170933873263E-5</v>
      </c>
      <c r="AC93" s="22">
        <f t="shared" si="57"/>
        <v>68.578669276780658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9.1730000000000018</v>
      </c>
      <c r="AI93" s="13">
        <f>IF('Données projet'!$A$62&gt;35,AI92+AH93-AQ92,IF(A93&lt;'Données projet'!$A$62,$AF$205^A93,IF(A93='Données projet'!$A$62,'Données projet'!$B$62,AI92+AH93-AQ92)))</f>
        <v>343.4380000000005</v>
      </c>
      <c r="AJ93" s="13">
        <f>AI93*VLOOKUP('Données projet'!$B$10,Paramètres!$A$1:$I$89,3,0)*VLOOKUP('Données projet'!$B$10,Paramètres!$A$1:$I$89,5,0)</f>
        <v>310.74270240000044</v>
      </c>
      <c r="AK93" s="13">
        <f t="shared" si="89"/>
        <v>73.423914385133031</v>
      </c>
      <c r="AL93" s="20">
        <f t="shared" si="58"/>
        <v>669.09019090077402</v>
      </c>
      <c r="AM93" s="59">
        <f t="shared" si="59"/>
        <v>962.42352423410739</v>
      </c>
      <c r="AN93" s="59">
        <f ca="1">AVERAGE(OFFSET($AM$3,0,0,'Données projet'!$E$10+1,1))-AVERAGE(OFFSET($H$3,0,0,'Données projet'!$E$10+1,1))</f>
        <v>490.21869105612649</v>
      </c>
      <c r="AO93" s="59">
        <f t="shared" si="90"/>
        <v>207.08773997010911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19.567755010801328</v>
      </c>
      <c r="AV93" s="21">
        <f>EXP(-LN(2)/25)*AV92+(1-EXP(-LN(2)/25))/(LN(2)/25)*Calculateur!AQ93*Calculateur!AS93*VLOOKUP('Données projet'!$B$10,Paramètres!$A$1:$I$89,3,0)*0.475*44/12</f>
        <v>25.045479349798896</v>
      </c>
      <c r="AW93" s="21">
        <f>EXP(-LN(2)/2)*AW92+(1-EXP(-LN(2)/2))/(LN(2)/2)*AQ93*AT93*VLOOKUP('Données projet'!$B$10,Paramètres!$A$1:$I$89,3,0)*0.475*44/12</f>
        <v>0.73003893101161477</v>
      </c>
      <c r="AX93" s="21">
        <f t="shared" si="60"/>
        <v>45.343273291611837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137.82051282051282</v>
      </c>
      <c r="BB93" s="12">
        <f>VLOOKUP(A93,'Données projet'!$A$87:$I$107,9,0)</f>
        <v>1.7948717948717956</v>
      </c>
      <c r="BC93" s="12">
        <f t="array" ref="BC93">INDEX(BB:BB,MIN(IF(ISNUMBER(BB93:BB289),ROW(BB93:BB289),"")))</f>
        <v>1.7948717948717956</v>
      </c>
      <c r="BD93" s="12">
        <f>IF('Données projet'!$A$88&gt;35,BD92+BC93-BL92,IF(A93&lt;'Données projet'!$A$88,$BA$205^A93,IF(A93='Données projet'!$A$88,'Données projet'!$B$88,BD92+BC93-BL92)))</f>
        <v>137.82051282051276</v>
      </c>
      <c r="BE93" s="13">
        <f>BD93*VLOOKUP('Données projet'!$B$11,Paramètres!$A$1:$I$89,3,0)*VLOOKUP('Données projet'!$B$11,Paramètres!$A$1:$I$89,5,0)</f>
        <v>144.04999999999995</v>
      </c>
      <c r="BF93" s="13">
        <f t="shared" si="91"/>
        <v>37.223258105752187</v>
      </c>
      <c r="BG93" s="20">
        <f t="shared" si="61"/>
        <v>315.71759120085159</v>
      </c>
      <c r="BH93" s="59">
        <f t="shared" si="62"/>
        <v>609.0509245341849</v>
      </c>
      <c r="BI93" s="59">
        <f ca="1">AVERAGE(OFFSET($BH$3,0,0,'Données projet'!$E$11+1,1))-AVERAGE(OFFSET($H$3,0,0,'Données projet'!$E$11+1,1))</f>
        <v>144.01698107732989</v>
      </c>
      <c r="BJ93" s="59">
        <f t="shared" si="92"/>
        <v>139.28039875117332</v>
      </c>
      <c r="BK93" s="15">
        <f>IF(ISNA(VLOOKUP(A93,'Données projet'!$A$87:$I$107,3,0)),0,VLOOKUP(A93,'Données projet'!$A$87:$I$107,3,0))</f>
        <v>15</v>
      </c>
      <c r="BL93" s="15">
        <f>IF(ISNA(VLOOKUP(A93,'Données projet'!$A$87:$I$107,4,0)),0,VLOOKUP(A93,'Données projet'!$A$87:$I$107,4,0))</f>
        <v>6.4102564102564097</v>
      </c>
      <c r="BM93" s="16">
        <f>IF(ISNA(VLOOKUP(A93,'Données projet'!$A$87:$I$107,5,0)),0%,VLOOKUP(A93,'Données projet'!$A$87:$I$107,5,0)*VLOOKUP('Données projet'!$B$11,Paramètres!$A$1:$I$89,7,0))</f>
        <v>4.3000000000000003E-2</v>
      </c>
      <c r="BN93" s="16">
        <f>IF(ISNA(VLOOKUP(A93,'Données projet'!$A$87:$I$107,6,0)),0%,VLOOKUP(A93,'Données projet'!$A$87:$I$107,6,0)*VLOOKUP('Données projet'!$B$11,Paramètres!$A$1:$I$89,7,0))</f>
        <v>0.215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1.7695336279872784</v>
      </c>
      <c r="BQ93" s="21">
        <f>EXP(-LN(2)/25)*BQ92+(1-EXP(-LN(2)/25))/(LN(2)/25)*Calculateur!BL93*Calculateur!BN93*VLOOKUP('Données projet'!$B$11,Paramètres!$A$1:$I$89,3,0)*0.475*44/12</f>
        <v>15.185911248929239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16.955444876916516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>
        <f>VLOOKUP(A93,'Données projet'!$A$113:$I$133,2,0)</f>
        <v>129.48717948717947</v>
      </c>
      <c r="BW93" s="12">
        <f>VLOOKUP(A93,'Données projet'!$A$113:$I$133,9,0)</f>
        <v>1.9230769230769227</v>
      </c>
      <c r="BX93" s="12">
        <f t="array" ref="BX93">INDEX(BW:BW,MIN(IF(ISNUMBER(BW93:BW289),ROW(BW93:BW289),"")))</f>
        <v>1.9230769230769227</v>
      </c>
      <c r="BY93" s="12">
        <f>IF('Données projet'!$A$114&gt;35,BY92+BX93-CG92,IF(A93&lt;'Données projet'!$A$114,$BV$205^A93,IF(A93='Données projet'!$A$114,'Données projet'!$B$114,BY92+BX93-CG92)))</f>
        <v>129.48717948717939</v>
      </c>
      <c r="BZ93" s="13">
        <f>BY93*VLOOKUP('Données projet'!$B$12,Paramètres!$A$1:$I$89,3,0)*VLOOKUP('Données projet'!$B$12,Paramètres!$A$1:$I$89,5,0)</f>
        <v>105.03999999999994</v>
      </c>
      <c r="CA93" s="13">
        <f t="shared" si="93"/>
        <v>28.159250377636397</v>
      </c>
      <c r="CB93" s="20">
        <f t="shared" si="64"/>
        <v>231.98869440771659</v>
      </c>
      <c r="CC93" s="59">
        <f t="shared" si="65"/>
        <v>525.32202774104985</v>
      </c>
      <c r="CD93" s="59">
        <f ca="1">AVERAGE(OFFSET($CC$3,0,0,'Données projet'!$E$12+1,1))-AVERAGE(OFFSET($H$3,0,0,'Données projet'!$E$12+1,1))</f>
        <v>72.953866894533007</v>
      </c>
      <c r="CE93" s="59">
        <f t="shared" si="94"/>
        <v>60.640359826163092</v>
      </c>
      <c r="CF93" s="15">
        <f>IF(ISNA(VLOOKUP(A93,'Données projet'!$A$113:$I$133,3,0)),0,VLOOKUP(A93,'Données projet'!$A$113:$I$133,3,0))</f>
        <v>16</v>
      </c>
      <c r="CG93" s="15">
        <f>IF(ISNA(VLOOKUP(A93,'Données projet'!$A$113:$I$133,4,0)),0,VLOOKUP(A93,'Données projet'!$A$113:$I$133,4,0))</f>
        <v>129.48717948717947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0.1075</v>
      </c>
      <c r="CJ93" s="16">
        <f>IF(ISNA(VLOOKUP(A93,'Données projet'!$A$113:$I$133,7,0)),0%,VLOOKUP(A93,'Données projet'!$A$113:$I$133,7,0))</f>
        <v>0.25</v>
      </c>
      <c r="CK93" s="21">
        <f>EXP(-LN(2)/35)*CK92+(1-EXP(-LN(2)/35))/(LN(2)/35)*CG93*CH93*VLOOKUP('Données projet'!$B$12,Paramètres!$A$1:$I$89,3,0)*0.475*44/12</f>
        <v>0</v>
      </c>
      <c r="CL93" s="21">
        <f>EXP(-LN(2)/25)*CL92+(1-EXP(-LN(2)/25))/(LN(2)/25)*Calculateur!CG93*Calculateur!CI93*VLOOKUP('Données projet'!$B$12,Paramètres!$A$1:$I$89,3,0)*0.475*44/12</f>
        <v>16.179331020514891</v>
      </c>
      <c r="CM93" s="21">
        <f>EXP(-LN(2)/2)*CM92+(1-EXP(-LN(2)/2))/(LN(2)/2)*CG93*CJ93*VLOOKUP('Données projet'!$B$12,Paramètres!$A$1:$I$89,3,0)*0.475*44/12</f>
        <v>25.045066423230693</v>
      </c>
      <c r="CN93" s="22">
        <f t="shared" si="66"/>
        <v>41.224397443745588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4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405.18079466631161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-1.7053025658242404E-13</v>
      </c>
      <c r="O94" s="13">
        <f>N94*VLOOKUP('Données projet'!$B$9,Paramètres!$A$1:$I$89,3,0)*VLOOKUP('Données projet'!$B$9,Paramètres!$A$1:$I$89,5,0)</f>
        <v>-1.0197709343628959E-13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235.90365770026909</v>
      </c>
      <c r="T94" s="59">
        <f t="shared" si="88"/>
        <v>348.09952585694253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53.516650079248066</v>
      </c>
      <c r="AA94" s="21">
        <f>EXP(-LN(2)/25)*AA93+(1-EXP(-LN(2)/25))/(LN(2)/25)*Calculateur!V94*Calculateur!X94*VLOOKUP('Données projet'!$B$9,Paramètres!$A$1:$I$89,3,0)*0.475*44/12</f>
        <v>13.608987771765605</v>
      </c>
      <c r="AB94" s="21">
        <f>EXP(-LN(2)/2)*AB93+(1-EXP(-LN(2)/2))/(LN(2)/2)*V94*Y94*VLOOKUP('Données projet'!$B$9,Paramètres!$A$1:$I$89,3,0)*0.475*44/12</f>
        <v>8.1813463268292737E-6</v>
      </c>
      <c r="AC94" s="22">
        <f t="shared" si="57"/>
        <v>67.125646032359995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9.1730000000000018</v>
      </c>
      <c r="AI94" s="13">
        <f>IF('Données projet'!$A$62&gt;35,AI93+AH94-AQ93,IF(A94&lt;'Données projet'!$A$62,$AF$205^A94,IF(A94='Données projet'!$A$62,'Données projet'!$B$62,AI93+AH94-AQ93)))</f>
        <v>352.6110000000005</v>
      </c>
      <c r="AJ94" s="13">
        <f>AI94*VLOOKUP('Données projet'!$B$10,Paramètres!$A$1:$I$89,3,0)*VLOOKUP('Données projet'!$B$10,Paramètres!$A$1:$I$89,5,0)</f>
        <v>319.04243280000043</v>
      </c>
      <c r="AK94" s="13">
        <f t="shared" si="89"/>
        <v>75.154078446360543</v>
      </c>
      <c r="AL94" s="20">
        <f t="shared" si="58"/>
        <v>686.55892375407859</v>
      </c>
      <c r="AM94" s="59">
        <f t="shared" si="59"/>
        <v>979.89225708741196</v>
      </c>
      <c r="AN94" s="59">
        <f ca="1">AVERAGE(OFFSET($AM$3,0,0,'Données projet'!$E$10+1,1))-AVERAGE(OFFSET($H$3,0,0,'Données projet'!$E$10+1,1))</f>
        <v>490.21869105612649</v>
      </c>
      <c r="AO94" s="59">
        <f t="shared" si="90"/>
        <v>207.08773997010911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19.184043270191573</v>
      </c>
      <c r="AV94" s="21">
        <f>EXP(-LN(2)/25)*AV93+(1-EXP(-LN(2)/25))/(LN(2)/25)*Calculateur!AQ94*Calculateur!AS94*VLOOKUP('Données projet'!$B$10,Paramètres!$A$1:$I$89,3,0)*0.475*44/12</f>
        <v>24.360609399894127</v>
      </c>
      <c r="AW94" s="21">
        <f>EXP(-LN(2)/2)*AW93+(1-EXP(-LN(2)/2))/(LN(2)/2)*AQ94*AT94*VLOOKUP('Données projet'!$B$10,Paramètres!$A$1:$I$89,3,0)*0.475*44/12</f>
        <v>0.51621547864849093</v>
      </c>
      <c r="AX94" s="21">
        <f t="shared" si="60"/>
        <v>44.060868148734187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1.7948717948717956</v>
      </c>
      <c r="BD94" s="12">
        <f>IF('Données projet'!$A$88&gt;35,BD93+BC94-BL93,IF(A94&lt;'Données projet'!$A$88,$BA$205^A94,IF(A94='Données projet'!$A$88,'Données projet'!$B$88,BD93+BC94-BL93)))</f>
        <v>133.20512820512815</v>
      </c>
      <c r="BE94" s="13">
        <f>BD94*VLOOKUP('Données projet'!$B$11,Paramètres!$A$1:$I$89,3,0)*VLOOKUP('Données projet'!$B$11,Paramètres!$A$1:$I$89,5,0)</f>
        <v>139.22599999999994</v>
      </c>
      <c r="BF94" s="13">
        <f t="shared" si="91"/>
        <v>36.119635793564001</v>
      </c>
      <c r="BG94" s="20">
        <f t="shared" si="61"/>
        <v>305.39364900712383</v>
      </c>
      <c r="BH94" s="59">
        <f t="shared" si="62"/>
        <v>598.7269823404572</v>
      </c>
      <c r="BI94" s="59">
        <f ca="1">AVERAGE(OFFSET($BH$3,0,0,'Données projet'!$E$11+1,1))-AVERAGE(OFFSET($H$3,0,0,'Données projet'!$E$11+1,1))</f>
        <v>144.01698107732989</v>
      </c>
      <c r="BJ94" s="59">
        <f t="shared" si="92"/>
        <v>139.28039875117332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1.734834152851388</v>
      </c>
      <c r="BQ94" s="21">
        <f>EXP(-LN(2)/25)*BQ93+(1-EXP(-LN(2)/25))/(LN(2)/25)*Calculateur!BL94*Calculateur!BN94*VLOOKUP('Données projet'!$B$11,Paramètres!$A$1:$I$89,3,0)*0.475*44/12</f>
        <v>14.770651707234904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16.505485860086292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-8.5265128291212022E-14</v>
      </c>
      <c r="BZ94" s="13">
        <f>BY94*VLOOKUP('Données projet'!$B$12,Paramètres!$A$1:$I$89,3,0)*VLOOKUP('Données projet'!$B$12,Paramètres!$A$1:$I$89,5,0)</f>
        <v>-6.9167072069831198E-14</v>
      </c>
      <c r="CA94" s="13" t="e">
        <f t="shared" si="93"/>
        <v>#NUM!</v>
      </c>
      <c r="CB94" s="20" t="e">
        <f t="shared" si="64"/>
        <v>#NUM!</v>
      </c>
      <c r="CC94" s="59" t="e">
        <f t="shared" si="65"/>
        <v>#NUM!</v>
      </c>
      <c r="CD94" s="59">
        <f ca="1">AVERAGE(OFFSET($CC$3,0,0,'Données projet'!$E$12+1,1))-AVERAGE(OFFSET($H$3,0,0,'Données projet'!$E$12+1,1))</f>
        <v>72.953866894533007</v>
      </c>
      <c r="CE94" s="59">
        <f t="shared" si="94"/>
        <v>60.640359826163092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0</v>
      </c>
      <c r="CL94" s="21">
        <f>EXP(-LN(2)/25)*CL93+(1-EXP(-LN(2)/25))/(LN(2)/25)*Calculateur!CG94*Calculateur!CI94*VLOOKUP('Données projet'!$B$12,Paramètres!$A$1:$I$89,3,0)*0.475*44/12</f>
        <v>15.736906362924872</v>
      </c>
      <c r="CM94" s="21">
        <f>EXP(-LN(2)/2)*CM93+(1-EXP(-LN(2)/2))/(LN(2)/2)*CG94*CJ94*VLOOKUP('Données projet'!$B$12,Paramètres!$A$1:$I$89,3,0)*0.475*44/12</f>
        <v>17.709536303133934</v>
      </c>
      <c r="CN94" s="22">
        <f t="shared" si="66"/>
        <v>33.446442666058807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4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406.37735526105428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-1.7053025658242404E-13</v>
      </c>
      <c r="O95" s="13">
        <f>N95*VLOOKUP('Données projet'!$B$9,Paramètres!$A$1:$I$89,3,0)*VLOOKUP('Données projet'!$B$9,Paramètres!$A$1:$I$89,5,0)</f>
        <v>-1.0197709343628959E-13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235.90365770026909</v>
      </c>
      <c r="T95" s="59">
        <f t="shared" si="88"/>
        <v>348.09952585694253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52.467221213127438</v>
      </c>
      <c r="AA95" s="21">
        <f>EXP(-LN(2)/25)*AA94+(1-EXP(-LN(2)/25))/(LN(2)/25)*Calculateur!V95*Calculateur!X95*VLOOKUP('Données projet'!$B$9,Paramètres!$A$1:$I$89,3,0)*0.475*44/12</f>
        <v>13.236849285481112</v>
      </c>
      <c r="AB95" s="21">
        <f>EXP(-LN(2)/2)*AB94+(1-EXP(-LN(2)/2))/(LN(2)/2)*V95*Y95*VLOOKUP('Données projet'!$B$9,Paramètres!$A$1:$I$89,3,0)*0.475*44/12</f>
        <v>5.7850854669366316E-6</v>
      </c>
      <c r="AC95" s="22">
        <f t="shared" si="57"/>
        <v>65.704076283694008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9.1730000000000018</v>
      </c>
      <c r="AI95" s="13">
        <f>IF('Données projet'!$A$62&gt;35,AI94+AH95-AQ94,IF(A95&lt;'Données projet'!$A$62,$AF$205^A95,IF(A95='Données projet'!$A$62,'Données projet'!$B$62,AI94+AH95-AQ94)))</f>
        <v>361.7840000000005</v>
      </c>
      <c r="AJ95" s="13">
        <f>AI95*VLOOKUP('Données projet'!$B$10,Paramètres!$A$1:$I$89,3,0)*VLOOKUP('Données projet'!$B$10,Paramètres!$A$1:$I$89,5,0)</f>
        <v>327.34216320000047</v>
      </c>
      <c r="AK95" s="13">
        <f t="shared" si="89"/>
        <v>76.87901071885527</v>
      </c>
      <c r="AL95" s="20">
        <f t="shared" si="58"/>
        <v>704.01854457534034</v>
      </c>
      <c r="AM95" s="59">
        <f t="shared" si="59"/>
        <v>997.35187790867371</v>
      </c>
      <c r="AN95" s="59">
        <f ca="1">AVERAGE(OFFSET($AM$3,0,0,'Données projet'!$E$10+1,1))-AVERAGE(OFFSET($H$3,0,0,'Données projet'!$E$10+1,1))</f>
        <v>490.21869105612649</v>
      </c>
      <c r="AO95" s="59">
        <f t="shared" si="90"/>
        <v>207.08773997010911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18.807855882774124</v>
      </c>
      <c r="AV95" s="21">
        <f>EXP(-LN(2)/25)*AV94+(1-EXP(-LN(2)/25))/(LN(2)/25)*Calculateur!AQ95*Calculateur!AS95*VLOOKUP('Données projet'!$B$10,Paramètres!$A$1:$I$89,3,0)*0.475*44/12</f>
        <v>23.694467254785252</v>
      </c>
      <c r="AW95" s="21">
        <f>EXP(-LN(2)/2)*AW94+(1-EXP(-LN(2)/2))/(LN(2)/2)*AQ95*AT95*VLOOKUP('Données projet'!$B$10,Paramètres!$A$1:$I$89,3,0)*0.475*44/12</f>
        <v>0.36501946550580738</v>
      </c>
      <c r="AX95" s="21">
        <f t="shared" si="60"/>
        <v>42.867342603065183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1.7948717948717956</v>
      </c>
      <c r="BD95" s="12">
        <f>IF('Données projet'!$A$88&gt;35,BD94+BC95-BL94,IF(A95&lt;'Données projet'!$A$88,$BA$205^A95,IF(A95='Données projet'!$A$88,'Données projet'!$B$88,BD94+BC95-BL94)))</f>
        <v>134.99999999999994</v>
      </c>
      <c r="BE95" s="13">
        <f>BD95*VLOOKUP('Données projet'!$B$11,Paramètres!$A$1:$I$89,3,0)*VLOOKUP('Données projet'!$B$11,Paramètres!$A$1:$I$89,5,0)</f>
        <v>141.10199999999995</v>
      </c>
      <c r="BF95" s="13">
        <f t="shared" si="91"/>
        <v>36.549342904663185</v>
      </c>
      <c r="BG95" s="20">
        <f t="shared" si="61"/>
        <v>309.4094222256216</v>
      </c>
      <c r="BH95" s="59">
        <f t="shared" si="62"/>
        <v>602.74275555895497</v>
      </c>
      <c r="BI95" s="59">
        <f ca="1">AVERAGE(OFFSET($BH$3,0,0,'Données projet'!$E$11+1,1))-AVERAGE(OFFSET($H$3,0,0,'Données projet'!$E$11+1,1))</f>
        <v>144.01698107732989</v>
      </c>
      <c r="BJ95" s="59">
        <f t="shared" si="92"/>
        <v>139.28039875117332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1.7008151132583225</v>
      </c>
      <c r="BQ95" s="21">
        <f>EXP(-LN(2)/25)*BQ94+(1-EXP(-LN(2)/25))/(LN(2)/25)*Calculateur!BL95*Calculateur!BN95*VLOOKUP('Données projet'!$B$11,Paramètres!$A$1:$I$89,3,0)*0.475*44/12</f>
        <v>14.366747459545751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16.067562572804075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-8.5265128291212022E-14</v>
      </c>
      <c r="BZ95" s="13">
        <f>BY95*VLOOKUP('Données projet'!$B$12,Paramètres!$A$1:$I$89,3,0)*VLOOKUP('Données projet'!$B$12,Paramètres!$A$1:$I$89,5,0)</f>
        <v>-6.9167072069831198E-14</v>
      </c>
      <c r="CA95" s="13" t="e">
        <f t="shared" si="93"/>
        <v>#NUM!</v>
      </c>
      <c r="CB95" s="20" t="e">
        <f t="shared" si="64"/>
        <v>#NUM!</v>
      </c>
      <c r="CC95" s="59" t="e">
        <f t="shared" si="65"/>
        <v>#NUM!</v>
      </c>
      <c r="CD95" s="59">
        <f ca="1">AVERAGE(OFFSET($CC$3,0,0,'Données projet'!$E$12+1,1))-AVERAGE(OFFSET($H$3,0,0,'Données projet'!$E$12+1,1))</f>
        <v>72.953866894533007</v>
      </c>
      <c r="CE95" s="59">
        <f t="shared" si="94"/>
        <v>60.640359826163092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0</v>
      </c>
      <c r="CL95" s="21">
        <f>EXP(-LN(2)/25)*CL94+(1-EXP(-LN(2)/25))/(LN(2)/25)*Calculateur!CG95*Calculateur!CI95*VLOOKUP('Données projet'!$B$12,Paramètres!$A$1:$I$89,3,0)*0.475*44/12</f>
        <v>15.306579830862752</v>
      </c>
      <c r="CM95" s="21">
        <f>EXP(-LN(2)/2)*CM94+(1-EXP(-LN(2)/2))/(LN(2)/2)*CG95*CJ95*VLOOKUP('Données projet'!$B$12,Paramètres!$A$1:$I$89,3,0)*0.475*44/12</f>
        <v>12.522533211615347</v>
      </c>
      <c r="CN95" s="22">
        <f t="shared" si="66"/>
        <v>27.829113042478099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4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407.57360529503438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-1.7053025658242404E-13</v>
      </c>
      <c r="O96" s="13">
        <f>N96*VLOOKUP('Données projet'!$B$9,Paramètres!$A$1:$I$89,3,0)*VLOOKUP('Données projet'!$B$9,Paramètres!$A$1:$I$89,5,0)</f>
        <v>-1.0197709343628959E-13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235.90365770026909</v>
      </c>
      <c r="T96" s="59">
        <f t="shared" si="88"/>
        <v>348.09952585694253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51.438371006983026</v>
      </c>
      <c r="AA96" s="21">
        <f>EXP(-LN(2)/25)*AA95+(1-EXP(-LN(2)/25))/(LN(2)/25)*Calculateur!V96*Calculateur!X96*VLOOKUP('Données projet'!$B$9,Paramètres!$A$1:$I$89,3,0)*0.475*44/12</f>
        <v>12.87488694567398</v>
      </c>
      <c r="AB96" s="21">
        <f>EXP(-LN(2)/2)*AB95+(1-EXP(-LN(2)/2))/(LN(2)/2)*V96*Y96*VLOOKUP('Données projet'!$B$9,Paramètres!$A$1:$I$89,3,0)*0.475*44/12</f>
        <v>4.0906731634146368E-6</v>
      </c>
      <c r="AC96" s="22">
        <f t="shared" si="57"/>
        <v>64.31326204333017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9.1730000000000018</v>
      </c>
      <c r="AI96" s="13">
        <f>IF('Données projet'!$A$62&gt;35,AI95+AH96-AQ95,IF(A96&lt;'Données projet'!$A$62,$AF$205^A96,IF(A96='Données projet'!$A$62,'Données projet'!$B$62,AI95+AH96-AQ95)))</f>
        <v>370.95700000000051</v>
      </c>
      <c r="AJ96" s="13">
        <f>AI96*VLOOKUP('Données projet'!$B$10,Paramètres!$A$1:$I$89,3,0)*VLOOKUP('Données projet'!$B$10,Paramètres!$A$1:$I$89,5,0)</f>
        <v>335.64189360000046</v>
      </c>
      <c r="AK96" s="13">
        <f t="shared" si="89"/>
        <v>78.598859108522404</v>
      </c>
      <c r="AL96" s="20">
        <f t="shared" si="58"/>
        <v>721.46931096734397</v>
      </c>
      <c r="AM96" s="59">
        <f t="shared" si="59"/>
        <v>1014.8026443006772</v>
      </c>
      <c r="AN96" s="59">
        <f ca="1">AVERAGE(OFFSET($AM$3,0,0,'Données projet'!$E$10+1,1))-AVERAGE(OFFSET($H$3,0,0,'Données projet'!$E$10+1,1))</f>
        <v>490.21869105612649</v>
      </c>
      <c r="AO96" s="59">
        <f t="shared" si="90"/>
        <v>207.08773997010911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18.439045300572278</v>
      </c>
      <c r="AV96" s="21">
        <f>EXP(-LN(2)/25)*AV95+(1-EXP(-LN(2)/25))/(LN(2)/25)*Calculateur!AQ96*Calculateur!AS96*VLOOKUP('Données projet'!$B$10,Paramètres!$A$1:$I$89,3,0)*0.475*44/12</f>
        <v>23.04654080166527</v>
      </c>
      <c r="AW96" s="21">
        <f>EXP(-LN(2)/2)*AW95+(1-EXP(-LN(2)/2))/(LN(2)/2)*AQ96*AT96*VLOOKUP('Données projet'!$B$10,Paramètres!$A$1:$I$89,3,0)*0.475*44/12</f>
        <v>0.25810773932424547</v>
      </c>
      <c r="AX96" s="21">
        <f t="shared" si="60"/>
        <v>41.743693841561793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1.7948717948717956</v>
      </c>
      <c r="BD96" s="12">
        <f>IF('Données projet'!$A$88&gt;35,BD95+BC96-BL95,IF(A96&lt;'Données projet'!$A$88,$BA$205^A96,IF(A96='Données projet'!$A$88,'Données projet'!$B$88,BD95+BC96-BL95)))</f>
        <v>136.79487179487174</v>
      </c>
      <c r="BE96" s="13">
        <f>BD96*VLOOKUP('Données projet'!$B$11,Paramètres!$A$1:$I$89,3,0)*VLOOKUP('Données projet'!$B$11,Paramètres!$A$1:$I$89,5,0)</f>
        <v>142.97799999999995</v>
      </c>
      <c r="BF96" s="13">
        <f t="shared" si="91"/>
        <v>36.978385503948552</v>
      </c>
      <c r="BG96" s="20">
        <f t="shared" si="61"/>
        <v>313.42403808604359</v>
      </c>
      <c r="BH96" s="59">
        <f t="shared" si="62"/>
        <v>606.75737141937691</v>
      </c>
      <c r="BI96" s="59">
        <f ca="1">AVERAGE(OFFSET($BH$3,0,0,'Données projet'!$E$11+1,1))-AVERAGE(OFFSET($H$3,0,0,'Données projet'!$E$11+1,1))</f>
        <v>144.01698107732989</v>
      </c>
      <c r="BJ96" s="59">
        <f t="shared" si="92"/>
        <v>139.28039875117332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1.6674631662821116</v>
      </c>
      <c r="BQ96" s="21">
        <f>EXP(-LN(2)/25)*BQ95+(1-EXP(-LN(2)/25))/(LN(2)/25)*Calculateur!BL96*Calculateur!BN96*VLOOKUP('Données projet'!$B$11,Paramètres!$A$1:$I$89,3,0)*0.475*44/12</f>
        <v>13.97388799475006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15.641351161032171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-8.5265128291212022E-14</v>
      </c>
      <c r="BZ96" s="13">
        <f>BY96*VLOOKUP('Données projet'!$B$12,Paramètres!$A$1:$I$89,3,0)*VLOOKUP('Données projet'!$B$12,Paramètres!$A$1:$I$89,5,0)</f>
        <v>-6.9167072069831198E-14</v>
      </c>
      <c r="CA96" s="13" t="e">
        <f t="shared" si="93"/>
        <v>#NUM!</v>
      </c>
      <c r="CB96" s="20" t="e">
        <f t="shared" si="64"/>
        <v>#NUM!</v>
      </c>
      <c r="CC96" s="59" t="e">
        <f t="shared" si="65"/>
        <v>#NUM!</v>
      </c>
      <c r="CD96" s="59">
        <f ca="1">AVERAGE(OFFSET($CC$3,0,0,'Données projet'!$E$12+1,1))-AVERAGE(OFFSET($H$3,0,0,'Données projet'!$E$12+1,1))</f>
        <v>72.953866894533007</v>
      </c>
      <c r="CE96" s="59">
        <f t="shared" si="94"/>
        <v>60.640359826163092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0</v>
      </c>
      <c r="CL96" s="21">
        <f>EXP(-LN(2)/25)*CL95+(1-EXP(-LN(2)/25))/(LN(2)/25)*Calculateur!CG96*Calculateur!CI96*VLOOKUP('Données projet'!$B$12,Paramètres!$A$1:$I$89,3,0)*0.475*44/12</f>
        <v>14.88802060044976</v>
      </c>
      <c r="CM96" s="21">
        <f>EXP(-LN(2)/2)*CM95+(1-EXP(-LN(2)/2))/(LN(2)/2)*CG96*CJ96*VLOOKUP('Données projet'!$B$12,Paramètres!$A$1:$I$89,3,0)*0.475*44/12</f>
        <v>8.8547681515669669</v>
      </c>
      <c r="CN96" s="22">
        <f t="shared" si="66"/>
        <v>23.742788752016729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4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408.76954849412908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-1.7053025658242404E-13</v>
      </c>
      <c r="O97" s="13">
        <f>N97*VLOOKUP('Données projet'!$B$9,Paramètres!$A$1:$I$89,3,0)*VLOOKUP('Données projet'!$B$9,Paramètres!$A$1:$I$89,5,0)</f>
        <v>-1.0197709343628959E-13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235.90365770026909</v>
      </c>
      <c r="T97" s="59">
        <f t="shared" si="88"/>
        <v>348.09952585694253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50.429695925844449</v>
      </c>
      <c r="AA97" s="21">
        <f>EXP(-LN(2)/25)*AA96+(1-EXP(-LN(2)/25))/(LN(2)/25)*Calculateur!V97*Calculateur!X97*VLOOKUP('Données projet'!$B$9,Paramètres!$A$1:$I$89,3,0)*0.475*44/12</f>
        <v>12.522822485083646</v>
      </c>
      <c r="AB97" s="21">
        <f>EXP(-LN(2)/2)*AB96+(1-EXP(-LN(2)/2))/(LN(2)/2)*V97*Y97*VLOOKUP('Données projet'!$B$9,Paramètres!$A$1:$I$89,3,0)*0.475*44/12</f>
        <v>2.8925427334683158E-6</v>
      </c>
      <c r="AC97" s="22">
        <f t="shared" si="57"/>
        <v>62.952521303470824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>
        <f>VLOOKUP(A97,'Données projet'!$A$61:$I$81,2,0)</f>
        <v>380.13</v>
      </c>
      <c r="AG97" s="12">
        <f>VLOOKUP(A97,'Données projet'!$A$61:$I$81,9,0)</f>
        <v>9.1730000000000018</v>
      </c>
      <c r="AH97" s="12">
        <f t="array" ref="AH97">INDEX(AG:AG,MIN(IF(ISNUMBER(AG97:AG293),ROW(AG97:AG293),"")))</f>
        <v>9.1730000000000018</v>
      </c>
      <c r="AI97" s="13">
        <f>IF('Données projet'!$A$62&gt;35,AI96+AH97-AQ96,IF(A97&lt;'Données projet'!$A$62,$AF$205^A97,IF(A97='Données projet'!$A$62,'Données projet'!$B$62,AI96+AH97-AQ96)))</f>
        <v>380.13000000000051</v>
      </c>
      <c r="AJ97" s="13">
        <f>AI97*VLOOKUP('Données projet'!$B$10,Paramètres!$A$1:$I$89,3,0)*VLOOKUP('Données projet'!$B$10,Paramètres!$A$1:$I$89,5,0)</f>
        <v>343.94162400000044</v>
      </c>
      <c r="AK97" s="13">
        <f t="shared" si="89"/>
        <v>80.313763789484966</v>
      </c>
      <c r="AL97" s="20">
        <f t="shared" si="58"/>
        <v>738.91146706668712</v>
      </c>
      <c r="AM97" s="59">
        <f t="shared" si="59"/>
        <v>1032.2448004000205</v>
      </c>
      <c r="AN97" s="59">
        <f ca="1">AVERAGE(OFFSET($AM$3,0,0,'Données projet'!$E$10+1,1))-AVERAGE(OFFSET($H$3,0,0,'Données projet'!$E$10+1,1))</f>
        <v>490.21869105612649</v>
      </c>
      <c r="AO97" s="59">
        <f t="shared" si="90"/>
        <v>207.08773997010911</v>
      </c>
      <c r="AP97" s="15">
        <f>IF(ISNA(VLOOKUP(A97,'Données projet'!$A$61:$I$81,3,0)),0,VLOOKUP(A97,'Données projet'!$A$61:$I$81,3,0))</f>
        <v>7</v>
      </c>
      <c r="AQ97" s="15">
        <f>IF(ISNA(VLOOKUP(A97,'Données projet'!$A$61:$I$81,4,0)),0,VLOOKUP(A97,'Données projet'!$A$61:$I$81,4,0))</f>
        <v>67.350000000000023</v>
      </c>
      <c r="AR97" s="16">
        <f>IF(ISNA(VLOOKUP(A97,'Données projet'!$A$61:$I$81,5,0)),0%,VLOOKUP(A97,'Données projet'!$A$61:$I$81,5,0)*VLOOKUP('Données projet'!$B$10,Paramètres!$A$1:$I$89,7,0))</f>
        <v>0.15049999999999999</v>
      </c>
      <c r="AS97" s="16">
        <f>IF(ISNA(VLOOKUP(A97,'Données projet'!$A$61:$I$81,6,0)),0%,VLOOKUP(A97,'Données projet'!$A$61:$I$81,6,0)*VLOOKUP('Données projet'!$B$10,Paramètres!$A$1:$I$89,7,0))</f>
        <v>8.6000000000000007E-2</v>
      </c>
      <c r="AT97" s="16">
        <f>IF(ISNA(VLOOKUP(A97,'Données projet'!$A$61:$I$81,7,0)),0%,VLOOKUP(A97,'Données projet'!$A$61:$I$81,7,0))</f>
        <v>0.1</v>
      </c>
      <c r="AU97" s="21">
        <f>EXP(-LN(2)/35)*AU96+(1-EXP(-LN(2)/35))/(LN(2)/35)*AQ97*AR97*VLOOKUP('Données projet'!$B$10,Paramètres!$A$1:$I$89,3,0)*0.475*44/12</f>
        <v>28.215969128647792</v>
      </c>
      <c r="AV97" s="21">
        <f>EXP(-LN(2)/25)*AV96+(1-EXP(-LN(2)/25))/(LN(2)/25)*Calculateur!AQ97*Calculateur!AS97*VLOOKUP('Données projet'!$B$10,Paramètres!$A$1:$I$89,3,0)*0.475*44/12</f>
        <v>28.18695085333249</v>
      </c>
      <c r="AW97" s="21">
        <f>EXP(-LN(2)/2)*AW96+(1-EXP(-LN(2)/2))/(LN(2)/2)*AQ97*AT97*VLOOKUP('Données projet'!$B$10,Paramètres!$A$1:$I$89,3,0)*0.475*44/12</f>
        <v>5.9322004637288286</v>
      </c>
      <c r="AX97" s="21">
        <f t="shared" si="60"/>
        <v>62.335120445709109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1.7948717948717956</v>
      </c>
      <c r="BD97" s="12">
        <f>IF('Données projet'!$A$88&gt;35,BD96+BC97-BL96,IF(A97&lt;'Données projet'!$A$88,$BA$205^A97,IF(A97='Données projet'!$A$88,'Données projet'!$B$88,BD96+BC97-BL96)))</f>
        <v>138.58974358974353</v>
      </c>
      <c r="BE97" s="13">
        <f>BD97*VLOOKUP('Données projet'!$B$11,Paramètres!$A$1:$I$89,3,0)*VLOOKUP('Données projet'!$B$11,Paramètres!$A$1:$I$89,5,0)</f>
        <v>144.85399999999996</v>
      </c>
      <c r="BF97" s="13">
        <f t="shared" si="91"/>
        <v>37.406773318436002</v>
      </c>
      <c r="BG97" s="20">
        <f t="shared" si="61"/>
        <v>317.43751352960925</v>
      </c>
      <c r="BH97" s="59">
        <f t="shared" si="62"/>
        <v>610.77084686294256</v>
      </c>
      <c r="BI97" s="59">
        <f ca="1">AVERAGE(OFFSET($BH$3,0,0,'Données projet'!$E$11+1,1))-AVERAGE(OFFSET($H$3,0,0,'Données projet'!$E$11+1,1))</f>
        <v>144.01698107732989</v>
      </c>
      <c r="BJ97" s="59">
        <f t="shared" si="92"/>
        <v>139.28039875117332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1.6347652306434253</v>
      </c>
      <c r="BQ97" s="21">
        <f>EXP(-LN(2)/25)*BQ96+(1-EXP(-LN(2)/25))/(LN(2)/25)*Calculateur!BL97*Calculateur!BN97*VLOOKUP('Données projet'!$B$11,Paramètres!$A$1:$I$89,3,0)*0.475*44/12</f>
        <v>13.591771292678787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15.226536523322213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-8.5265128291212022E-14</v>
      </c>
      <c r="BZ97" s="13">
        <f>BY97*VLOOKUP('Données projet'!$B$12,Paramètres!$A$1:$I$89,3,0)*VLOOKUP('Données projet'!$B$12,Paramètres!$A$1:$I$89,5,0)</f>
        <v>-6.9167072069831198E-14</v>
      </c>
      <c r="CA97" s="13" t="e">
        <f t="shared" si="93"/>
        <v>#NUM!</v>
      </c>
      <c r="CB97" s="20" t="e">
        <f t="shared" si="64"/>
        <v>#NUM!</v>
      </c>
      <c r="CC97" s="59" t="e">
        <f t="shared" si="65"/>
        <v>#NUM!</v>
      </c>
      <c r="CD97" s="59">
        <f ca="1">AVERAGE(OFFSET($CC$3,0,0,'Données projet'!$E$12+1,1))-AVERAGE(OFFSET($H$3,0,0,'Données projet'!$E$12+1,1))</f>
        <v>72.953866894533007</v>
      </c>
      <c r="CE97" s="59">
        <f t="shared" si="94"/>
        <v>60.640359826163092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0</v>
      </c>
      <c r="CL97" s="21">
        <f>EXP(-LN(2)/25)*CL96+(1-EXP(-LN(2)/25))/(LN(2)/25)*Calculateur!CG97*Calculateur!CI97*VLOOKUP('Données projet'!$B$12,Paramètres!$A$1:$I$89,3,0)*0.475*44/12</f>
        <v>14.480906894203486</v>
      </c>
      <c r="CM97" s="21">
        <f>EXP(-LN(2)/2)*CM96+(1-EXP(-LN(2)/2))/(LN(2)/2)*CG97*CJ97*VLOOKUP('Données projet'!$B$12,Paramètres!$A$1:$I$89,3,0)*0.475*44/12</f>
        <v>6.2612666058076734</v>
      </c>
      <c r="CN97" s="22">
        <f t="shared" si="66"/>
        <v>20.742173500011159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4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409.96518850037501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-1.7053025658242404E-13</v>
      </c>
      <c r="O98" s="13">
        <f>N98*VLOOKUP('Données projet'!$B$9,Paramètres!$A$1:$I$89,3,0)*VLOOKUP('Données projet'!$B$9,Paramètres!$A$1:$I$89,5,0)</f>
        <v>-1.0197709343628959E-13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235.90365770026909</v>
      </c>
      <c r="T98" s="59">
        <f t="shared" si="88"/>
        <v>348.09952585694253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49.440800347815944</v>
      </c>
      <c r="AA98" s="21">
        <f>EXP(-LN(2)/25)*AA97+(1-EXP(-LN(2)/25))/(LN(2)/25)*Calculateur!V98*Calculateur!X98*VLOOKUP('Données projet'!$B$9,Paramètres!$A$1:$I$89,3,0)*0.475*44/12</f>
        <v>12.18038524568242</v>
      </c>
      <c r="AB98" s="21">
        <f>EXP(-LN(2)/2)*AB97+(1-EXP(-LN(2)/2))/(LN(2)/2)*V98*Y98*VLOOKUP('Données projet'!$B$9,Paramètres!$A$1:$I$89,3,0)*0.475*44/12</f>
        <v>2.0453365817073184E-6</v>
      </c>
      <c r="AC98" s="22">
        <f t="shared" si="57"/>
        <v>61.621187638834947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8.9420000000000019</v>
      </c>
      <c r="AI98" s="13">
        <f>IF('Données projet'!$A$62&gt;35,AI97+AH98-AQ97,IF(A98&lt;'Données projet'!$A$62,$AF$205^A98,IF(A98='Données projet'!$A$62,'Données projet'!$B$62,AI97+AH98-AQ97)))</f>
        <v>321.72200000000049</v>
      </c>
      <c r="AJ98" s="13">
        <f>AI98*VLOOKUP('Données projet'!$B$10,Paramètres!$A$1:$I$89,3,0)*VLOOKUP('Données projet'!$B$10,Paramètres!$A$1:$I$89,5,0)</f>
        <v>291.09406560000048</v>
      </c>
      <c r="AK98" s="13">
        <f t="shared" si="89"/>
        <v>69.306175582041092</v>
      </c>
      <c r="AL98" s="20">
        <f t="shared" si="58"/>
        <v>627.697086725389</v>
      </c>
      <c r="AM98" s="59">
        <f t="shared" si="59"/>
        <v>921.03042005872226</v>
      </c>
      <c r="AN98" s="59">
        <f ca="1">AVERAGE(OFFSET($AM$3,0,0,'Données projet'!$E$10+1,1))-AVERAGE(OFFSET($H$3,0,0,'Données projet'!$E$10+1,1))</f>
        <v>490.21869105612649</v>
      </c>
      <c r="AO98" s="59">
        <f t="shared" si="90"/>
        <v>207.08773997010911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27.662671184076828</v>
      </c>
      <c r="AV98" s="21">
        <f>EXP(-LN(2)/25)*AV97+(1-EXP(-LN(2)/25))/(LN(2)/25)*Calculateur!AQ98*Calculateur!AS98*VLOOKUP('Données projet'!$B$10,Paramètres!$A$1:$I$89,3,0)*0.475*44/12</f>
        <v>27.416177199960789</v>
      </c>
      <c r="AW98" s="21">
        <f>EXP(-LN(2)/2)*AW97+(1-EXP(-LN(2)/2))/(LN(2)/2)*AQ98*AT98*VLOOKUP('Données projet'!$B$10,Paramètres!$A$1:$I$89,3,0)*0.475*44/12</f>
        <v>4.1946991752606371</v>
      </c>
      <c r="AX98" s="21">
        <f t="shared" si="60"/>
        <v>59.273547559298251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>
        <f>VLOOKUP(A98,'Données projet'!$A$87:$I$107,2,0)</f>
        <v>140.38461538461539</v>
      </c>
      <c r="BB98" s="12">
        <f>VLOOKUP(A98,'Données projet'!$A$87:$I$107,9,0)</f>
        <v>1.7948717948717956</v>
      </c>
      <c r="BC98" s="12">
        <f t="array" ref="BC98">INDEX(BB:BB,MIN(IF(ISNUMBER(BB98:BB294),ROW(BB98:BB294),"")))</f>
        <v>1.7948717948717956</v>
      </c>
      <c r="BD98" s="12">
        <f>IF('Données projet'!$A$88&gt;35,BD97+BC98-BL97,IF(A98&lt;'Données projet'!$A$88,$BA$205^A98,IF(A98='Données projet'!$A$88,'Données projet'!$B$88,BD97+BC98-BL97)))</f>
        <v>140.38461538461533</v>
      </c>
      <c r="BE98" s="13">
        <f>BD98*VLOOKUP('Données projet'!$B$11,Paramètres!$A$1:$I$89,3,0)*VLOOKUP('Données projet'!$B$11,Paramètres!$A$1:$I$89,5,0)</f>
        <v>146.72999999999996</v>
      </c>
      <c r="BF98" s="13">
        <f t="shared" si="91"/>
        <v>37.834515808707891</v>
      </c>
      <c r="BG98" s="20">
        <f t="shared" si="61"/>
        <v>321.44986503349952</v>
      </c>
      <c r="BH98" s="59">
        <f t="shared" si="62"/>
        <v>614.78319836683283</v>
      </c>
      <c r="BI98" s="59">
        <f ca="1">AVERAGE(OFFSET($BH$3,0,0,'Données projet'!$E$11+1,1))-AVERAGE(OFFSET($H$3,0,0,'Données projet'!$E$11+1,1))</f>
        <v>144.01698107732989</v>
      </c>
      <c r="BJ98" s="59">
        <f t="shared" si="92"/>
        <v>139.28039875117332</v>
      </c>
      <c r="BK98" s="15">
        <f>IF(ISNA(VLOOKUP(A98,'Données projet'!$A$87:$I$107,3,0)),0,VLOOKUP(A98,'Données projet'!$A$87:$I$107,3,0))</f>
        <v>16</v>
      </c>
      <c r="BL98" s="15">
        <f>IF(ISNA(VLOOKUP(A98,'Données projet'!$A$87:$I$107,4,0)),0,VLOOKUP(A98,'Données projet'!$A$87:$I$107,4,0))</f>
        <v>7.0512820512820511</v>
      </c>
      <c r="BM98" s="16">
        <f>IF(ISNA(VLOOKUP(A98,'Données projet'!$A$87:$I$107,5,0)),0%,VLOOKUP(A98,'Données projet'!$A$87:$I$107,5,0)*VLOOKUP('Données projet'!$B$11,Paramètres!$A$1:$I$89,7,0))</f>
        <v>4.3000000000000003E-2</v>
      </c>
      <c r="BN98" s="16">
        <f>IF(ISNA(VLOOKUP(A98,'Données projet'!$A$87:$I$107,6,0)),0%,VLOOKUP(A98,'Données projet'!$A$87:$I$107,6,0)*VLOOKUP('Données projet'!$B$11,Paramètres!$A$1:$I$89,7,0))</f>
        <v>0.215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1.9530430995566295</v>
      </c>
      <c r="BQ98" s="21">
        <f>EXP(-LN(2)/25)*BQ97+(1-EXP(-LN(2)/25))/(LN(2)/25)*Calculateur!BL98*Calculateur!BN98*VLOOKUP('Données projet'!$B$11,Paramètres!$A$1:$I$89,3,0)*0.475*44/12</f>
        <v>14.964879677414567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16.917922776971196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-8.5265128291212022E-14</v>
      </c>
      <c r="BZ98" s="13">
        <f>BY98*VLOOKUP('Données projet'!$B$12,Paramètres!$A$1:$I$89,3,0)*VLOOKUP('Données projet'!$B$12,Paramètres!$A$1:$I$89,5,0)</f>
        <v>-6.9167072069831198E-14</v>
      </c>
      <c r="CA98" s="13" t="e">
        <f t="shared" si="93"/>
        <v>#NUM!</v>
      </c>
      <c r="CB98" s="20" t="e">
        <f t="shared" si="64"/>
        <v>#NUM!</v>
      </c>
      <c r="CC98" s="59" t="e">
        <f t="shared" si="65"/>
        <v>#NUM!</v>
      </c>
      <c r="CD98" s="59">
        <f ca="1">AVERAGE(OFFSET($CC$3,0,0,'Données projet'!$E$12+1,1))-AVERAGE(OFFSET($H$3,0,0,'Données projet'!$E$12+1,1))</f>
        <v>72.953866894533007</v>
      </c>
      <c r="CE98" s="59">
        <f t="shared" si="94"/>
        <v>60.640359826163092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0</v>
      </c>
      <c r="CL98" s="21">
        <f>EXP(-LN(2)/25)*CL97+(1-EXP(-LN(2)/25))/(LN(2)/25)*Calculateur!CG98*Calculateur!CI98*VLOOKUP('Données projet'!$B$12,Paramètres!$A$1:$I$89,3,0)*0.475*44/12</f>
        <v>14.084925733663693</v>
      </c>
      <c r="CM98" s="21">
        <f>EXP(-LN(2)/2)*CM97+(1-EXP(-LN(2)/2))/(LN(2)/2)*CG98*CJ98*VLOOKUP('Données projet'!$B$12,Paramètres!$A$1:$I$89,3,0)*0.475*44/12</f>
        <v>4.4273840757834835</v>
      </c>
      <c r="CN98" s="22">
        <f t="shared" si="66"/>
        <v>18.512309809447178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4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411.1605288747171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-1.7053025658242404E-13</v>
      </c>
      <c r="O99" s="13">
        <f>N99*VLOOKUP('Données projet'!$B$9,Paramètres!$A$1:$I$89,3,0)*VLOOKUP('Données projet'!$B$9,Paramètres!$A$1:$I$89,5,0)</f>
        <v>-1.0197709343628959E-13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235.90365770026909</v>
      </c>
      <c r="T99" s="59">
        <f t="shared" si="88"/>
        <v>348.09952585694253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48.471296408905836</v>
      </c>
      <c r="AA99" s="21">
        <f>EXP(-LN(2)/25)*AA98+(1-EXP(-LN(2)/25))/(LN(2)/25)*Calculateur!V99*Calculateur!X99*VLOOKUP('Données projet'!$B$9,Paramètres!$A$1:$I$89,3,0)*0.475*44/12</f>
        <v>11.847311970600613</v>
      </c>
      <c r="AB99" s="21">
        <f>EXP(-LN(2)/2)*AB98+(1-EXP(-LN(2)/2))/(LN(2)/2)*V99*Y99*VLOOKUP('Données projet'!$B$9,Paramètres!$A$1:$I$89,3,0)*0.475*44/12</f>
        <v>1.4462713667341579E-6</v>
      </c>
      <c r="AC99" s="22">
        <f t="shared" si="57"/>
        <v>60.31860982577782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8.9420000000000019</v>
      </c>
      <c r="AI99" s="13">
        <f>IF('Données projet'!$A$62&gt;35,AI98+AH99-AQ98,IF(A99&lt;'Données projet'!$A$62,$AF$205^A99,IF(A99='Données projet'!$A$62,'Données projet'!$B$62,AI98+AH99-AQ98)))</f>
        <v>330.6640000000005</v>
      </c>
      <c r="AJ99" s="13">
        <f>AI99*VLOOKUP('Données projet'!$B$10,Paramètres!$A$1:$I$89,3,0)*VLOOKUP('Données projet'!$B$10,Paramètres!$A$1:$I$89,5,0)</f>
        <v>299.18478720000041</v>
      </c>
      <c r="AK99" s="13">
        <f t="shared" si="89"/>
        <v>71.005536504727559</v>
      </c>
      <c r="AL99" s="20">
        <f t="shared" si="58"/>
        <v>644.74814711906788</v>
      </c>
      <c r="AM99" s="59">
        <f t="shared" si="59"/>
        <v>938.08148045240114</v>
      </c>
      <c r="AN99" s="59">
        <f ca="1">AVERAGE(OFFSET($AM$3,0,0,'Données projet'!$E$10+1,1))-AVERAGE(OFFSET($H$3,0,0,'Données projet'!$E$10+1,1))</f>
        <v>490.21869105612649</v>
      </c>
      <c r="AO99" s="59">
        <f t="shared" si="90"/>
        <v>207.08773997010911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27.120223074720478</v>
      </c>
      <c r="AV99" s="21">
        <f>EXP(-LN(2)/25)*AV98+(1-EXP(-LN(2)/25))/(LN(2)/25)*Calculateur!AQ99*Calculateur!AS99*VLOOKUP('Données projet'!$B$10,Paramètres!$A$1:$I$89,3,0)*0.475*44/12</f>
        <v>26.666480392673762</v>
      </c>
      <c r="AW99" s="21">
        <f>EXP(-LN(2)/2)*AW98+(1-EXP(-LN(2)/2))/(LN(2)/2)*AQ99*AT99*VLOOKUP('Données projet'!$B$10,Paramètres!$A$1:$I$89,3,0)*0.475*44/12</f>
        <v>2.9661002318644147</v>
      </c>
      <c r="AX99" s="21">
        <f t="shared" si="60"/>
        <v>56.752803699258656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1.9230769230769227</v>
      </c>
      <c r="BD99" s="12">
        <f>IF('Données projet'!$A$88&gt;35,BD98+BC99-BL98,IF(A99&lt;'Données projet'!$A$88,$BA$205^A99,IF(A99='Données projet'!$A$88,'Données projet'!$B$88,BD98+BC99-BL98)))</f>
        <v>135.25641025641022</v>
      </c>
      <c r="BE99" s="13">
        <f>BD99*VLOOKUP('Données projet'!$B$11,Paramètres!$A$1:$I$89,3,0)*VLOOKUP('Données projet'!$B$11,Paramètres!$A$1:$I$89,5,0)</f>
        <v>141.36999999999998</v>
      </c>
      <c r="BF99" s="13">
        <f t="shared" si="91"/>
        <v>36.610675159135589</v>
      </c>
      <c r="BG99" s="20">
        <f t="shared" si="61"/>
        <v>309.98300923549442</v>
      </c>
      <c r="BH99" s="59">
        <f t="shared" si="62"/>
        <v>603.31634256882774</v>
      </c>
      <c r="BI99" s="59">
        <f ca="1">AVERAGE(OFFSET($BH$3,0,0,'Données projet'!$E$11+1,1))-AVERAGE(OFFSET($H$3,0,0,'Données projet'!$E$11+1,1))</f>
        <v>144.01698107732989</v>
      </c>
      <c r="BJ99" s="59">
        <f t="shared" si="92"/>
        <v>139.28039875117332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1.9147451156129895</v>
      </c>
      <c r="BQ99" s="21">
        <f>EXP(-LN(2)/25)*BQ98+(1-EXP(-LN(2)/25))/(LN(2)/25)*Calculateur!BL99*Calculateur!BN99*VLOOKUP('Données projet'!$B$11,Paramètres!$A$1:$I$89,3,0)*0.475*44/12</f>
        <v>14.555664255666846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16.470409371279835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-8.5265128291212022E-14</v>
      </c>
      <c r="BZ99" s="13">
        <f>BY99*VLOOKUP('Données projet'!$B$12,Paramètres!$A$1:$I$89,3,0)*VLOOKUP('Données projet'!$B$12,Paramètres!$A$1:$I$89,5,0)</f>
        <v>-6.9167072069831198E-14</v>
      </c>
      <c r="CA99" s="13" t="e">
        <f t="shared" si="93"/>
        <v>#NUM!</v>
      </c>
      <c r="CB99" s="20" t="e">
        <f t="shared" si="64"/>
        <v>#NUM!</v>
      </c>
      <c r="CC99" s="59" t="e">
        <f t="shared" si="65"/>
        <v>#NUM!</v>
      </c>
      <c r="CD99" s="59">
        <f ca="1">AVERAGE(OFFSET($CC$3,0,0,'Données projet'!$E$12+1,1))-AVERAGE(OFFSET($H$3,0,0,'Données projet'!$E$12+1,1))</f>
        <v>72.953866894533007</v>
      </c>
      <c r="CE99" s="59">
        <f t="shared" si="94"/>
        <v>60.640359826163092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0</v>
      </c>
      <c r="CL99" s="21">
        <f>EXP(-LN(2)/25)*CL98+(1-EXP(-LN(2)/25))/(LN(2)/25)*Calculateur!CG99*Calculateur!CI99*VLOOKUP('Données projet'!$B$12,Paramètres!$A$1:$I$89,3,0)*0.475*44/12</f>
        <v>13.699772698782606</v>
      </c>
      <c r="CM99" s="21">
        <f>EXP(-LN(2)/2)*CM98+(1-EXP(-LN(2)/2))/(LN(2)/2)*CG99*CJ99*VLOOKUP('Données projet'!$B$12,Paramètres!$A$1:$I$89,3,0)*0.475*44/12</f>
        <v>3.1306333029038367</v>
      </c>
      <c r="CN99" s="22">
        <f t="shared" si="66"/>
        <v>16.830406001686441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4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412.35557309963951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-1.7053025658242404E-13</v>
      </c>
      <c r="O100" s="13">
        <f>N100*VLOOKUP('Données projet'!$B$9,Paramètres!$A$1:$I$89,3,0)*VLOOKUP('Données projet'!$B$9,Paramètres!$A$1:$I$89,5,0)</f>
        <v>-1.0197709343628959E-13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235.90365770026909</v>
      </c>
      <c r="T100" s="59">
        <f t="shared" si="88"/>
        <v>348.09952585694253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47.520803850898744</v>
      </c>
      <c r="AA100" s="21">
        <f>EXP(-LN(2)/25)*AA99+(1-EXP(-LN(2)/25))/(LN(2)/25)*Calculateur!V100*Calculateur!X100*VLOOKUP('Données projet'!$B$9,Paramètres!$A$1:$I$89,3,0)*0.475*44/12</f>
        <v>11.52334660174148</v>
      </c>
      <c r="AB100" s="21">
        <f>EXP(-LN(2)/2)*AB99+(1-EXP(-LN(2)/2))/(LN(2)/2)*V100*Y100*VLOOKUP('Données projet'!$B$9,Paramètres!$A$1:$I$89,3,0)*0.475*44/12</f>
        <v>1.0226682908536592E-6</v>
      </c>
      <c r="AC100" s="22">
        <f t="shared" si="57"/>
        <v>59.044151475308517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8.9420000000000019</v>
      </c>
      <c r="AI100" s="13">
        <f>IF('Données projet'!$A$62&gt;35,AI99+AH100-AQ99,IF(A100&lt;'Données projet'!$A$62,$AF$205^A100,IF(A100='Données projet'!$A$62,'Données projet'!$B$62,AI99+AH100-AQ99)))</f>
        <v>339.60600000000051</v>
      </c>
      <c r="AJ100" s="13">
        <f>AI100*VLOOKUP('Données projet'!$B$10,Paramètres!$A$1:$I$89,3,0)*VLOOKUP('Données projet'!$B$10,Paramètres!$A$1:$I$89,5,0)</f>
        <v>307.27550880000041</v>
      </c>
      <c r="AK100" s="13">
        <f t="shared" si="89"/>
        <v>72.699555980078841</v>
      </c>
      <c r="AL100" s="20">
        <f t="shared" si="58"/>
        <v>661.78990449197136</v>
      </c>
      <c r="AM100" s="59">
        <f t="shared" si="59"/>
        <v>955.12323782530461</v>
      </c>
      <c r="AN100" s="59">
        <f ca="1">AVERAGE(OFFSET($AM$3,0,0,'Données projet'!$E$10+1,1))-AVERAGE(OFFSET($H$3,0,0,'Données projet'!$E$10+1,1))</f>
        <v>490.21869105612649</v>
      </c>
      <c r="AO100" s="59">
        <f t="shared" si="90"/>
        <v>207.08773997010911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26.588412041927928</v>
      </c>
      <c r="AV100" s="21">
        <f>EXP(-LN(2)/25)*AV99+(1-EXP(-LN(2)/25))/(LN(2)/25)*Calculateur!AQ100*Calculateur!AS100*VLOOKUP('Données projet'!$B$10,Paramètres!$A$1:$I$89,3,0)*0.475*44/12</f>
        <v>25.937284084006841</v>
      </c>
      <c r="AW100" s="21">
        <f>EXP(-LN(2)/2)*AW99+(1-EXP(-LN(2)/2))/(LN(2)/2)*AQ100*AT100*VLOOKUP('Données projet'!$B$10,Paramètres!$A$1:$I$89,3,0)*0.475*44/12</f>
        <v>2.0973495876303185</v>
      </c>
      <c r="AX100" s="21">
        <f t="shared" si="60"/>
        <v>54.623045713565091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1.9230769230769227</v>
      </c>
      <c r="BD100" s="12">
        <f>IF('Données projet'!$A$88&gt;35,BD99+BC100-BL99,IF(A100&lt;'Données projet'!$A$88,$BA$205^A100,IF(A100='Données projet'!$A$88,'Données projet'!$B$88,BD99+BC100-BL99)))</f>
        <v>137.17948717948715</v>
      </c>
      <c r="BE100" s="13">
        <f>BD100*VLOOKUP('Données projet'!$B$11,Paramètres!$A$1:$I$89,3,0)*VLOOKUP('Données projet'!$B$11,Paramètres!$A$1:$I$89,5,0)</f>
        <v>143.37999999999997</v>
      </c>
      <c r="BF100" s="13">
        <f t="shared" si="91"/>
        <v>37.070237688614135</v>
      </c>
      <c r="BG100" s="20">
        <f t="shared" si="61"/>
        <v>314.2841639743362</v>
      </c>
      <c r="BH100" s="59">
        <f t="shared" si="62"/>
        <v>607.61749730766951</v>
      </c>
      <c r="BI100" s="59">
        <f ca="1">AVERAGE(OFFSET($BH$3,0,0,'Données projet'!$E$11+1,1))-AVERAGE(OFFSET($H$3,0,0,'Données projet'!$E$11+1,1))</f>
        <v>144.01698107732989</v>
      </c>
      <c r="BJ100" s="59">
        <f t="shared" si="92"/>
        <v>139.28039875117332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1.8771981317750208</v>
      </c>
      <c r="BQ100" s="21">
        <f>EXP(-LN(2)/25)*BQ99+(1-EXP(-LN(2)/25))/(LN(2)/25)*Calculateur!BL100*Calculateur!BN100*VLOOKUP('Données projet'!$B$11,Paramètres!$A$1:$I$89,3,0)*0.475*44/12</f>
        <v>14.157638851146521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16.03483698292154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-8.5265128291212022E-14</v>
      </c>
      <c r="BZ100" s="13">
        <f>BY100*VLOOKUP('Données projet'!$B$12,Paramètres!$A$1:$I$89,3,0)*VLOOKUP('Données projet'!$B$12,Paramètres!$A$1:$I$89,5,0)</f>
        <v>-6.9167072069831198E-14</v>
      </c>
      <c r="CA100" s="13" t="e">
        <f t="shared" si="93"/>
        <v>#NUM!</v>
      </c>
      <c r="CB100" s="20" t="e">
        <f t="shared" si="64"/>
        <v>#NUM!</v>
      </c>
      <c r="CC100" s="59" t="e">
        <f t="shared" si="65"/>
        <v>#NUM!</v>
      </c>
      <c r="CD100" s="59">
        <f ca="1">AVERAGE(OFFSET($CC$3,0,0,'Données projet'!$E$12+1,1))-AVERAGE(OFFSET($H$3,0,0,'Données projet'!$E$12+1,1))</f>
        <v>72.953866894533007</v>
      </c>
      <c r="CE100" s="59">
        <f t="shared" si="94"/>
        <v>60.640359826163092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0</v>
      </c>
      <c r="CL100" s="21">
        <f>EXP(-LN(2)/25)*CL99+(1-EXP(-LN(2)/25))/(LN(2)/25)*Calculateur!CG100*Calculateur!CI100*VLOOKUP('Données projet'!$B$12,Paramètres!$A$1:$I$89,3,0)*0.475*44/12</f>
        <v>13.325151693894661</v>
      </c>
      <c r="CM100" s="21">
        <f>EXP(-LN(2)/2)*CM99+(1-EXP(-LN(2)/2))/(LN(2)/2)*CG100*CJ100*VLOOKUP('Données projet'!$B$12,Paramètres!$A$1:$I$89,3,0)*0.475*44/12</f>
        <v>2.2136920378917417</v>
      </c>
      <c r="CN100" s="22">
        <f t="shared" si="66"/>
        <v>15.538843731786402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4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413.55032458168552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-1.7053025658242404E-13</v>
      </c>
      <c r="O101" s="13">
        <f>N101*VLOOKUP('Données projet'!$B$9,Paramètres!$A$1:$I$89,3,0)*VLOOKUP('Données projet'!$B$9,Paramètres!$A$1:$I$89,5,0)</f>
        <v>-1.0197709343628959E-13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235.90365770026909</v>
      </c>
      <c r="T101" s="59">
        <f t="shared" si="88"/>
        <v>348.09952585694253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46.588949872210954</v>
      </c>
      <c r="AA101" s="21">
        <f>EXP(-LN(2)/25)*AA100+(1-EXP(-LN(2)/25))/(LN(2)/25)*Calculateur!V101*Calculateur!X101*VLOOKUP('Données projet'!$B$9,Paramètres!$A$1:$I$89,3,0)*0.475*44/12</f>
        <v>11.208240082930399</v>
      </c>
      <c r="AB101" s="21">
        <f>EXP(-LN(2)/2)*AB100+(1-EXP(-LN(2)/2))/(LN(2)/2)*V101*Y101*VLOOKUP('Données projet'!$B$9,Paramètres!$A$1:$I$89,3,0)*0.475*44/12</f>
        <v>7.2313568336707895E-7</v>
      </c>
      <c r="AC101" s="22">
        <f t="shared" si="57"/>
        <v>57.797190678277033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8.9420000000000019</v>
      </c>
      <c r="AI101" s="13">
        <f>IF('Données projet'!$A$62&gt;35,AI100+AH101-AQ100,IF(A101&lt;'Données projet'!$A$62,$AF$205^A101,IF(A101='Données projet'!$A$62,'Données projet'!$B$62,AI100+AH101-AQ100)))</f>
        <v>348.54800000000051</v>
      </c>
      <c r="AJ101" s="13">
        <f>AI101*VLOOKUP('Données projet'!$B$10,Paramètres!$A$1:$I$89,3,0)*VLOOKUP('Données projet'!$B$10,Paramètres!$A$1:$I$89,5,0)</f>
        <v>315.36623040000046</v>
      </c>
      <c r="AK101" s="13">
        <f t="shared" si="89"/>
        <v>74.38839081830163</v>
      </c>
      <c r="AL101" s="20">
        <f t="shared" si="58"/>
        <v>678.82263195520943</v>
      </c>
      <c r="AM101" s="59">
        <f t="shared" si="59"/>
        <v>972.1559652885428</v>
      </c>
      <c r="AN101" s="59">
        <f ca="1">AVERAGE(OFFSET($AM$3,0,0,'Données projet'!$E$10+1,1))-AVERAGE(OFFSET($H$3,0,0,'Données projet'!$E$10+1,1))</f>
        <v>490.21869105612649</v>
      </c>
      <c r="AO101" s="59">
        <f t="shared" si="90"/>
        <v>207.08773997010911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26.067029499115737</v>
      </c>
      <c r="AV101" s="21">
        <f>EXP(-LN(2)/25)*AV100+(1-EXP(-LN(2)/25))/(LN(2)/25)*Calculateur!AQ101*Calculateur!AS101*VLOOKUP('Données projet'!$B$10,Paramètres!$A$1:$I$89,3,0)*0.475*44/12</f>
        <v>25.228027686747183</v>
      </c>
      <c r="AW101" s="21">
        <f>EXP(-LN(2)/2)*AW100+(1-EXP(-LN(2)/2))/(LN(2)/2)*AQ101*AT101*VLOOKUP('Données projet'!$B$10,Paramètres!$A$1:$I$89,3,0)*0.475*44/12</f>
        <v>1.4830501159322074</v>
      </c>
      <c r="AX101" s="21">
        <f t="shared" si="60"/>
        <v>52.778107301795124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1.9230769230769227</v>
      </c>
      <c r="BD101" s="12">
        <f>IF('Données projet'!$A$88&gt;35,BD100+BC101-BL100,IF(A101&lt;'Données projet'!$A$88,$BA$205^A101,IF(A101='Données projet'!$A$88,'Données projet'!$B$88,BD100+BC101-BL100)))</f>
        <v>139.10256410256409</v>
      </c>
      <c r="BE101" s="13">
        <f>BD101*VLOOKUP('Données projet'!$B$11,Paramètres!$A$1:$I$89,3,0)*VLOOKUP('Données projet'!$B$11,Paramètres!$A$1:$I$89,5,0)</f>
        <v>145.38999999999999</v>
      </c>
      <c r="BF101" s="13">
        <f t="shared" si="91"/>
        <v>37.529050900676538</v>
      </c>
      <c r="BG101" s="20">
        <f t="shared" si="61"/>
        <v>318.58401365201161</v>
      </c>
      <c r="BH101" s="59">
        <f t="shared" si="62"/>
        <v>611.91734698534492</v>
      </c>
      <c r="BI101" s="59">
        <f ca="1">AVERAGE(OFFSET($BH$3,0,0,'Données projet'!$E$11+1,1))-AVERAGE(OFFSET($H$3,0,0,'Données projet'!$E$11+1,1))</f>
        <v>144.01698107732989</v>
      </c>
      <c r="BJ101" s="59">
        <f t="shared" si="92"/>
        <v>139.28039875117332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1.8403874213887159</v>
      </c>
      <c r="BQ101" s="21">
        <f>EXP(-LN(2)/25)*BQ100+(1-EXP(-LN(2)/25))/(LN(2)/25)*Calculateur!BL101*Calculateur!BN101*VLOOKUP('Données projet'!$B$11,Paramètres!$A$1:$I$89,3,0)*0.475*44/12</f>
        <v>13.770497472244049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15.610884893632765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-8.5265128291212022E-14</v>
      </c>
      <c r="BZ101" s="13">
        <f>BY101*VLOOKUP('Données projet'!$B$12,Paramètres!$A$1:$I$89,3,0)*VLOOKUP('Données projet'!$B$12,Paramètres!$A$1:$I$89,5,0)</f>
        <v>-6.9167072069831198E-14</v>
      </c>
      <c r="CA101" s="13" t="e">
        <f t="shared" si="93"/>
        <v>#NUM!</v>
      </c>
      <c r="CB101" s="20" t="e">
        <f t="shared" si="64"/>
        <v>#NUM!</v>
      </c>
      <c r="CC101" s="59" t="e">
        <f t="shared" si="65"/>
        <v>#NUM!</v>
      </c>
      <c r="CD101" s="59">
        <f ca="1">AVERAGE(OFFSET($CC$3,0,0,'Données projet'!$E$12+1,1))-AVERAGE(OFFSET($H$3,0,0,'Données projet'!$E$12+1,1))</f>
        <v>72.953866894533007</v>
      </c>
      <c r="CE101" s="59">
        <f t="shared" si="94"/>
        <v>60.640359826163092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0</v>
      </c>
      <c r="CL101" s="21">
        <f>EXP(-LN(2)/25)*CL100+(1-EXP(-LN(2)/25))/(LN(2)/25)*Calculateur!CG101*Calculateur!CI101*VLOOKUP('Données projet'!$B$12,Paramètres!$A$1:$I$89,3,0)*0.475*44/12</f>
        <v>12.960774720085839</v>
      </c>
      <c r="CM101" s="21">
        <f>EXP(-LN(2)/2)*CM100+(1-EXP(-LN(2)/2))/(LN(2)/2)*CG101*CJ101*VLOOKUP('Données projet'!$B$12,Paramètres!$A$1:$I$89,3,0)*0.475*44/12</f>
        <v>1.5653166514519183</v>
      </c>
      <c r="CN101" s="22">
        <f t="shared" si="66"/>
        <v>14.526091371537756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4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414.74478665387051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-1.7053025658242404E-13</v>
      </c>
      <c r="O102" s="13">
        <f>N102*VLOOKUP('Données projet'!$B$9,Paramètres!$A$1:$I$89,3,0)*VLOOKUP('Données projet'!$B$9,Paramètres!$A$1:$I$89,5,0)</f>
        <v>-1.0197709343628959E-13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235.90365770026909</v>
      </c>
      <c r="T102" s="59">
        <f t="shared" si="88"/>
        <v>348.09952585694253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45.675368981670424</v>
      </c>
      <c r="AA102" s="21">
        <f>EXP(-LN(2)/25)*AA101+(1-EXP(-LN(2)/25))/(LN(2)/25)*Calculateur!V102*Calculateur!X102*VLOOKUP('Données projet'!$B$9,Paramètres!$A$1:$I$89,3,0)*0.475*44/12</f>
        <v>10.901750168446938</v>
      </c>
      <c r="AB102" s="21">
        <f>EXP(-LN(2)/2)*AB101+(1-EXP(-LN(2)/2))/(LN(2)/2)*V102*Y102*VLOOKUP('Données projet'!$B$9,Paramètres!$A$1:$I$89,3,0)*0.475*44/12</f>
        <v>5.113341454268296E-7</v>
      </c>
      <c r="AC102" s="22">
        <f t="shared" si="57"/>
        <v>56.577119661451505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8.9420000000000019</v>
      </c>
      <c r="AI102" s="13">
        <f>IF('Données projet'!$A$62&gt;35,AI101+AH102-AQ101,IF(A102&lt;'Données projet'!$A$62,$AF$205^A102,IF(A102='Données projet'!$A$62,'Données projet'!$B$62,AI101+AH102-AQ101)))</f>
        <v>357.49000000000052</v>
      </c>
      <c r="AJ102" s="13">
        <f>AI102*VLOOKUP('Données projet'!$B$10,Paramètres!$A$1:$I$89,3,0)*VLOOKUP('Données projet'!$B$10,Paramètres!$A$1:$I$89,5,0)</f>
        <v>323.45695200000046</v>
      </c>
      <c r="AK102" s="13">
        <f t="shared" si="89"/>
        <v>76.072189325282608</v>
      </c>
      <c r="AL102" s="20">
        <f t="shared" si="58"/>
        <v>695.84658780820121</v>
      </c>
      <c r="AM102" s="59">
        <f t="shared" si="59"/>
        <v>989.17992114153458</v>
      </c>
      <c r="AN102" s="59">
        <f ca="1">AVERAGE(OFFSET($AM$3,0,0,'Données projet'!$E$10+1,1))-AVERAGE(OFFSET($H$3,0,0,'Données projet'!$E$10+1,1))</f>
        <v>490.21869105612649</v>
      </c>
      <c r="AO102" s="59">
        <f t="shared" si="90"/>
        <v>207.08773997010911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25.555870949956144</v>
      </c>
      <c r="AV102" s="21">
        <f>EXP(-LN(2)/25)*AV101+(1-EXP(-LN(2)/25))/(LN(2)/25)*Calculateur!AQ102*Calculateur!AS102*VLOOKUP('Données projet'!$B$10,Paramètres!$A$1:$I$89,3,0)*0.475*44/12</f>
        <v>24.538165942968764</v>
      </c>
      <c r="AW102" s="21">
        <f>EXP(-LN(2)/2)*AW101+(1-EXP(-LN(2)/2))/(LN(2)/2)*AQ102*AT102*VLOOKUP('Données projet'!$B$10,Paramètres!$A$1:$I$89,3,0)*0.475*44/12</f>
        <v>1.0486747938151593</v>
      </c>
      <c r="AX102" s="21">
        <f t="shared" si="60"/>
        <v>51.142711686740064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1.9230769230769227</v>
      </c>
      <c r="BD102" s="12">
        <f>IF('Données projet'!$A$88&gt;35,BD101+BC102-BL101,IF(A102&lt;'Données projet'!$A$88,$BA$205^A102,IF(A102='Données projet'!$A$88,'Données projet'!$B$88,BD101+BC102-BL101)))</f>
        <v>141.02564102564102</v>
      </c>
      <c r="BE102" s="13">
        <f>BD102*VLOOKUP('Données projet'!$B$11,Paramètres!$A$1:$I$89,3,0)*VLOOKUP('Données projet'!$B$11,Paramètres!$A$1:$I$89,5,0)</f>
        <v>147.4</v>
      </c>
      <c r="BF102" s="13">
        <f t="shared" si="91"/>
        <v>37.987126351804257</v>
      </c>
      <c r="BG102" s="20">
        <f t="shared" si="61"/>
        <v>322.88257839605905</v>
      </c>
      <c r="BH102" s="59">
        <f t="shared" si="62"/>
        <v>616.21591172939236</v>
      </c>
      <c r="BI102" s="59">
        <f ca="1">AVERAGE(OFFSET($BH$3,0,0,'Données projet'!$E$11+1,1))-AVERAGE(OFFSET($H$3,0,0,'Données projet'!$E$11+1,1))</f>
        <v>144.01698107732989</v>
      </c>
      <c r="BJ102" s="59">
        <f t="shared" si="92"/>
        <v>139.28039875117332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1.8042985465807702</v>
      </c>
      <c r="BQ102" s="21">
        <f>EXP(-LN(2)/25)*BQ101+(1-EXP(-LN(2)/25))/(LN(2)/25)*Calculateur!BL102*Calculateur!BN102*VLOOKUP('Données projet'!$B$11,Paramètres!$A$1:$I$89,3,0)*0.475*44/12</f>
        <v>13.393942494706547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15.198241041287318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-8.5265128291212022E-14</v>
      </c>
      <c r="BZ102" s="13">
        <f>BY102*VLOOKUP('Données projet'!$B$12,Paramètres!$A$1:$I$89,3,0)*VLOOKUP('Données projet'!$B$12,Paramètres!$A$1:$I$89,5,0)</f>
        <v>-6.9167072069831198E-14</v>
      </c>
      <c r="CA102" s="13" t="e">
        <f t="shared" si="93"/>
        <v>#NUM!</v>
      </c>
      <c r="CB102" s="20" t="e">
        <f t="shared" si="64"/>
        <v>#NUM!</v>
      </c>
      <c r="CC102" s="59" t="e">
        <f t="shared" si="65"/>
        <v>#NUM!</v>
      </c>
      <c r="CD102" s="59">
        <f ca="1">AVERAGE(OFFSET($CC$3,0,0,'Données projet'!$E$12+1,1))-AVERAGE(OFFSET($H$3,0,0,'Données projet'!$E$12+1,1))</f>
        <v>72.953866894533007</v>
      </c>
      <c r="CE102" s="59">
        <f t="shared" si="94"/>
        <v>60.640359826163092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0</v>
      </c>
      <c r="CL102" s="21">
        <f>EXP(-LN(2)/25)*CL101+(1-EXP(-LN(2)/25))/(LN(2)/25)*Calculateur!CG102*Calculateur!CI102*VLOOKUP('Données projet'!$B$12,Paramètres!$A$1:$I$89,3,0)*0.475*44/12</f>
        <v>12.606361653787571</v>
      </c>
      <c r="CM102" s="21">
        <f>EXP(-LN(2)/2)*CM101+(1-EXP(-LN(2)/2))/(LN(2)/2)*CG102*CJ102*VLOOKUP('Données projet'!$B$12,Paramètres!$A$1:$I$89,3,0)*0.475*44/12</f>
        <v>1.1068460189458709</v>
      </c>
      <c r="CN102" s="22">
        <f t="shared" si="66"/>
        <v>13.713207672733443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4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415.93896257799588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-1.7053025658242404E-13</v>
      </c>
      <c r="O103" s="13">
        <f>N103*VLOOKUP('Données projet'!$B$9,Paramètres!$A$1:$I$89,3,0)*VLOOKUP('Données projet'!$B$9,Paramètres!$A$1:$I$89,5,0)</f>
        <v>-1.0197709343628959E-13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235.90365770026909</v>
      </c>
      <c r="T103" s="59">
        <f t="shared" si="88"/>
        <v>348.09952585694253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44.779702855164075</v>
      </c>
      <c r="AA103" s="21">
        <f>EXP(-LN(2)/25)*AA102+(1-EXP(-LN(2)/25))/(LN(2)/25)*Calculateur!V103*Calculateur!X103*VLOOKUP('Données projet'!$B$9,Paramètres!$A$1:$I$89,3,0)*0.475*44/12</f>
        <v>10.603641236792631</v>
      </c>
      <c r="AB103" s="21">
        <f>EXP(-LN(2)/2)*AB102+(1-EXP(-LN(2)/2))/(LN(2)/2)*V103*Y103*VLOOKUP('Données projet'!$B$9,Paramètres!$A$1:$I$89,3,0)*0.475*44/12</f>
        <v>3.6156784168353947E-7</v>
      </c>
      <c r="AC103" s="22">
        <f t="shared" si="57"/>
        <v>55.38334445352455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8.9420000000000019</v>
      </c>
      <c r="AI103" s="13">
        <f>IF('Données projet'!$A$62&gt;35,AI102+AH103-AQ102,IF(A103&lt;'Données projet'!$A$62,$AF$205^A103,IF(A103='Données projet'!$A$62,'Données projet'!$B$62,AI102+AH103-AQ102)))</f>
        <v>366.43200000000053</v>
      </c>
      <c r="AJ103" s="13">
        <f>AI103*VLOOKUP('Données projet'!$B$10,Paramètres!$A$1:$I$89,3,0)*VLOOKUP('Données projet'!$B$10,Paramètres!$A$1:$I$89,5,0)</f>
        <v>331.54767360000045</v>
      </c>
      <c r="AK103" s="13">
        <f t="shared" si="89"/>
        <v>77.751091964826287</v>
      </c>
      <c r="AL103" s="20">
        <f t="shared" si="58"/>
        <v>712.86201669207321</v>
      </c>
      <c r="AM103" s="59">
        <f t="shared" si="59"/>
        <v>1006.1953500254065</v>
      </c>
      <c r="AN103" s="59">
        <f ca="1">AVERAGE(OFFSET($AM$3,0,0,'Données projet'!$E$10+1,1))-AVERAGE(OFFSET($H$3,0,0,'Données projet'!$E$10+1,1))</f>
        <v>490.21869105612649</v>
      </c>
      <c r="AO103" s="59">
        <f t="shared" si="90"/>
        <v>207.08773997010911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25.054735908169643</v>
      </c>
      <c r="AV103" s="21">
        <f>EXP(-LN(2)/25)*AV102+(1-EXP(-LN(2)/25))/(LN(2)/25)*Calculateur!AQ103*Calculateur!AS103*VLOOKUP('Données projet'!$B$10,Paramètres!$A$1:$I$89,3,0)*0.475*44/12</f>
        <v>23.86716850485222</v>
      </c>
      <c r="AW103" s="21">
        <f>EXP(-LN(2)/2)*AW102+(1-EXP(-LN(2)/2))/(LN(2)/2)*AQ103*AT103*VLOOKUP('Données projet'!$B$10,Paramètres!$A$1:$I$89,3,0)*0.475*44/12</f>
        <v>0.74152505796610368</v>
      </c>
      <c r="AX103" s="21">
        <f t="shared" si="60"/>
        <v>49.663429470987964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>
        <f>VLOOKUP(A103,'Données projet'!$A$87:$I$107,2,0)</f>
        <v>142.94871794871796</v>
      </c>
      <c r="BB103" s="12">
        <f>VLOOKUP(A103,'Données projet'!$A$87:$I$107,9,0)</f>
        <v>1.9230769230769227</v>
      </c>
      <c r="BC103" s="12">
        <f t="array" ref="BC103">INDEX(BB:BB,MIN(IF(ISNUMBER(BB103:BB299),ROW(BB103:BB299),"")))</f>
        <v>1.9230769230769227</v>
      </c>
      <c r="BD103" s="12">
        <f>IF('Données projet'!$A$88&gt;35,BD102+BC103-BL102,IF(A103&lt;'Données projet'!$A$88,$BA$205^A103,IF(A103='Données projet'!$A$88,'Données projet'!$B$88,BD102+BC103-BL102)))</f>
        <v>142.94871794871796</v>
      </c>
      <c r="BE103" s="13">
        <f>BD103*VLOOKUP('Données projet'!$B$11,Paramètres!$A$1:$I$89,3,0)*VLOOKUP('Données projet'!$B$11,Paramètres!$A$1:$I$89,5,0)</f>
        <v>149.41000000000003</v>
      </c>
      <c r="BF103" s="13">
        <f t="shared" si="91"/>
        <v>38.444475265192452</v>
      </c>
      <c r="BG103" s="20">
        <f t="shared" si="61"/>
        <v>327.17987775354362</v>
      </c>
      <c r="BH103" s="59">
        <f t="shared" si="62"/>
        <v>620.51321108687694</v>
      </c>
      <c r="BI103" s="59">
        <f ca="1">AVERAGE(OFFSET($BH$3,0,0,'Données projet'!$E$11+1,1))-AVERAGE(OFFSET($H$3,0,0,'Données projet'!$E$11+1,1))</f>
        <v>144.01698107732989</v>
      </c>
      <c r="BJ103" s="59">
        <f t="shared" si="92"/>
        <v>139.28039875117332</v>
      </c>
      <c r="BK103" s="15">
        <f>IF(ISNA(VLOOKUP(A103,'Données projet'!$A$87:$I$107,3,0)),0,VLOOKUP(A103,'Données projet'!$A$87:$I$107,3,0))</f>
        <v>17</v>
      </c>
      <c r="BL103" s="15">
        <f>IF(ISNA(VLOOKUP(A103,'Données projet'!$A$87:$I$107,4,0)),0,VLOOKUP(A103,'Données projet'!$A$87:$I$107,4,0))</f>
        <v>142.94871794871796</v>
      </c>
      <c r="BM103" s="16">
        <f>IF(ISNA(VLOOKUP(A103,'Données projet'!$A$87:$I$107,5,0)),0%,VLOOKUP(A103,'Données projet'!$A$87:$I$107,5,0)*VLOOKUP('Données projet'!$B$11,Paramètres!$A$1:$I$89,7,0))</f>
        <v>4.3000000000000003E-2</v>
      </c>
      <c r="BN103" s="16">
        <f>IF(ISNA(VLOOKUP(A103,'Données projet'!$A$87:$I$107,6,0)),0%,VLOOKUP(A103,'Données projet'!$A$87:$I$107,6,0)*VLOOKUP('Données projet'!$B$11,Paramètres!$A$1:$I$89,7,0))</f>
        <v>0.215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8.8711555170545484</v>
      </c>
      <c r="BQ103" s="21">
        <f>EXP(-LN(2)/25)*BQ102+(1-EXP(-LN(2)/25))/(LN(2)/25)*Calculateur!BL103*Calculateur!BN103*VLOOKUP('Données projet'!$B$11,Paramètres!$A$1:$I$89,3,0)*0.475*44/12</f>
        <v>48.399054166033999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57.270209683088545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-8.5265128291212022E-14</v>
      </c>
      <c r="BZ103" s="13">
        <f>BY103*VLOOKUP('Données projet'!$B$12,Paramètres!$A$1:$I$89,3,0)*VLOOKUP('Données projet'!$B$12,Paramètres!$A$1:$I$89,5,0)</f>
        <v>-6.9167072069831198E-14</v>
      </c>
      <c r="CA103" s="13" t="e">
        <f t="shared" si="93"/>
        <v>#NUM!</v>
      </c>
      <c r="CB103" s="20" t="e">
        <f t="shared" si="64"/>
        <v>#NUM!</v>
      </c>
      <c r="CC103" s="59" t="e">
        <f t="shared" si="65"/>
        <v>#NUM!</v>
      </c>
      <c r="CD103" s="59">
        <f ca="1">AVERAGE(OFFSET($CC$3,0,0,'Données projet'!$E$12+1,1))-AVERAGE(OFFSET($H$3,0,0,'Données projet'!$E$12+1,1))</f>
        <v>72.953866894533007</v>
      </c>
      <c r="CE103" s="59">
        <f t="shared" si="94"/>
        <v>60.640359826163092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0</v>
      </c>
      <c r="CL103" s="21">
        <f>EXP(-LN(2)/25)*CL102+(1-EXP(-LN(2)/25))/(LN(2)/25)*Calculateur!CG103*Calculateur!CI103*VLOOKUP('Données projet'!$B$12,Paramètres!$A$1:$I$89,3,0)*0.475*44/12</f>
        <v>12.261640031425003</v>
      </c>
      <c r="CM103" s="21">
        <f>EXP(-LN(2)/2)*CM102+(1-EXP(-LN(2)/2))/(LN(2)/2)*CG103*CJ103*VLOOKUP('Données projet'!$B$12,Paramètres!$A$1:$I$89,3,0)*0.475*44/12</f>
        <v>0.78265832572595917</v>
      </c>
      <c r="CN103" s="22">
        <f t="shared" si="66"/>
        <v>13.044298357150963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4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417.13285554686695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-1.7053025658242404E-13</v>
      </c>
      <c r="O104" s="13">
        <f>N104*VLOOKUP('Données projet'!$B$9,Paramètres!$A$1:$I$89,3,0)*VLOOKUP('Données projet'!$B$9,Paramètres!$A$1:$I$89,5,0)</f>
        <v>-1.0197709343628959E-13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235.90365770026909</v>
      </c>
      <c r="T104" s="59">
        <f t="shared" si="88"/>
        <v>348.09952585694253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43.901600195096123</v>
      </c>
      <c r="AA104" s="21">
        <f>EXP(-LN(2)/25)*AA103+(1-EXP(-LN(2)/25))/(LN(2)/25)*Calculateur!V104*Calculateur!X104*VLOOKUP('Données projet'!$B$9,Paramètres!$A$1:$I$89,3,0)*0.475*44/12</f>
        <v>10.313684109551279</v>
      </c>
      <c r="AB104" s="21">
        <f>EXP(-LN(2)/2)*AB103+(1-EXP(-LN(2)/2))/(LN(2)/2)*V104*Y104*VLOOKUP('Données projet'!$B$9,Paramètres!$A$1:$I$89,3,0)*0.475*44/12</f>
        <v>2.556670727134148E-7</v>
      </c>
      <c r="AC104" s="22">
        <f t="shared" si="57"/>
        <v>54.215284560314473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8.9420000000000019</v>
      </c>
      <c r="AI104" s="13">
        <f>IF('Données projet'!$A$62&gt;35,AI103+AH104-AQ103,IF(A104&lt;'Données projet'!$A$62,$AF$205^A104,IF(A104='Données projet'!$A$62,'Données projet'!$B$62,AI103+AH104-AQ103)))</f>
        <v>375.37400000000054</v>
      </c>
      <c r="AJ104" s="13">
        <f>AI104*VLOOKUP('Données projet'!$B$10,Paramètres!$A$1:$I$89,3,0)*VLOOKUP('Données projet'!$B$10,Paramètres!$A$1:$I$89,5,0)</f>
        <v>339.6383952000005</v>
      </c>
      <c r="AK104" s="13">
        <f t="shared" si="89"/>
        <v>79.425231954431325</v>
      </c>
      <c r="AL104" s="20">
        <f t="shared" si="58"/>
        <v>729.86915062730213</v>
      </c>
      <c r="AM104" s="59">
        <f t="shared" si="59"/>
        <v>1023.2024839606354</v>
      </c>
      <c r="AN104" s="59">
        <f ca="1">AVERAGE(OFFSET($AM$3,0,0,'Données projet'!$E$10+1,1))-AVERAGE(OFFSET($H$3,0,0,'Données projet'!$E$10+1,1))</f>
        <v>490.21869105612649</v>
      </c>
      <c r="AO104" s="59">
        <f t="shared" si="90"/>
        <v>207.08773997010911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24.563427818890382</v>
      </c>
      <c r="AV104" s="21">
        <f>EXP(-LN(2)/25)*AV103+(1-EXP(-LN(2)/25))/(LN(2)/25)*Calculateur!AQ104*Calculateur!AS104*VLOOKUP('Données projet'!$B$10,Paramètres!$A$1:$I$89,3,0)*0.475*44/12</f>
        <v>23.214519526967194</v>
      </c>
      <c r="AW104" s="21">
        <f>EXP(-LN(2)/2)*AW103+(1-EXP(-LN(2)/2))/(LN(2)/2)*AQ104*AT104*VLOOKUP('Données projet'!$B$10,Paramètres!$A$1:$I$89,3,0)*0.475*44/12</f>
        <v>0.52433739690757963</v>
      </c>
      <c r="AX104" s="21">
        <f t="shared" si="60"/>
        <v>48.302284742765153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>
        <f>BD104*VLOOKUP('Données projet'!$B$11,Paramètres!$A$1:$I$89,3,0)*VLOOKUP('Données projet'!$B$11,Paramètres!$A$1:$I$89,5,0)</f>
        <v>0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144.01698107732989</v>
      </c>
      <c r="BJ104" s="59">
        <f t="shared" si="92"/>
        <v>139.28039875117332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8.6971975682356959</v>
      </c>
      <c r="BQ104" s="21">
        <f>EXP(-LN(2)/25)*BQ103+(1-EXP(-LN(2)/25))/(LN(2)/25)*Calculateur!BL104*Calculateur!BN104*VLOOKUP('Données projet'!$B$11,Paramètres!$A$1:$I$89,3,0)*0.475*44/12</f>
        <v>47.075579484668161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55.772777052903855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-8.5265128291212022E-14</v>
      </c>
      <c r="BZ104" s="13">
        <f>BY104*VLOOKUP('Données projet'!$B$12,Paramètres!$A$1:$I$89,3,0)*VLOOKUP('Données projet'!$B$12,Paramètres!$A$1:$I$89,5,0)</f>
        <v>-6.9167072069831198E-14</v>
      </c>
      <c r="CA104" s="13" t="e">
        <f t="shared" si="93"/>
        <v>#NUM!</v>
      </c>
      <c r="CB104" s="20" t="e">
        <f t="shared" si="64"/>
        <v>#NUM!</v>
      </c>
      <c r="CC104" s="59" t="e">
        <f t="shared" si="65"/>
        <v>#NUM!</v>
      </c>
      <c r="CD104" s="59">
        <f ca="1">AVERAGE(OFFSET($CC$3,0,0,'Données projet'!$E$12+1,1))-AVERAGE(OFFSET($H$3,0,0,'Données projet'!$E$12+1,1))</f>
        <v>72.953866894533007</v>
      </c>
      <c r="CE104" s="59">
        <f t="shared" si="94"/>
        <v>60.640359826163092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0</v>
      </c>
      <c r="CL104" s="21">
        <f>EXP(-LN(2)/25)*CL103+(1-EXP(-LN(2)/25))/(LN(2)/25)*Calculateur!CG104*Calculateur!CI104*VLOOKUP('Données projet'!$B$12,Paramètres!$A$1:$I$89,3,0)*0.475*44/12</f>
        <v>11.926344839954062</v>
      </c>
      <c r="CM104" s="21">
        <f>EXP(-LN(2)/2)*CM103+(1-EXP(-LN(2)/2))/(LN(2)/2)*CG104*CJ104*VLOOKUP('Données projet'!$B$12,Paramètres!$A$1:$I$89,3,0)*0.475*44/12</f>
        <v>0.55342300947293543</v>
      </c>
      <c r="CN104" s="22">
        <f t="shared" si="66"/>
        <v>12.479767849426997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4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418.32646868642092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-1.7053025658242404E-13</v>
      </c>
      <c r="O105" s="13">
        <f>N105*VLOOKUP('Données projet'!$B$9,Paramètres!$A$1:$I$89,3,0)*VLOOKUP('Données projet'!$B$9,Paramètres!$A$1:$I$89,5,0)</f>
        <v>-1.0197709343628959E-13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235.90365770026909</v>
      </c>
      <c r="T105" s="59">
        <f t="shared" si="88"/>
        <v>348.09952585694253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43.040716592602365</v>
      </c>
      <c r="AA105" s="21">
        <f>EXP(-LN(2)/25)*AA104+(1-EXP(-LN(2)/25))/(LN(2)/25)*Calculateur!V105*Calculateur!X105*VLOOKUP('Données projet'!$B$9,Paramètres!$A$1:$I$89,3,0)*0.475*44/12</f>
        <v>10.031655875202524</v>
      </c>
      <c r="AB105" s="21">
        <f>EXP(-LN(2)/2)*AB104+(1-EXP(-LN(2)/2))/(LN(2)/2)*V105*Y105*VLOOKUP('Données projet'!$B$9,Paramètres!$A$1:$I$89,3,0)*0.475*44/12</f>
        <v>1.8078392084176974E-7</v>
      </c>
      <c r="AC105" s="22">
        <f t="shared" si="57"/>
        <v>53.072372648588811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8.9420000000000019</v>
      </c>
      <c r="AI105" s="13">
        <f>IF('Données projet'!$A$62&gt;35,AI104+AH105-AQ104,IF(A105&lt;'Données projet'!$A$62,$AF$205^A105,IF(A105='Données projet'!$A$62,'Données projet'!$B$62,AI104+AH105-AQ104)))</f>
        <v>384.31600000000054</v>
      </c>
      <c r="AJ105" s="13">
        <f>AI105*VLOOKUP('Données projet'!$B$10,Paramètres!$A$1:$I$89,3,0)*VLOOKUP('Données projet'!$B$10,Paramètres!$A$1:$I$89,5,0)</f>
        <v>347.7291168000005</v>
      </c>
      <c r="AK105" s="13">
        <f t="shared" si="89"/>
        <v>81.094735802697301</v>
      </c>
      <c r="AL105" s="20">
        <f t="shared" si="58"/>
        <v>746.86820994969855</v>
      </c>
      <c r="AM105" s="59">
        <f t="shared" si="59"/>
        <v>1040.2015432830319</v>
      </c>
      <c r="AN105" s="59">
        <f ca="1">AVERAGE(OFFSET($AM$3,0,0,'Données projet'!$E$10+1,1))-AVERAGE(OFFSET($H$3,0,0,'Données projet'!$E$10+1,1))</f>
        <v>490.21869105612649</v>
      </c>
      <c r="AO105" s="59">
        <f t="shared" si="90"/>
        <v>207.08773997010911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24.081753981573542</v>
      </c>
      <c r="AV105" s="21">
        <f>EXP(-LN(2)/25)*AV104+(1-EXP(-LN(2)/25))/(LN(2)/25)*Calculateur!AQ105*Calculateur!AS105*VLOOKUP('Données projet'!$B$10,Paramètres!$A$1:$I$89,3,0)*0.475*44/12</f>
        <v>22.579717269703753</v>
      </c>
      <c r="AW105" s="21">
        <f>EXP(-LN(2)/2)*AW104+(1-EXP(-LN(2)/2))/(LN(2)/2)*AQ105*AT105*VLOOKUP('Données projet'!$B$10,Paramètres!$A$1:$I$89,3,0)*0.475*44/12</f>
        <v>0.37076252898305184</v>
      </c>
      <c r="AX105" s="21">
        <f t="shared" si="60"/>
        <v>47.032233780260341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>
        <f>BD105*VLOOKUP('Données projet'!$B$11,Paramètres!$A$1:$I$89,3,0)*VLOOKUP('Données projet'!$B$11,Paramètres!$A$1:$I$89,5,0)</f>
        <v>0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144.01698107732989</v>
      </c>
      <c r="BJ105" s="59">
        <f t="shared" si="92"/>
        <v>139.28039875117332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8.5266508286893075</v>
      </c>
      <c r="BQ105" s="21">
        <f>EXP(-LN(2)/25)*BQ104+(1-EXP(-LN(2)/25))/(LN(2)/25)*Calculateur!BL105*Calculateur!BN105*VLOOKUP('Données projet'!$B$11,Paramètres!$A$1:$I$89,3,0)*0.475*44/12</f>
        <v>45.788295288062777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54.314946116752083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-8.5265128291212022E-14</v>
      </c>
      <c r="BZ105" s="13">
        <f>BY105*VLOOKUP('Données projet'!$B$12,Paramètres!$A$1:$I$89,3,0)*VLOOKUP('Données projet'!$B$12,Paramètres!$A$1:$I$89,5,0)</f>
        <v>-6.9167072069831198E-14</v>
      </c>
      <c r="CA105" s="13" t="e">
        <f t="shared" si="93"/>
        <v>#NUM!</v>
      </c>
      <c r="CB105" s="20" t="e">
        <f t="shared" si="64"/>
        <v>#NUM!</v>
      </c>
      <c r="CC105" s="59" t="e">
        <f t="shared" si="65"/>
        <v>#NUM!</v>
      </c>
      <c r="CD105" s="59">
        <f ca="1">AVERAGE(OFFSET($CC$3,0,0,'Données projet'!$E$12+1,1))-AVERAGE(OFFSET($H$3,0,0,'Données projet'!$E$12+1,1))</f>
        <v>72.953866894533007</v>
      </c>
      <c r="CE105" s="59">
        <f t="shared" si="94"/>
        <v>60.640359826163092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0</v>
      </c>
      <c r="CL105" s="21">
        <f>EXP(-LN(2)/25)*CL104+(1-EXP(-LN(2)/25))/(LN(2)/25)*Calculateur!CG105*Calculateur!CI105*VLOOKUP('Données projet'!$B$12,Paramètres!$A$1:$I$89,3,0)*0.475*44/12</f>
        <v>11.600218313126302</v>
      </c>
      <c r="CM105" s="21">
        <f>EXP(-LN(2)/2)*CM104+(1-EXP(-LN(2)/2))/(LN(2)/2)*CG105*CJ105*VLOOKUP('Données projet'!$B$12,Paramètres!$A$1:$I$89,3,0)*0.475*44/12</f>
        <v>0.39132916286297958</v>
      </c>
      <c r="CN105" s="22">
        <f t="shared" si="66"/>
        <v>11.991547475989281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4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419.51980505776862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-1.7053025658242404E-13</v>
      </c>
      <c r="O106" s="13">
        <f>N106*VLOOKUP('Données projet'!$B$9,Paramètres!$A$1:$I$89,3,0)*VLOOKUP('Données projet'!$B$9,Paramètres!$A$1:$I$89,5,0)</f>
        <v>-1.0197709343628959E-13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235.90365770026909</v>
      </c>
      <c r="T106" s="59">
        <f t="shared" si="88"/>
        <v>348.09952585694253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42.196714392466362</v>
      </c>
      <c r="AA106" s="21">
        <f>EXP(-LN(2)/25)*AA105+(1-EXP(-LN(2)/25))/(LN(2)/25)*Calculateur!V106*Calculateur!X106*VLOOKUP('Données projet'!$B$9,Paramètres!$A$1:$I$89,3,0)*0.475*44/12</f>
        <v>9.7573397177532559</v>
      </c>
      <c r="AB106" s="21">
        <f>EXP(-LN(2)/2)*AB105+(1-EXP(-LN(2)/2))/(LN(2)/2)*V106*Y106*VLOOKUP('Données projet'!$B$9,Paramètres!$A$1:$I$89,3,0)*0.475*44/12</f>
        <v>1.278335363567074E-7</v>
      </c>
      <c r="AC106" s="22">
        <f t="shared" si="57"/>
        <v>51.954054238053153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8.9420000000000019</v>
      </c>
      <c r="AI106" s="13">
        <f>IF('Données projet'!$A$62&gt;35,AI105+AH106-AQ105,IF(A106&lt;'Données projet'!$A$62,$AF$205^A106,IF(A106='Données projet'!$A$62,'Données projet'!$B$62,AI105+AH106-AQ105)))</f>
        <v>393.25800000000055</v>
      </c>
      <c r="AJ106" s="13">
        <f>AI106*VLOOKUP('Données projet'!$B$10,Paramètres!$A$1:$I$89,3,0)*VLOOKUP('Données projet'!$B$10,Paramètres!$A$1:$I$89,5,0)</f>
        <v>355.81983840000049</v>
      </c>
      <c r="AK106" s="13">
        <f t="shared" si="89"/>
        <v>82.759723795307863</v>
      </c>
      <c r="AL106" s="20">
        <f t="shared" si="58"/>
        <v>763.85940415682887</v>
      </c>
      <c r="AM106" s="59">
        <f t="shared" si="59"/>
        <v>1057.1927374901622</v>
      </c>
      <c r="AN106" s="59">
        <f ca="1">AVERAGE(OFFSET($AM$3,0,0,'Données projet'!$E$10+1,1))-AVERAGE(OFFSET($H$3,0,0,'Données projet'!$E$10+1,1))</f>
        <v>490.21869105612649</v>
      </c>
      <c r="AO106" s="59">
        <f t="shared" si="90"/>
        <v>207.08773997010911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23.60952547441445</v>
      </c>
      <c r="AV106" s="21">
        <f>EXP(-LN(2)/25)*AV105+(1-EXP(-LN(2)/25))/(LN(2)/25)*Calculateur!AQ106*Calculateur!AS106*VLOOKUP('Données projet'!$B$10,Paramètres!$A$1:$I$89,3,0)*0.475*44/12</f>
        <v>21.96227371354798</v>
      </c>
      <c r="AW106" s="21">
        <f>EXP(-LN(2)/2)*AW105+(1-EXP(-LN(2)/2))/(LN(2)/2)*AQ106*AT106*VLOOKUP('Données projet'!$B$10,Paramètres!$A$1:$I$89,3,0)*0.475*44/12</f>
        <v>0.26216869845378982</v>
      </c>
      <c r="AX106" s="21">
        <f t="shared" si="60"/>
        <v>45.833967886416218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>
        <f>BD106*VLOOKUP('Données projet'!$B$11,Paramètres!$A$1:$I$89,3,0)*VLOOKUP('Données projet'!$B$11,Paramètres!$A$1:$I$89,5,0)</f>
        <v>0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144.01698107732989</v>
      </c>
      <c r="BJ106" s="59">
        <f t="shared" si="92"/>
        <v>139.28039875117332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8.3594484066821853</v>
      </c>
      <c r="BQ106" s="21">
        <f>EXP(-LN(2)/25)*BQ105+(1-EXP(-LN(2)/25))/(LN(2)/25)*Calculateur!BL106*Calculateur!BN106*VLOOKUP('Données projet'!$B$11,Paramètres!$A$1:$I$89,3,0)*0.475*44/12</f>
        <v>44.536211945508903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52.895660352191086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-8.5265128291212022E-14</v>
      </c>
      <c r="BZ106" s="13">
        <f>BY106*VLOOKUP('Données projet'!$B$12,Paramètres!$A$1:$I$89,3,0)*VLOOKUP('Données projet'!$B$12,Paramètres!$A$1:$I$89,5,0)</f>
        <v>-6.9167072069831198E-14</v>
      </c>
      <c r="CA106" s="13" t="e">
        <f t="shared" si="93"/>
        <v>#NUM!</v>
      </c>
      <c r="CB106" s="20" t="e">
        <f t="shared" si="64"/>
        <v>#NUM!</v>
      </c>
      <c r="CC106" s="59" t="e">
        <f t="shared" si="65"/>
        <v>#NUM!</v>
      </c>
      <c r="CD106" s="59">
        <f ca="1">AVERAGE(OFFSET($CC$3,0,0,'Données projet'!$E$12+1,1))-AVERAGE(OFFSET($H$3,0,0,'Données projet'!$E$12+1,1))</f>
        <v>72.953866894533007</v>
      </c>
      <c r="CE106" s="59">
        <f t="shared" si="94"/>
        <v>60.640359826163092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0</v>
      </c>
      <c r="CL106" s="21">
        <f>EXP(-LN(2)/25)*CL105+(1-EXP(-LN(2)/25))/(LN(2)/25)*Calculateur!CG106*Calculateur!CI106*VLOOKUP('Données projet'!$B$12,Paramètres!$A$1:$I$89,3,0)*0.475*44/12</f>
        <v>11.283009733324894</v>
      </c>
      <c r="CM106" s="21">
        <f>EXP(-LN(2)/2)*CM105+(1-EXP(-LN(2)/2))/(LN(2)/2)*CG106*CJ106*VLOOKUP('Données projet'!$B$12,Paramètres!$A$1:$I$89,3,0)*0.475*44/12</f>
        <v>0.27671150473646772</v>
      </c>
      <c r="CN106" s="22">
        <f t="shared" si="66"/>
        <v>11.559721238061362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4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420.71286765915517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-1.7053025658242404E-13</v>
      </c>
      <c r="O107" s="13">
        <f>N107*VLOOKUP('Données projet'!$B$9,Paramètres!$A$1:$I$89,3,0)*VLOOKUP('Données projet'!$B$9,Paramètres!$A$1:$I$89,5,0)</f>
        <v>-1.0197709343628959E-13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235.90365770026909</v>
      </c>
      <c r="T107" s="59">
        <f t="shared" si="88"/>
        <v>348.09952585694253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41.369262560684511</v>
      </c>
      <c r="AA107" s="21">
        <f>EXP(-LN(2)/25)*AA106+(1-EXP(-LN(2)/25))/(LN(2)/25)*Calculateur!V107*Calculateur!X107*VLOOKUP('Données projet'!$B$9,Paramètres!$A$1:$I$89,3,0)*0.475*44/12</f>
        <v>9.4905247500550978</v>
      </c>
      <c r="AB107" s="21">
        <f>EXP(-LN(2)/2)*AB106+(1-EXP(-LN(2)/2))/(LN(2)/2)*V107*Y107*VLOOKUP('Données projet'!$B$9,Paramètres!$A$1:$I$89,3,0)*0.475*44/12</f>
        <v>9.0391960420884868E-8</v>
      </c>
      <c r="AC107" s="22">
        <f t="shared" si="57"/>
        <v>50.859787401131562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>
        <f>VLOOKUP(A107,'Données projet'!$A$61:$I$81,2,0)</f>
        <v>402.2</v>
      </c>
      <c r="AG107" s="12">
        <f>VLOOKUP(A107,'Données projet'!$A$61:$I$81,9,0)</f>
        <v>8.9420000000000019</v>
      </c>
      <c r="AH107" s="12">
        <f t="array" ref="AH107">INDEX(AG:AG,MIN(IF(ISNUMBER(AG107:AG303),ROW(AG107:AG303),"")))</f>
        <v>8.9420000000000019</v>
      </c>
      <c r="AI107" s="13">
        <f>IF('Données projet'!$A$62&gt;35,AI106+AH107-AQ106,IF(A107&lt;'Données projet'!$A$62,$AF$205^A107,IF(A107='Données projet'!$A$62,'Données projet'!$B$62,AI106+AH107-AQ106)))</f>
        <v>402.20000000000056</v>
      </c>
      <c r="AJ107" s="13">
        <f>AI107*VLOOKUP('Données projet'!$B$10,Paramètres!$A$1:$I$89,3,0)*VLOOKUP('Données projet'!$B$10,Paramètres!$A$1:$I$89,5,0)</f>
        <v>363.91056000000049</v>
      </c>
      <c r="AK107" s="13">
        <f t="shared" si="89"/>
        <v>84.42031043556446</v>
      </c>
      <c r="AL107" s="20">
        <f t="shared" si="58"/>
        <v>780.84293267527562</v>
      </c>
      <c r="AM107" s="59">
        <f t="shared" si="59"/>
        <v>1074.176266008609</v>
      </c>
      <c r="AN107" s="59">
        <f ca="1">AVERAGE(OFFSET($AM$3,0,0,'Données projet'!$E$10+1,1))-AVERAGE(OFFSET($H$3,0,0,'Données projet'!$E$10+1,1))</f>
        <v>490.21869105612649</v>
      </c>
      <c r="AO107" s="59">
        <f t="shared" si="90"/>
        <v>207.08773997010911</v>
      </c>
      <c r="AP107" s="15">
        <f>IF(ISNA(VLOOKUP(A107,'Données projet'!$A$61:$I$81,3,0)),0,VLOOKUP(A107,'Données projet'!$A$61:$I$81,3,0))</f>
        <v>8</v>
      </c>
      <c r="AQ107" s="15">
        <f>IF(ISNA(VLOOKUP(A107,'Données projet'!$A$61:$I$81,4,0)),0,VLOOKUP(A107,'Données projet'!$A$61:$I$81,4,0))</f>
        <v>66.089999999999975</v>
      </c>
      <c r="AR107" s="16">
        <f>IF(ISNA(VLOOKUP(A107,'Données projet'!$A$61:$I$81,5,0)),0%,VLOOKUP(A107,'Données projet'!$A$61:$I$81,5,0)*VLOOKUP('Données projet'!$B$10,Paramètres!$A$1:$I$89,7,0))</f>
        <v>0.15049999999999999</v>
      </c>
      <c r="AS107" s="16">
        <f>IF(ISNA(VLOOKUP(A107,'Données projet'!$A$61:$I$81,6,0)),0%,VLOOKUP(A107,'Données projet'!$A$61:$I$81,6,0)*VLOOKUP('Données projet'!$B$10,Paramètres!$A$1:$I$89,7,0))</f>
        <v>8.6000000000000007E-2</v>
      </c>
      <c r="AT107" s="16">
        <f>IF(ISNA(VLOOKUP(A107,'Données projet'!$A$61:$I$81,7,0)),0%,VLOOKUP(A107,'Données projet'!$A$61:$I$81,7,0))</f>
        <v>0.1</v>
      </c>
      <c r="AU107" s="21">
        <f>EXP(-LN(2)/35)*AU106+(1-EXP(-LN(2)/35))/(LN(2)/35)*AQ107*AR107*VLOOKUP('Données projet'!$B$10,Paramètres!$A$1:$I$89,3,0)*0.475*44/12</f>
        <v>33.09538580102793</v>
      </c>
      <c r="AV107" s="21">
        <f>EXP(-LN(2)/25)*AV106+(1-EXP(-LN(2)/25))/(LN(2)/25)*Calculateur!AQ107*Calculateur!AS107*VLOOKUP('Données projet'!$B$10,Paramètres!$A$1:$I$89,3,0)*0.475*44/12</f>
        <v>27.024374978935796</v>
      </c>
      <c r="AW107" s="21">
        <f>EXP(-LN(2)/2)*AW106+(1-EXP(-LN(2)/2))/(LN(2)/2)*AQ107*AT107*VLOOKUP('Données projet'!$B$10,Paramètres!$A$1:$I$89,3,0)*0.475*44/12</f>
        <v>5.8275053982732432</v>
      </c>
      <c r="AX107" s="21">
        <f t="shared" si="60"/>
        <v>65.947266178236973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>
        <f>BD107*VLOOKUP('Données projet'!$B$11,Paramètres!$A$1:$I$89,3,0)*VLOOKUP('Données projet'!$B$11,Paramètres!$A$1:$I$89,5,0)</f>
        <v>0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144.01698107732989</v>
      </c>
      <c r="BJ107" s="59">
        <f t="shared" si="92"/>
        <v>139.28039875117332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8.1955247221872156</v>
      </c>
      <c r="BQ107" s="21">
        <f>EXP(-LN(2)/25)*BQ106+(1-EXP(-LN(2)/25))/(LN(2)/25)*Calculateur!BL107*Calculateur!BN107*VLOOKUP('Données projet'!$B$11,Paramètres!$A$1:$I$89,3,0)*0.475*44/12</f>
        <v>43.318366887801368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51.513891609988583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-8.5265128291212022E-14</v>
      </c>
      <c r="BZ107" s="13">
        <f>BY107*VLOOKUP('Données projet'!$B$12,Paramètres!$A$1:$I$89,3,0)*VLOOKUP('Données projet'!$B$12,Paramètres!$A$1:$I$89,5,0)</f>
        <v>-6.9167072069831198E-14</v>
      </c>
      <c r="CA107" s="13" t="e">
        <f t="shared" si="93"/>
        <v>#NUM!</v>
      </c>
      <c r="CB107" s="20" t="e">
        <f t="shared" si="64"/>
        <v>#NUM!</v>
      </c>
      <c r="CC107" s="59" t="e">
        <f t="shared" si="65"/>
        <v>#NUM!</v>
      </c>
      <c r="CD107" s="59">
        <f ca="1">AVERAGE(OFFSET($CC$3,0,0,'Données projet'!$E$12+1,1))-AVERAGE(OFFSET($H$3,0,0,'Données projet'!$E$12+1,1))</f>
        <v>72.953866894533007</v>
      </c>
      <c r="CE107" s="59">
        <f t="shared" si="94"/>
        <v>60.640359826163092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0</v>
      </c>
      <c r="CL107" s="21">
        <f>EXP(-LN(2)/25)*CL106+(1-EXP(-LN(2)/25))/(LN(2)/25)*Calculateur!CG107*Calculateur!CI107*VLOOKUP('Données projet'!$B$12,Paramètres!$A$1:$I$89,3,0)*0.475*44/12</f>
        <v>10.97447523881943</v>
      </c>
      <c r="CM107" s="21">
        <f>EXP(-LN(2)/2)*CM106+(1-EXP(-LN(2)/2))/(LN(2)/2)*CG107*CJ107*VLOOKUP('Données projet'!$B$12,Paramètres!$A$1:$I$89,3,0)*0.475*44/12</f>
        <v>0.19566458143148979</v>
      </c>
      <c r="CN107" s="22">
        <f t="shared" si="66"/>
        <v>11.17013982025092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4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421.90565942784269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-1.7053025658242404E-13</v>
      </c>
      <c r="O108" s="13">
        <f>N108*VLOOKUP('Données projet'!$B$9,Paramètres!$A$1:$I$89,3,0)*VLOOKUP('Données projet'!$B$9,Paramètres!$A$1:$I$89,5,0)</f>
        <v>-1.0197709343628959E-13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235.90365770026909</v>
      </c>
      <c r="T108" s="59">
        <f t="shared" si="88"/>
        <v>348.09952585694253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40.558036554628124</v>
      </c>
      <c r="AA108" s="21">
        <f>EXP(-LN(2)/25)*AA107+(1-EXP(-LN(2)/25))/(LN(2)/25)*Calculateur!V108*Calculateur!X108*VLOOKUP('Données projet'!$B$9,Paramètres!$A$1:$I$89,3,0)*0.475*44/12</f>
        <v>9.2310058516798357</v>
      </c>
      <c r="AB108" s="21">
        <f>EXP(-LN(2)/2)*AB107+(1-EXP(-LN(2)/2))/(LN(2)/2)*V108*Y108*VLOOKUP('Données projet'!$B$9,Paramètres!$A$1:$I$89,3,0)*0.475*44/12</f>
        <v>6.3916768178353701E-8</v>
      </c>
      <c r="AC108" s="22">
        <f t="shared" si="57"/>
        <v>49.789042470224722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8.8449999999999989</v>
      </c>
      <c r="AI108" s="13">
        <f>IF('Données projet'!$A$62&gt;35,AI107+AH108-AQ107,IF(A108&lt;'Données projet'!$A$62,$AF$205^A108,IF(A108='Données projet'!$A$62,'Données projet'!$B$62,AI107+AH108-AQ107)))</f>
        <v>344.95500000000055</v>
      </c>
      <c r="AJ108" s="13">
        <f>AI108*VLOOKUP('Données projet'!$B$10,Paramètres!$A$1:$I$89,3,0)*VLOOKUP('Données projet'!$B$10,Paramètres!$A$1:$I$89,5,0)</f>
        <v>312.11528400000049</v>
      </c>
      <c r="AK108" s="13">
        <f t="shared" si="89"/>
        <v>73.71041067221141</v>
      </c>
      <c r="AL108" s="20">
        <f t="shared" si="58"/>
        <v>671.97975155410234</v>
      </c>
      <c r="AM108" s="59">
        <f t="shared" si="59"/>
        <v>965.31308488743571</v>
      </c>
      <c r="AN108" s="59">
        <f ca="1">AVERAGE(OFFSET($AM$3,0,0,'Données projet'!$E$10+1,1))-AVERAGE(OFFSET($H$3,0,0,'Données projet'!$E$10+1,1))</f>
        <v>490.21869105612649</v>
      </c>
      <c r="AO108" s="59">
        <f t="shared" si="90"/>
        <v>207.08773997010911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32.44640547166189</v>
      </c>
      <c r="AV108" s="21">
        <f>EXP(-LN(2)/25)*AV107+(1-EXP(-LN(2)/25))/(LN(2)/25)*Calculateur!AQ108*Calculateur!AS108*VLOOKUP('Données projet'!$B$10,Paramètres!$A$1:$I$89,3,0)*0.475*44/12</f>
        <v>26.285392023986681</v>
      </c>
      <c r="AW108" s="21">
        <f>EXP(-LN(2)/2)*AW107+(1-EXP(-LN(2)/2))/(LN(2)/2)*AQ108*AT108*VLOOKUP('Données projet'!$B$10,Paramètres!$A$1:$I$89,3,0)*0.475*44/12</f>
        <v>4.1206685845202227</v>
      </c>
      <c r="AX108" s="21">
        <f t="shared" si="60"/>
        <v>62.852466080168796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>
        <f>BD108*VLOOKUP('Données projet'!$B$11,Paramètres!$A$1:$I$89,3,0)*VLOOKUP('Données projet'!$B$11,Paramètres!$A$1:$I$89,5,0)</f>
        <v>0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144.01698107732989</v>
      </c>
      <c r="BJ108" s="59">
        <f t="shared" si="92"/>
        <v>139.28039875117332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8.0348154811616173</v>
      </c>
      <c r="BQ108" s="21">
        <f>EXP(-LN(2)/25)*BQ107+(1-EXP(-LN(2)/25))/(LN(2)/25)*Calculateur!BL108*Calculateur!BN108*VLOOKUP('Données projet'!$B$11,Paramètres!$A$1:$I$89,3,0)*0.475*44/12</f>
        <v>42.13382386724053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50.168639348402145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-8.5265128291212022E-14</v>
      </c>
      <c r="BZ108" s="13">
        <f>BY108*VLOOKUP('Données projet'!$B$12,Paramètres!$A$1:$I$89,3,0)*VLOOKUP('Données projet'!$B$12,Paramètres!$A$1:$I$89,5,0)</f>
        <v>-6.9167072069831198E-14</v>
      </c>
      <c r="CA108" s="13" t="e">
        <f t="shared" si="93"/>
        <v>#NUM!</v>
      </c>
      <c r="CB108" s="20" t="e">
        <f t="shared" si="64"/>
        <v>#NUM!</v>
      </c>
      <c r="CC108" s="59" t="e">
        <f t="shared" si="65"/>
        <v>#NUM!</v>
      </c>
      <c r="CD108" s="59">
        <f ca="1">AVERAGE(OFFSET($CC$3,0,0,'Données projet'!$E$12+1,1))-AVERAGE(OFFSET($H$3,0,0,'Données projet'!$E$12+1,1))</f>
        <v>72.953866894533007</v>
      </c>
      <c r="CE108" s="59">
        <f t="shared" si="94"/>
        <v>60.640359826163092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0</v>
      </c>
      <c r="CL108" s="21">
        <f>EXP(-LN(2)/25)*CL107+(1-EXP(-LN(2)/25))/(LN(2)/25)*Calculateur!CG108*Calculateur!CI108*VLOOKUP('Données projet'!$B$12,Paramètres!$A$1:$I$89,3,0)*0.475*44/12</f>
        <v>10.674377636291343</v>
      </c>
      <c r="CM108" s="21">
        <f>EXP(-LN(2)/2)*CM107+(1-EXP(-LN(2)/2))/(LN(2)/2)*CG108*CJ108*VLOOKUP('Données projet'!$B$12,Paramètres!$A$1:$I$89,3,0)*0.475*44/12</f>
        <v>0.13835575236823386</v>
      </c>
      <c r="CN108" s="22">
        <f t="shared" si="66"/>
        <v>10.812733388659577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4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423.09818324191957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-1.7053025658242404E-13</v>
      </c>
      <c r="O109" s="13">
        <f>N109*VLOOKUP('Données projet'!$B$9,Paramètres!$A$1:$I$89,3,0)*VLOOKUP('Données projet'!$B$9,Paramètres!$A$1:$I$89,5,0)</f>
        <v>-1.0197709343628959E-13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235.90365770026909</v>
      </c>
      <c r="T109" s="59">
        <f t="shared" si="88"/>
        <v>348.09952585694253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39.762718195751496</v>
      </c>
      <c r="AA109" s="21">
        <f>EXP(-LN(2)/25)*AA108+(1-EXP(-LN(2)/25))/(LN(2)/25)*Calculateur!V109*Calculateur!X109*VLOOKUP('Données projet'!$B$9,Paramètres!$A$1:$I$89,3,0)*0.475*44/12</f>
        <v>8.97858351122815</v>
      </c>
      <c r="AB109" s="21">
        <f>EXP(-LN(2)/2)*AB108+(1-EXP(-LN(2)/2))/(LN(2)/2)*V109*Y109*VLOOKUP('Données projet'!$B$9,Paramètres!$A$1:$I$89,3,0)*0.475*44/12</f>
        <v>4.5195980210442434E-8</v>
      </c>
      <c r="AC109" s="22">
        <f t="shared" si="57"/>
        <v>48.74130175217563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8.8449999999999989</v>
      </c>
      <c r="AI109" s="13">
        <f>IF('Données projet'!$A$62&gt;35,AI108+AH109-AQ108,IF(A109&lt;'Données projet'!$A$62,$AF$205^A109,IF(A109='Données projet'!$A$62,'Données projet'!$B$62,AI108+AH109-AQ108)))</f>
        <v>353.80000000000052</v>
      </c>
      <c r="AJ109" s="13">
        <f>AI109*VLOOKUP('Données projet'!$B$10,Paramètres!$A$1:$I$89,3,0)*VLOOKUP('Données projet'!$B$10,Paramètres!$A$1:$I$89,5,0)</f>
        <v>320.11824000000047</v>
      </c>
      <c r="AK109" s="13">
        <f t="shared" si="89"/>
        <v>75.377955265343587</v>
      </c>
      <c r="AL109" s="20">
        <f t="shared" si="58"/>
        <v>688.82254008714096</v>
      </c>
      <c r="AM109" s="59">
        <f t="shared" si="59"/>
        <v>982.15587342047434</v>
      </c>
      <c r="AN109" s="59">
        <f ca="1">AVERAGE(OFFSET($AM$3,0,0,'Données projet'!$E$10+1,1))-AVERAGE(OFFSET($H$3,0,0,'Données projet'!$E$10+1,1))</f>
        <v>490.21869105612649</v>
      </c>
      <c r="AO109" s="59">
        <f t="shared" si="90"/>
        <v>207.08773997010911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31.810151250715805</v>
      </c>
      <c r="AV109" s="21">
        <f>EXP(-LN(2)/25)*AV108+(1-EXP(-LN(2)/25))/(LN(2)/25)*Calculateur!AQ109*Calculateur!AS109*VLOOKUP('Données projet'!$B$10,Paramètres!$A$1:$I$89,3,0)*0.475*44/12</f>
        <v>25.566616596802074</v>
      </c>
      <c r="AW109" s="21">
        <f>EXP(-LN(2)/2)*AW108+(1-EXP(-LN(2)/2))/(LN(2)/2)*AQ109*AT109*VLOOKUP('Données projet'!$B$10,Paramètres!$A$1:$I$89,3,0)*0.475*44/12</f>
        <v>2.9137526991366216</v>
      </c>
      <c r="AX109" s="21">
        <f t="shared" si="60"/>
        <v>60.290520546654506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>
        <f>BD109*VLOOKUP('Données projet'!$B$11,Paramètres!$A$1:$I$89,3,0)*VLOOKUP('Données projet'!$B$11,Paramètres!$A$1:$I$89,5,0)</f>
        <v>0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144.01698107732989</v>
      </c>
      <c r="BJ109" s="59">
        <f t="shared" si="92"/>
        <v>139.28039875117332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7.8772576503295726</v>
      </c>
      <c r="BQ109" s="21">
        <f>EXP(-LN(2)/25)*BQ108+(1-EXP(-LN(2)/25))/(LN(2)/25)*Calculateur!BL109*Calculateur!BN109*VLOOKUP('Données projet'!$B$11,Paramètres!$A$1:$I$89,3,0)*0.475*44/12</f>
        <v>40.98167223786934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48.858929888198915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-8.5265128291212022E-14</v>
      </c>
      <c r="BZ109" s="13">
        <f>BY109*VLOOKUP('Données projet'!$B$12,Paramètres!$A$1:$I$89,3,0)*VLOOKUP('Données projet'!$B$12,Paramètres!$A$1:$I$89,5,0)</f>
        <v>-6.9167072069831198E-14</v>
      </c>
      <c r="CA109" s="13" t="e">
        <f t="shared" si="93"/>
        <v>#NUM!</v>
      </c>
      <c r="CB109" s="20" t="e">
        <f t="shared" si="64"/>
        <v>#NUM!</v>
      </c>
      <c r="CC109" s="59" t="e">
        <f t="shared" si="65"/>
        <v>#NUM!</v>
      </c>
      <c r="CD109" s="59">
        <f ca="1">AVERAGE(OFFSET($CC$3,0,0,'Données projet'!$E$12+1,1))-AVERAGE(OFFSET($H$3,0,0,'Données projet'!$E$12+1,1))</f>
        <v>72.953866894533007</v>
      </c>
      <c r="CE109" s="59">
        <f t="shared" si="94"/>
        <v>60.640359826163092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0</v>
      </c>
      <c r="CL109" s="21">
        <f>EXP(-LN(2)/25)*CL108+(1-EXP(-LN(2)/25))/(LN(2)/25)*Calculateur!CG109*Calculateur!CI109*VLOOKUP('Données projet'!$B$12,Paramètres!$A$1:$I$89,3,0)*0.475*44/12</f>
        <v>10.382486218485832</v>
      </c>
      <c r="CM109" s="21">
        <f>EXP(-LN(2)/2)*CM108+(1-EXP(-LN(2)/2))/(LN(2)/2)*CG109*CJ109*VLOOKUP('Données projet'!$B$12,Paramètres!$A$1:$I$89,3,0)*0.475*44/12</f>
        <v>9.7832290715744896E-2</v>
      </c>
      <c r="CN109" s="22">
        <f t="shared" si="66"/>
        <v>10.480318509201577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4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424.29044192203901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-1.7053025658242404E-13</v>
      </c>
      <c r="O110" s="13">
        <f>N110*VLOOKUP('Données projet'!$B$9,Paramètres!$A$1:$I$89,3,0)*VLOOKUP('Données projet'!$B$9,Paramètres!$A$1:$I$89,5,0)</f>
        <v>-1.0197709343628959E-13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235.90365770026909</v>
      </c>
      <c r="T110" s="59">
        <f t="shared" si="88"/>
        <v>348.09952585694253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38.98299554479614</v>
      </c>
      <c r="AA110" s="21">
        <f>EXP(-LN(2)/25)*AA109+(1-EXP(-LN(2)/25))/(LN(2)/25)*Calculateur!V110*Calculateur!X110*VLOOKUP('Données projet'!$B$9,Paramètres!$A$1:$I$89,3,0)*0.475*44/12</f>
        <v>8.733063672950431</v>
      </c>
      <c r="AB110" s="21">
        <f>EXP(-LN(2)/2)*AB109+(1-EXP(-LN(2)/2))/(LN(2)/2)*V110*Y110*VLOOKUP('Données projet'!$B$9,Paramètres!$A$1:$I$89,3,0)*0.475*44/12</f>
        <v>3.195838408917685E-8</v>
      </c>
      <c r="AC110" s="22">
        <f t="shared" si="57"/>
        <v>47.716059249704955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8.8449999999999989</v>
      </c>
      <c r="AI110" s="13">
        <f>IF('Données projet'!$A$62&gt;35,AI109+AH110-AQ109,IF(A110&lt;'Données projet'!$A$62,$AF$205^A110,IF(A110='Données projet'!$A$62,'Données projet'!$B$62,AI109+AH110-AQ109)))</f>
        <v>362.64500000000055</v>
      </c>
      <c r="AJ110" s="13">
        <f>AI110*VLOOKUP('Données projet'!$B$10,Paramètres!$A$1:$I$89,3,0)*VLOOKUP('Données projet'!$B$10,Paramètres!$A$1:$I$89,5,0)</f>
        <v>328.12119600000045</v>
      </c>
      <c r="AK110" s="13">
        <f t="shared" si="89"/>
        <v>77.040653823854953</v>
      </c>
      <c r="AL110" s="20">
        <f t="shared" si="58"/>
        <v>705.65688844321483</v>
      </c>
      <c r="AM110" s="59">
        <f t="shared" si="59"/>
        <v>998.9902217765482</v>
      </c>
      <c r="AN110" s="59">
        <f ca="1">AVERAGE(OFFSET($AM$3,0,0,'Données projet'!$E$10+1,1))-AVERAGE(OFFSET($H$3,0,0,'Données projet'!$E$10+1,1))</f>
        <v>490.21869105612649</v>
      </c>
      <c r="AO110" s="59">
        <f t="shared" si="90"/>
        <v>207.08773997010911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31.186373586965715</v>
      </c>
      <c r="AV110" s="21">
        <f>EXP(-LN(2)/25)*AV109+(1-EXP(-LN(2)/25))/(LN(2)/25)*Calculateur!AQ110*Calculateur!AS110*VLOOKUP('Données projet'!$B$10,Paramètres!$A$1:$I$89,3,0)*0.475*44/12</f>
        <v>24.867496121472588</v>
      </c>
      <c r="AW110" s="21">
        <f>EXP(-LN(2)/2)*AW109+(1-EXP(-LN(2)/2))/(LN(2)/2)*AQ110*AT110*VLOOKUP('Données projet'!$B$10,Paramètres!$A$1:$I$89,3,0)*0.475*44/12</f>
        <v>2.0603342922601113</v>
      </c>
      <c r="AX110" s="21">
        <f t="shared" si="60"/>
        <v>58.114204000698408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>
        <f>BD110*VLOOKUP('Données projet'!$B$11,Paramètres!$A$1:$I$89,3,0)*VLOOKUP('Données projet'!$B$11,Paramètres!$A$1:$I$89,5,0)</f>
        <v>0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144.01698107732989</v>
      </c>
      <c r="BJ110" s="59">
        <f t="shared" si="92"/>
        <v>139.28039875117332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7.722789432459356</v>
      </c>
      <c r="BQ110" s="21">
        <f>EXP(-LN(2)/25)*BQ109+(1-EXP(-LN(2)/25))/(LN(2)/25)*Calculateur!BL110*Calculateur!BN110*VLOOKUP('Données projet'!$B$11,Paramètres!$A$1:$I$89,3,0)*0.475*44/12</f>
        <v>39.861026255392325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47.583815687851683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-8.5265128291212022E-14</v>
      </c>
      <c r="BZ110" s="13">
        <f>BY110*VLOOKUP('Données projet'!$B$12,Paramètres!$A$1:$I$89,3,0)*VLOOKUP('Données projet'!$B$12,Paramètres!$A$1:$I$89,5,0)</f>
        <v>-6.9167072069831198E-14</v>
      </c>
      <c r="CA110" s="13" t="e">
        <f t="shared" si="93"/>
        <v>#NUM!</v>
      </c>
      <c r="CB110" s="20" t="e">
        <f t="shared" si="64"/>
        <v>#NUM!</v>
      </c>
      <c r="CC110" s="59" t="e">
        <f t="shared" si="65"/>
        <v>#NUM!</v>
      </c>
      <c r="CD110" s="59">
        <f ca="1">AVERAGE(OFFSET($CC$3,0,0,'Données projet'!$E$12+1,1))-AVERAGE(OFFSET($H$3,0,0,'Données projet'!$E$12+1,1))</f>
        <v>72.953866894533007</v>
      </c>
      <c r="CE110" s="59">
        <f t="shared" si="94"/>
        <v>60.640359826163092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0</v>
      </c>
      <c r="CL110" s="21">
        <f>EXP(-LN(2)/25)*CL109+(1-EXP(-LN(2)/25))/(LN(2)/25)*Calculateur!CG110*Calculateur!CI110*VLOOKUP('Données projet'!$B$12,Paramètres!$A$1:$I$89,3,0)*0.475*44/12</f>
        <v>10.098576586850116</v>
      </c>
      <c r="CM110" s="21">
        <f>EXP(-LN(2)/2)*CM109+(1-EXP(-LN(2)/2))/(LN(2)/2)*CG110*CJ110*VLOOKUP('Données projet'!$B$12,Paramètres!$A$1:$I$89,3,0)*0.475*44/12</f>
        <v>6.9177876184116929E-2</v>
      </c>
      <c r="CN110" s="22">
        <f t="shared" si="66"/>
        <v>10.167754463034234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4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425.48243823309122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-1.7053025658242404E-13</v>
      </c>
      <c r="O111" s="13">
        <f>N111*VLOOKUP('Données projet'!$B$9,Paramètres!$A$1:$I$89,3,0)*VLOOKUP('Données projet'!$B$9,Paramètres!$A$1:$I$89,5,0)</f>
        <v>-1.0197709343628959E-13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235.90365770026909</v>
      </c>
      <c r="T111" s="59">
        <f t="shared" si="88"/>
        <v>348.09952585694253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38.218562779442159</v>
      </c>
      <c r="AA111" s="21">
        <f>EXP(-LN(2)/25)*AA110+(1-EXP(-LN(2)/25))/(LN(2)/25)*Calculateur!V111*Calculateur!X111*VLOOKUP('Données projet'!$B$9,Paramètres!$A$1:$I$89,3,0)*0.475*44/12</f>
        <v>8.4942575875617425</v>
      </c>
      <c r="AB111" s="21">
        <f>EXP(-LN(2)/2)*AB110+(1-EXP(-LN(2)/2))/(LN(2)/2)*V111*Y111*VLOOKUP('Données projet'!$B$9,Paramètres!$A$1:$I$89,3,0)*0.475*44/12</f>
        <v>2.2597990105221217E-8</v>
      </c>
      <c r="AC111" s="22">
        <f t="shared" si="57"/>
        <v>46.712820389601887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8.8449999999999989</v>
      </c>
      <c r="AI111" s="13">
        <f>IF('Données projet'!$A$62&gt;35,AI110+AH111-AQ110,IF(A111&lt;'Données projet'!$A$62,$AF$205^A111,IF(A111='Données projet'!$A$62,'Données projet'!$B$62,AI110+AH111-AQ110)))</f>
        <v>371.49000000000058</v>
      </c>
      <c r="AJ111" s="13">
        <f>AI111*VLOOKUP('Données projet'!$B$10,Paramètres!$A$1:$I$89,3,0)*VLOOKUP('Données projet'!$B$10,Paramètres!$A$1:$I$89,5,0)</f>
        <v>336.12415200000049</v>
      </c>
      <c r="AK111" s="13">
        <f t="shared" si="89"/>
        <v>78.698638141016232</v>
      </c>
      <c r="AL111" s="20">
        <f t="shared" si="58"/>
        <v>722.4830261622709</v>
      </c>
      <c r="AM111" s="59">
        <f t="shared" si="59"/>
        <v>1015.8163594956043</v>
      </c>
      <c r="AN111" s="59">
        <f ca="1">AVERAGE(OFFSET($AM$3,0,0,'Données projet'!$E$10+1,1))-AVERAGE(OFFSET($H$3,0,0,'Données projet'!$E$10+1,1))</f>
        <v>490.21869105612649</v>
      </c>
      <c r="AO111" s="59">
        <f t="shared" si="90"/>
        <v>207.08773997010911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30.574827822734957</v>
      </c>
      <c r="AV111" s="21">
        <f>EXP(-LN(2)/25)*AV110+(1-EXP(-LN(2)/25))/(LN(2)/25)*Calculateur!AQ111*Calculateur!AS111*VLOOKUP('Données projet'!$B$10,Paramètres!$A$1:$I$89,3,0)*0.475*44/12</f>
        <v>24.187493132306134</v>
      </c>
      <c r="AW111" s="21">
        <f>EXP(-LN(2)/2)*AW110+(1-EXP(-LN(2)/2))/(LN(2)/2)*AQ111*AT111*VLOOKUP('Données projet'!$B$10,Paramètres!$A$1:$I$89,3,0)*0.475*44/12</f>
        <v>1.4568763495683108</v>
      </c>
      <c r="AX111" s="21">
        <f t="shared" si="60"/>
        <v>56.219197304609402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>
        <f>BD111*VLOOKUP('Données projet'!$B$11,Paramètres!$A$1:$I$89,3,0)*VLOOKUP('Données projet'!$B$11,Paramètres!$A$1:$I$89,5,0)</f>
        <v>0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144.01698107732989</v>
      </c>
      <c r="BJ111" s="59">
        <f t="shared" si="92"/>
        <v>139.28039875117332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7.5713502421252645</v>
      </c>
      <c r="BQ111" s="21">
        <f>EXP(-LN(2)/25)*BQ110+(1-EXP(-LN(2)/25))/(LN(2)/25)*Calculateur!BL111*Calculateur!BN111*VLOOKUP('Données projet'!$B$11,Paramètres!$A$1:$I$89,3,0)*0.475*44/12</f>
        <v>38.771024396238353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46.342374638363616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-8.5265128291212022E-14</v>
      </c>
      <c r="BZ111" s="13">
        <f>BY111*VLOOKUP('Données projet'!$B$12,Paramètres!$A$1:$I$89,3,0)*VLOOKUP('Données projet'!$B$12,Paramètres!$A$1:$I$89,5,0)</f>
        <v>-6.9167072069831198E-14</v>
      </c>
      <c r="CA111" s="13" t="e">
        <f t="shared" si="93"/>
        <v>#NUM!</v>
      </c>
      <c r="CB111" s="20" t="e">
        <f t="shared" si="64"/>
        <v>#NUM!</v>
      </c>
      <c r="CC111" s="59" t="e">
        <f t="shared" si="65"/>
        <v>#NUM!</v>
      </c>
      <c r="CD111" s="59">
        <f ca="1">AVERAGE(OFFSET($CC$3,0,0,'Données projet'!$E$12+1,1))-AVERAGE(OFFSET($H$3,0,0,'Données projet'!$E$12+1,1))</f>
        <v>72.953866894533007</v>
      </c>
      <c r="CE111" s="59">
        <f t="shared" si="94"/>
        <v>60.640359826163092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0</v>
      </c>
      <c r="CL111" s="21">
        <f>EXP(-LN(2)/25)*CL110+(1-EXP(-LN(2)/25))/(LN(2)/25)*Calculateur!CG111*Calculateur!CI111*VLOOKUP('Données projet'!$B$12,Paramètres!$A$1:$I$89,3,0)*0.475*44/12</f>
        <v>9.8224304790216372</v>
      </c>
      <c r="CM111" s="21">
        <f>EXP(-LN(2)/2)*CM110+(1-EXP(-LN(2)/2))/(LN(2)/2)*CG111*CJ111*VLOOKUP('Données projet'!$B$12,Paramètres!$A$1:$I$89,3,0)*0.475*44/12</f>
        <v>4.8916145357872448E-2</v>
      </c>
      <c r="CN111" s="22">
        <f t="shared" si="66"/>
        <v>9.8713466243795089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4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426.67417488581191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-1.7053025658242404E-13</v>
      </c>
      <c r="O112" s="13">
        <f>N112*VLOOKUP('Données projet'!$B$9,Paramètres!$A$1:$I$89,3,0)*VLOOKUP('Données projet'!$B$9,Paramètres!$A$1:$I$89,5,0)</f>
        <v>-1.0197709343628959E-13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235.90365770026909</v>
      </c>
      <c r="T112" s="59">
        <f t="shared" si="88"/>
        <v>348.09952585694253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37.46912007435882</v>
      </c>
      <c r="AA112" s="21">
        <f>EXP(-LN(2)/25)*AA111+(1-EXP(-LN(2)/25))/(LN(2)/25)*Calculateur!V112*Calculateur!X112*VLOOKUP('Données projet'!$B$9,Paramètres!$A$1:$I$89,3,0)*0.475*44/12</f>
        <v>8.2619816671362738</v>
      </c>
      <c r="AB112" s="21">
        <f>EXP(-LN(2)/2)*AB111+(1-EXP(-LN(2)/2))/(LN(2)/2)*V112*Y112*VLOOKUP('Données projet'!$B$9,Paramètres!$A$1:$I$89,3,0)*0.475*44/12</f>
        <v>1.5979192044588425E-8</v>
      </c>
      <c r="AC112" s="22">
        <f t="shared" si="57"/>
        <v>45.731101757474285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8.8449999999999989</v>
      </c>
      <c r="AI112" s="13">
        <f>IF('Données projet'!$A$62&gt;35,AI111+AH112-AQ111,IF(A112&lt;'Données projet'!$A$62,$AF$205^A112,IF(A112='Données projet'!$A$62,'Données projet'!$B$62,AI111+AH112-AQ111)))</f>
        <v>380.3350000000006</v>
      </c>
      <c r="AJ112" s="13">
        <f>AI112*VLOOKUP('Données projet'!$B$10,Paramètres!$A$1:$I$89,3,0)*VLOOKUP('Données projet'!$B$10,Paramètres!$A$1:$I$89,5,0)</f>
        <v>344.12710800000053</v>
      </c>
      <c r="AK112" s="13">
        <f t="shared" si="89"/>
        <v>80.352033376279337</v>
      </c>
      <c r="AL112" s="20">
        <f t="shared" si="58"/>
        <v>739.30117123035416</v>
      </c>
      <c r="AM112" s="59">
        <f t="shared" si="59"/>
        <v>1032.6345045636874</v>
      </c>
      <c r="AN112" s="59">
        <f ca="1">AVERAGE(OFFSET($AM$3,0,0,'Données projet'!$E$10+1,1))-AVERAGE(OFFSET($H$3,0,0,'Données projet'!$E$10+1,1))</f>
        <v>490.21869105612649</v>
      </c>
      <c r="AO112" s="59">
        <f t="shared" si="90"/>
        <v>207.08773997010911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29.97527409793468</v>
      </c>
      <c r="AV112" s="21">
        <f>EXP(-LN(2)/25)*AV111+(1-EXP(-LN(2)/25))/(LN(2)/25)*Calculateur!AQ112*Calculateur!AS112*VLOOKUP('Données projet'!$B$10,Paramètres!$A$1:$I$89,3,0)*0.475*44/12</f>
        <v>23.526084860638239</v>
      </c>
      <c r="AW112" s="21">
        <f>EXP(-LN(2)/2)*AW111+(1-EXP(-LN(2)/2))/(LN(2)/2)*AQ112*AT112*VLOOKUP('Données projet'!$B$10,Paramètres!$A$1:$I$89,3,0)*0.475*44/12</f>
        <v>1.0301671461300557</v>
      </c>
      <c r="AX112" s="21">
        <f t="shared" si="60"/>
        <v>54.531526104702976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>
        <f>BD112*VLOOKUP('Données projet'!$B$11,Paramètres!$A$1:$I$89,3,0)*VLOOKUP('Données projet'!$B$11,Paramètres!$A$1:$I$89,5,0)</f>
        <v>0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144.01698107732989</v>
      </c>
      <c r="BJ112" s="59">
        <f t="shared" si="92"/>
        <v>139.28039875117332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7.4228806819448394</v>
      </c>
      <c r="BQ112" s="21">
        <f>EXP(-LN(2)/25)*BQ111+(1-EXP(-LN(2)/25))/(LN(2)/25)*Calculateur!BL112*Calculateur!BN112*VLOOKUP('Données projet'!$B$11,Paramètres!$A$1:$I$89,3,0)*0.475*44/12</f>
        <v>37.710828695243656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45.133709377188495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-8.5265128291212022E-14</v>
      </c>
      <c r="BZ112" s="13">
        <f>BY112*VLOOKUP('Données projet'!$B$12,Paramètres!$A$1:$I$89,3,0)*VLOOKUP('Données projet'!$B$12,Paramètres!$A$1:$I$89,5,0)</f>
        <v>-6.9167072069831198E-14</v>
      </c>
      <c r="CA112" s="13" t="e">
        <f t="shared" si="93"/>
        <v>#NUM!</v>
      </c>
      <c r="CB112" s="20" t="e">
        <f t="shared" si="64"/>
        <v>#NUM!</v>
      </c>
      <c r="CC112" s="59" t="e">
        <f t="shared" si="65"/>
        <v>#NUM!</v>
      </c>
      <c r="CD112" s="59">
        <f ca="1">AVERAGE(OFFSET($CC$3,0,0,'Données projet'!$E$12+1,1))-AVERAGE(OFFSET($H$3,0,0,'Données projet'!$E$12+1,1))</f>
        <v>72.953866894533007</v>
      </c>
      <c r="CE112" s="59">
        <f t="shared" si="94"/>
        <v>60.640359826163092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0</v>
      </c>
      <c r="CL112" s="21">
        <f>EXP(-LN(2)/25)*CL111+(1-EXP(-LN(2)/25))/(LN(2)/25)*Calculateur!CG112*Calculateur!CI112*VLOOKUP('Données projet'!$B$12,Paramètres!$A$1:$I$89,3,0)*0.475*44/12</f>
        <v>9.5538356010336205</v>
      </c>
      <c r="CM112" s="21">
        <f>EXP(-LN(2)/2)*CM111+(1-EXP(-LN(2)/2))/(LN(2)/2)*CG112*CJ112*VLOOKUP('Données projet'!$B$12,Paramètres!$A$1:$I$89,3,0)*0.475*44/12</f>
        <v>3.4588938092058465E-2</v>
      </c>
      <c r="CN112" s="22">
        <f t="shared" si="66"/>
        <v>9.588424539125679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4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427.8656545383293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-1.7053025658242404E-13</v>
      </c>
      <c r="O113" s="13">
        <f>N113*VLOOKUP('Données projet'!$B$9,Paramètres!$A$1:$I$89,3,0)*VLOOKUP('Données projet'!$B$9,Paramètres!$A$1:$I$89,5,0)</f>
        <v>-1.0197709343628959E-13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235.90365770026909</v>
      </c>
      <c r="T113" s="59">
        <f t="shared" si="88"/>
        <v>348.09952585694253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36.73437348360725</v>
      </c>
      <c r="AA113" s="21">
        <f>EXP(-LN(2)/25)*AA112+(1-EXP(-LN(2)/25))/(LN(2)/25)*Calculateur!V113*Calculateur!X113*VLOOKUP('Données projet'!$B$9,Paramètres!$A$1:$I$89,3,0)*0.475*44/12</f>
        <v>8.0360573439697003</v>
      </c>
      <c r="AB113" s="21">
        <f>EXP(-LN(2)/2)*AB112+(1-EXP(-LN(2)/2))/(LN(2)/2)*V113*Y113*VLOOKUP('Données projet'!$B$9,Paramètres!$A$1:$I$89,3,0)*0.475*44/12</f>
        <v>1.1298995052610609E-8</v>
      </c>
      <c r="AC113" s="22">
        <f t="shared" si="57"/>
        <v>44.770430838875946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8.8449999999999989</v>
      </c>
      <c r="AI113" s="13">
        <f>IF('Données projet'!$A$62&gt;35,AI112+AH113-AQ112,IF(A113&lt;'Données projet'!$A$62,$AF$205^A113,IF(A113='Données projet'!$A$62,'Données projet'!$B$62,AI112+AH113-AQ112)))</f>
        <v>389.18000000000063</v>
      </c>
      <c r="AJ113" s="13">
        <f>AI113*VLOOKUP('Données projet'!$B$10,Paramètres!$A$1:$I$89,3,0)*VLOOKUP('Données projet'!$B$10,Paramètres!$A$1:$I$89,5,0)</f>
        <v>352.13006400000057</v>
      </c>
      <c r="AK113" s="13">
        <f t="shared" si="89"/>
        <v>82.000958535583734</v>
      </c>
      <c r="AL113" s="20">
        <f t="shared" si="58"/>
        <v>756.11153091614267</v>
      </c>
      <c r="AM113" s="59">
        <f t="shared" si="59"/>
        <v>1049.444864249476</v>
      </c>
      <c r="AN113" s="59">
        <f ca="1">AVERAGE(OFFSET($AM$3,0,0,'Données projet'!$E$10+1,1))-AVERAGE(OFFSET($H$3,0,0,'Données projet'!$E$10+1,1))</f>
        <v>490.21869105612649</v>
      </c>
      <c r="AO113" s="59">
        <f t="shared" si="90"/>
        <v>207.08773997010911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29.387477255986074</v>
      </c>
      <c r="AV113" s="21">
        <f>EXP(-LN(2)/25)*AV112+(1-EXP(-LN(2)/25))/(LN(2)/25)*Calculateur!AQ113*Calculateur!AS113*VLOOKUP('Données projet'!$B$10,Paramètres!$A$1:$I$89,3,0)*0.475*44/12</f>
        <v>22.882762832941054</v>
      </c>
      <c r="AW113" s="21">
        <f>EXP(-LN(2)/2)*AW112+(1-EXP(-LN(2)/2))/(LN(2)/2)*AQ113*AT113*VLOOKUP('Données projet'!$B$10,Paramètres!$A$1:$I$89,3,0)*0.475*44/12</f>
        <v>0.7284381747841554</v>
      </c>
      <c r="AX113" s="21">
        <f t="shared" si="60"/>
        <v>52.998678263711277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>
        <f>BD113*VLOOKUP('Données projet'!$B$11,Paramètres!$A$1:$I$89,3,0)*VLOOKUP('Données projet'!$B$11,Paramètres!$A$1:$I$89,5,0)</f>
        <v>0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144.01698107732989</v>
      </c>
      <c r="BJ113" s="59">
        <f t="shared" si="92"/>
        <v>139.28039875117332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7.2773225192820625</v>
      </c>
      <c r="BQ113" s="21">
        <f>EXP(-LN(2)/25)*BQ112+(1-EXP(-LN(2)/25))/(LN(2)/25)*Calculateur!BL113*Calculateur!BN113*VLOOKUP('Données projet'!$B$11,Paramètres!$A$1:$I$89,3,0)*0.475*44/12</f>
        <v>36.679624101445924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43.95694662072799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-8.5265128291212022E-14</v>
      </c>
      <c r="BZ113" s="13">
        <f>BY113*VLOOKUP('Données projet'!$B$12,Paramètres!$A$1:$I$89,3,0)*VLOOKUP('Données projet'!$B$12,Paramètres!$A$1:$I$89,5,0)</f>
        <v>-6.9167072069831198E-14</v>
      </c>
      <c r="CA113" s="13" t="e">
        <f t="shared" si="93"/>
        <v>#NUM!</v>
      </c>
      <c r="CB113" s="20" t="e">
        <f t="shared" si="64"/>
        <v>#NUM!</v>
      </c>
      <c r="CC113" s="59" t="e">
        <f t="shared" si="65"/>
        <v>#NUM!</v>
      </c>
      <c r="CD113" s="59">
        <f ca="1">AVERAGE(OFFSET($CC$3,0,0,'Données projet'!$E$12+1,1))-AVERAGE(OFFSET($H$3,0,0,'Données projet'!$E$12+1,1))</f>
        <v>72.953866894533007</v>
      </c>
      <c r="CE113" s="59">
        <f t="shared" si="94"/>
        <v>60.640359826163092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0</v>
      </c>
      <c r="CL113" s="21">
        <f>EXP(-LN(2)/25)*CL112+(1-EXP(-LN(2)/25))/(LN(2)/25)*Calculateur!CG113*Calculateur!CI113*VLOOKUP('Données projet'!$B$12,Paramètres!$A$1:$I$89,3,0)*0.475*44/12</f>
        <v>9.2925854641089778</v>
      </c>
      <c r="CM113" s="21">
        <f>EXP(-LN(2)/2)*CM112+(1-EXP(-LN(2)/2))/(LN(2)/2)*CG113*CJ113*VLOOKUP('Données projet'!$B$12,Paramètres!$A$1:$I$89,3,0)*0.475*44/12</f>
        <v>2.4458072678936224E-2</v>
      </c>
      <c r="CN113" s="22">
        <f t="shared" si="66"/>
        <v>9.3170435367879136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4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429.05687979765457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-1.7053025658242404E-13</v>
      </c>
      <c r="O114" s="13">
        <f>N114*VLOOKUP('Données projet'!$B$9,Paramètres!$A$1:$I$89,3,0)*VLOOKUP('Données projet'!$B$9,Paramètres!$A$1:$I$89,5,0)</f>
        <v>-1.0197709343628959E-13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235.90365770026909</v>
      </c>
      <c r="T114" s="59">
        <f t="shared" si="88"/>
        <v>348.09952585694253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36.01403482534915</v>
      </c>
      <c r="AA114" s="21">
        <f>EXP(-LN(2)/25)*AA113+(1-EXP(-LN(2)/25))/(LN(2)/25)*Calculateur!V114*Calculateur!X114*VLOOKUP('Données projet'!$B$9,Paramètres!$A$1:$I$89,3,0)*0.475*44/12</f>
        <v>7.8163109333009597</v>
      </c>
      <c r="AB114" s="21">
        <f>EXP(-LN(2)/2)*AB113+(1-EXP(-LN(2)/2))/(LN(2)/2)*V114*Y114*VLOOKUP('Données projet'!$B$9,Paramètres!$A$1:$I$89,3,0)*0.475*44/12</f>
        <v>7.9895960222942126E-9</v>
      </c>
      <c r="AC114" s="22">
        <f t="shared" si="57"/>
        <v>43.830345766639709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8.8449999999999989</v>
      </c>
      <c r="AI114" s="13">
        <f>IF('Données projet'!$A$62&gt;35,AI113+AH114-AQ113,IF(A114&lt;'Données projet'!$A$62,$AF$205^A114,IF(A114='Données projet'!$A$62,'Données projet'!$B$62,AI113+AH114-AQ113)))</f>
        <v>398.02500000000066</v>
      </c>
      <c r="AJ114" s="13">
        <f>AI114*VLOOKUP('Données projet'!$B$10,Paramètres!$A$1:$I$89,3,0)*VLOOKUP('Données projet'!$B$10,Paramètres!$A$1:$I$89,5,0)</f>
        <v>360.13302000000061</v>
      </c>
      <c r="AK114" s="13">
        <f t="shared" si="89"/>
        <v>83.645526906767415</v>
      </c>
      <c r="AL114" s="20">
        <f t="shared" si="58"/>
        <v>772.91430252928774</v>
      </c>
      <c r="AM114" s="59">
        <f t="shared" si="59"/>
        <v>1066.2476358626211</v>
      </c>
      <c r="AN114" s="59">
        <f ca="1">AVERAGE(OFFSET($AM$3,0,0,'Données projet'!$E$10+1,1))-AVERAGE(OFFSET($H$3,0,0,'Données projet'!$E$10+1,1))</f>
        <v>490.21869105612649</v>
      </c>
      <c r="AO114" s="59">
        <f t="shared" si="90"/>
        <v>207.08773997010911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28.811206751587406</v>
      </c>
      <c r="AV114" s="21">
        <f>EXP(-LN(2)/25)*AV113+(1-EXP(-LN(2)/25))/(LN(2)/25)*Calculateur!AQ114*Calculateur!AS114*VLOOKUP('Données projet'!$B$10,Paramètres!$A$1:$I$89,3,0)*0.475*44/12</f>
        <v>22.257032479922085</v>
      </c>
      <c r="AW114" s="21">
        <f>EXP(-LN(2)/2)*AW113+(1-EXP(-LN(2)/2))/(LN(2)/2)*AQ114*AT114*VLOOKUP('Données projet'!$B$10,Paramètres!$A$1:$I$89,3,0)*0.475*44/12</f>
        <v>0.51508357306502783</v>
      </c>
      <c r="AX114" s="21">
        <f t="shared" si="60"/>
        <v>51.583322804574522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>
        <f>BD114*VLOOKUP('Données projet'!$B$11,Paramètres!$A$1:$I$89,3,0)*VLOOKUP('Données projet'!$B$11,Paramètres!$A$1:$I$89,5,0)</f>
        <v>0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144.01698107732989</v>
      </c>
      <c r="BJ114" s="59">
        <f t="shared" si="92"/>
        <v>139.28039875117332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7.13461866340739</v>
      </c>
      <c r="BQ114" s="21">
        <f>EXP(-LN(2)/25)*BQ113+(1-EXP(-LN(2)/25))/(LN(2)/25)*Calculateur!BL114*Calculateur!BN114*VLOOKUP('Données projet'!$B$11,Paramètres!$A$1:$I$89,3,0)*0.475*44/12</f>
        <v>35.676617851494285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42.811236514901672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-8.5265128291212022E-14</v>
      </c>
      <c r="BZ114" s="13">
        <f>BY114*VLOOKUP('Données projet'!$B$12,Paramètres!$A$1:$I$89,3,0)*VLOOKUP('Données projet'!$B$12,Paramètres!$A$1:$I$89,5,0)</f>
        <v>-6.9167072069831198E-14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72.953866894533007</v>
      </c>
      <c r="CE114" s="59">
        <f t="shared" si="94"/>
        <v>60.640359826163092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0</v>
      </c>
      <c r="CL114" s="21">
        <f>EXP(-LN(2)/25)*CL113+(1-EXP(-LN(2)/25))/(LN(2)/25)*Calculateur!CG114*Calculateur!CI114*VLOOKUP('Données projet'!$B$12,Paramètres!$A$1:$I$89,3,0)*0.475*44/12</f>
        <v>9.0384792259170865</v>
      </c>
      <c r="CM114" s="21">
        <f>EXP(-LN(2)/2)*CM113+(1-EXP(-LN(2)/2))/(LN(2)/2)*CG114*CJ114*VLOOKUP('Données projet'!$B$12,Paramètres!$A$1:$I$89,3,0)*0.475*44/12</f>
        <v>1.7294469046029232E-2</v>
      </c>
      <c r="CN114" s="22">
        <f t="shared" si="66"/>
        <v>9.0557736949631149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4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430.24785322111563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-1.7053025658242404E-13</v>
      </c>
      <c r="O115" s="13">
        <f>N115*VLOOKUP('Données projet'!$B$9,Paramètres!$A$1:$I$89,3,0)*VLOOKUP('Données projet'!$B$9,Paramètres!$A$1:$I$89,5,0)</f>
        <v>-1.0197709343628959E-13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235.90365770026909</v>
      </c>
      <c r="T115" s="59">
        <f t="shared" si="88"/>
        <v>348.09952585694253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35.307821568816294</v>
      </c>
      <c r="AA115" s="21">
        <f>EXP(-LN(2)/25)*AA114+(1-EXP(-LN(2)/25))/(LN(2)/25)*Calculateur!V115*Calculateur!X115*VLOOKUP('Données projet'!$B$9,Paramètres!$A$1:$I$89,3,0)*0.475*44/12</f>
        <v>7.6025734997879173</v>
      </c>
      <c r="AB115" s="21">
        <f>EXP(-LN(2)/2)*AB114+(1-EXP(-LN(2)/2))/(LN(2)/2)*V115*Y115*VLOOKUP('Données projet'!$B$9,Paramètres!$A$1:$I$89,3,0)*0.475*44/12</f>
        <v>5.6494975263053043E-9</v>
      </c>
      <c r="AC115" s="22">
        <f t="shared" si="57"/>
        <v>42.910395074253707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8.8449999999999989</v>
      </c>
      <c r="AI115" s="13">
        <f>IF('Données projet'!$A$62&gt;35,AI114+AH115-AQ114,IF(A115&lt;'Données projet'!$A$62,$AF$205^A115,IF(A115='Données projet'!$A$62,'Données projet'!$B$62,AI114+AH115-AQ114)))</f>
        <v>406.87000000000069</v>
      </c>
      <c r="AJ115" s="13">
        <f>AI115*VLOOKUP('Données projet'!$B$10,Paramètres!$A$1:$I$89,3,0)*VLOOKUP('Données projet'!$B$10,Paramètres!$A$1:$I$89,5,0)</f>
        <v>368.1359760000006</v>
      </c>
      <c r="AK115" s="13">
        <f t="shared" si="89"/>
        <v>85.285846455183602</v>
      </c>
      <c r="AL115" s="20">
        <f t="shared" si="58"/>
        <v>789.70967410944593</v>
      </c>
      <c r="AM115" s="59">
        <f t="shared" si="59"/>
        <v>1083.0430074427793</v>
      </c>
      <c r="AN115" s="59">
        <f ca="1">AVERAGE(OFFSET($AM$3,0,0,'Données projet'!$E$10+1,1))-AVERAGE(OFFSET($H$3,0,0,'Données projet'!$E$10+1,1))</f>
        <v>490.21869105612649</v>
      </c>
      <c r="AO115" s="59">
        <f t="shared" si="90"/>
        <v>207.08773997010911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28.246236560289695</v>
      </c>
      <c r="AV115" s="21">
        <f>EXP(-LN(2)/25)*AV114+(1-EXP(-LN(2)/25))/(LN(2)/25)*Calculateur!AQ115*Calculateur!AS115*VLOOKUP('Données projet'!$B$10,Paramètres!$A$1:$I$89,3,0)*0.475*44/12</f>
        <v>21.648412756312148</v>
      </c>
      <c r="AW115" s="21">
        <f>EXP(-LN(2)/2)*AW114+(1-EXP(-LN(2)/2))/(LN(2)/2)*AQ115*AT115*VLOOKUP('Données projet'!$B$10,Paramètres!$A$1:$I$89,3,0)*0.475*44/12</f>
        <v>0.3642190873920777</v>
      </c>
      <c r="AX115" s="21">
        <f t="shared" si="60"/>
        <v>50.258868403993922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>
        <f>BD115*VLOOKUP('Données projet'!$B$11,Paramètres!$A$1:$I$89,3,0)*VLOOKUP('Données projet'!$B$11,Paramètres!$A$1:$I$89,5,0)</f>
        <v>0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144.01698107732989</v>
      </c>
      <c r="BJ115" s="59">
        <f t="shared" si="92"/>
        <v>139.28039875117332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6.9947131431056624</v>
      </c>
      <c r="BQ115" s="21">
        <f>EXP(-LN(2)/25)*BQ114+(1-EXP(-LN(2)/25))/(LN(2)/25)*Calculateur!BL115*Calculateur!BN115*VLOOKUP('Données projet'!$B$11,Paramètres!$A$1:$I$89,3,0)*0.475*44/12</f>
        <v>34.701038860193378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41.695752003299042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-8.5265128291212022E-14</v>
      </c>
      <c r="BZ115" s="13">
        <f>BY115*VLOOKUP('Données projet'!$B$12,Paramètres!$A$1:$I$89,3,0)*VLOOKUP('Données projet'!$B$12,Paramètres!$A$1:$I$89,5,0)</f>
        <v>-6.9167072069831198E-14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72.953866894533007</v>
      </c>
      <c r="CE115" s="59">
        <f t="shared" si="94"/>
        <v>60.640359826163092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0</v>
      </c>
      <c r="CL115" s="21">
        <f>EXP(-LN(2)/25)*CL114+(1-EXP(-LN(2)/25))/(LN(2)/25)*Calculateur!CG115*Calculateur!CI115*VLOOKUP('Données projet'!$B$12,Paramètres!$A$1:$I$89,3,0)*0.475*44/12</f>
        <v>8.7913215361714183</v>
      </c>
      <c r="CM115" s="21">
        <f>EXP(-LN(2)/2)*CM114+(1-EXP(-LN(2)/2))/(LN(2)/2)*CG115*CJ115*VLOOKUP('Données projet'!$B$12,Paramètres!$A$1:$I$89,3,0)*0.475*44/12</f>
        <v>1.2229036339468112E-2</v>
      </c>
      <c r="CN115" s="22">
        <f t="shared" si="66"/>
        <v>8.8035505725108862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4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431.43857731773937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-1.7053025658242404E-13</v>
      </c>
      <c r="O116" s="13">
        <f>N116*VLOOKUP('Données projet'!$B$9,Paramètres!$A$1:$I$89,3,0)*VLOOKUP('Données projet'!$B$9,Paramètres!$A$1:$I$89,5,0)</f>
        <v>-1.0197709343628959E-13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235.90365770026909</v>
      </c>
      <c r="T116" s="59">
        <f t="shared" si="88"/>
        <v>348.09952585694253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34.615456723496493</v>
      </c>
      <c r="AA116" s="21">
        <f>EXP(-LN(2)/25)*AA115+(1-EXP(-LN(2)/25))/(LN(2)/25)*Calculateur!V116*Calculateur!X116*VLOOKUP('Données projet'!$B$9,Paramètres!$A$1:$I$89,3,0)*0.475*44/12</f>
        <v>7.3946807276342525</v>
      </c>
      <c r="AB116" s="21">
        <f>EXP(-LN(2)/2)*AB115+(1-EXP(-LN(2)/2))/(LN(2)/2)*V116*Y116*VLOOKUP('Données projet'!$B$9,Paramètres!$A$1:$I$89,3,0)*0.475*44/12</f>
        <v>3.9947980111471063E-9</v>
      </c>
      <c r="AC116" s="22">
        <f t="shared" si="57"/>
        <v>42.010137455125545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8.8449999999999989</v>
      </c>
      <c r="AI116" s="13">
        <f>IF('Données projet'!$A$62&gt;35,AI115+AH116-AQ115,IF(A116&lt;'Données projet'!$A$62,$AF$205^A116,IF(A116='Données projet'!$A$62,'Données projet'!$B$62,AI115+AH116-AQ115)))</f>
        <v>415.71500000000071</v>
      </c>
      <c r="AJ116" s="13">
        <f>AI116*VLOOKUP('Données projet'!$B$10,Paramètres!$A$1:$I$89,3,0)*VLOOKUP('Données projet'!$B$10,Paramètres!$A$1:$I$89,5,0)</f>
        <v>376.13893200000064</v>
      </c>
      <c r="AK116" s="13">
        <f t="shared" si="89"/>
        <v>86.922020183945492</v>
      </c>
      <c r="AL116" s="20">
        <f t="shared" si="58"/>
        <v>806.49782505370615</v>
      </c>
      <c r="AM116" s="59">
        <f t="shared" si="59"/>
        <v>1099.8311583870395</v>
      </c>
      <c r="AN116" s="59">
        <f ca="1">AVERAGE(OFFSET($AM$3,0,0,'Données projet'!$E$10+1,1))-AVERAGE(OFFSET($H$3,0,0,'Données projet'!$E$10+1,1))</f>
        <v>490.21869105612649</v>
      </c>
      <c r="AO116" s="59">
        <f t="shared" si="90"/>
        <v>207.08773997010911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27.692345089845542</v>
      </c>
      <c r="AV116" s="21">
        <f>EXP(-LN(2)/25)*AV115+(1-EXP(-LN(2)/25))/(LN(2)/25)*Calculateur!AQ116*Calculateur!AS116*VLOOKUP('Données projet'!$B$10,Paramètres!$A$1:$I$89,3,0)*0.475*44/12</f>
        <v>21.056435771050243</v>
      </c>
      <c r="AW116" s="21">
        <f>EXP(-LN(2)/2)*AW115+(1-EXP(-LN(2)/2))/(LN(2)/2)*AQ116*AT116*VLOOKUP('Données projet'!$B$10,Paramètres!$A$1:$I$89,3,0)*0.475*44/12</f>
        <v>0.25754178653251392</v>
      </c>
      <c r="AX116" s="21">
        <f t="shared" si="60"/>
        <v>49.006322647428298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>
        <f>BD116*VLOOKUP('Données projet'!$B$11,Paramètres!$A$1:$I$89,3,0)*VLOOKUP('Données projet'!$B$11,Paramètres!$A$1:$I$89,5,0)</f>
        <v>0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144.01698107732989</v>
      </c>
      <c r="BJ116" s="59">
        <f t="shared" si="92"/>
        <v>139.28039875117332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6.8575510847231103</v>
      </c>
      <c r="BQ116" s="21">
        <f>EXP(-LN(2)/25)*BQ115+(1-EXP(-LN(2)/25))/(LN(2)/25)*Calculateur!BL116*Calculateur!BN116*VLOOKUP('Données projet'!$B$11,Paramètres!$A$1:$I$89,3,0)*0.475*44/12</f>
        <v>33.75213712771307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40.609688212436183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-8.5265128291212022E-14</v>
      </c>
      <c r="BZ116" s="13">
        <f>BY116*VLOOKUP('Données projet'!$B$12,Paramètres!$A$1:$I$89,3,0)*VLOOKUP('Données projet'!$B$12,Paramètres!$A$1:$I$89,5,0)</f>
        <v>-6.9167072069831198E-14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72.953866894533007</v>
      </c>
      <c r="CE116" s="59">
        <f t="shared" si="94"/>
        <v>60.640359826163092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0</v>
      </c>
      <c r="CL116" s="21">
        <f>EXP(-LN(2)/25)*CL115+(1-EXP(-LN(2)/25))/(LN(2)/25)*Calculateur!CG116*Calculateur!CI116*VLOOKUP('Données projet'!$B$12,Paramètres!$A$1:$I$89,3,0)*0.475*44/12</f>
        <v>8.5509223864493045</v>
      </c>
      <c r="CM116" s="21">
        <f>EXP(-LN(2)/2)*CM115+(1-EXP(-LN(2)/2))/(LN(2)/2)*CG116*CJ116*VLOOKUP('Données projet'!$B$12,Paramètres!$A$1:$I$89,3,0)*0.475*44/12</f>
        <v>8.6472345230146162E-3</v>
      </c>
      <c r="CN116" s="22">
        <f t="shared" si="66"/>
        <v>8.5595696209723187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4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432.62905454958297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-1.7053025658242404E-13</v>
      </c>
      <c r="O117" s="13">
        <f>N117*VLOOKUP('Données projet'!$B$9,Paramètres!$A$1:$I$89,3,0)*VLOOKUP('Données projet'!$B$9,Paramètres!$A$1:$I$89,5,0)</f>
        <v>-1.0197709343628959E-13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235.90365770026909</v>
      </c>
      <c r="T117" s="59">
        <f t="shared" si="88"/>
        <v>348.09952585694253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33.936668730492556</v>
      </c>
      <c r="AA117" s="21">
        <f>EXP(-LN(2)/25)*AA116+(1-EXP(-LN(2)/25))/(LN(2)/25)*Calculateur!V117*Calculateur!X117*VLOOKUP('Données projet'!$B$9,Paramètres!$A$1:$I$89,3,0)*0.475*44/12</f>
        <v>7.1924727942677356</v>
      </c>
      <c r="AB117" s="21">
        <f>EXP(-LN(2)/2)*AB116+(1-EXP(-LN(2)/2))/(LN(2)/2)*V117*Y117*VLOOKUP('Données projet'!$B$9,Paramètres!$A$1:$I$89,3,0)*0.475*44/12</f>
        <v>2.8247487631526521E-9</v>
      </c>
      <c r="AC117" s="22">
        <f t="shared" si="57"/>
        <v>41.129141527585041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>
        <f>VLOOKUP(A117,'Données projet'!$A$61:$I$81,2,0)</f>
        <v>424.56</v>
      </c>
      <c r="AG117" s="12">
        <f>VLOOKUP(A117,'Données projet'!$A$61:$I$81,9,0)</f>
        <v>8.8449999999999989</v>
      </c>
      <c r="AH117" s="12">
        <f t="array" ref="AH117">INDEX(AG:AG,MIN(IF(ISNUMBER(AG117:AG313),ROW(AG117:AG313),"")))</f>
        <v>8.8449999999999989</v>
      </c>
      <c r="AI117" s="13">
        <f>IF('Données projet'!$A$62&gt;35,AI116+AH117-AQ116,IF(A117&lt;'Données projet'!$A$62,$AF$205^A117,IF(A117='Données projet'!$A$62,'Données projet'!$B$62,AI116+AH117-AQ116)))</f>
        <v>424.56000000000074</v>
      </c>
      <c r="AJ117" s="13">
        <f>AI117*VLOOKUP('Données projet'!$B$10,Paramètres!$A$1:$I$89,3,0)*VLOOKUP('Données projet'!$B$10,Paramètres!$A$1:$I$89,5,0)</f>
        <v>384.14188800000068</v>
      </c>
      <c r="AK117" s="13">
        <f t="shared" si="89"/>
        <v>88.554146462646884</v>
      </c>
      <c r="AL117" s="20">
        <f t="shared" si="58"/>
        <v>823.27892668911102</v>
      </c>
      <c r="AM117" s="59">
        <f t="shared" si="59"/>
        <v>1116.6122600224444</v>
      </c>
      <c r="AN117" s="59">
        <f ca="1">AVERAGE(OFFSET($AM$3,0,0,'Données projet'!$E$10+1,1))-AVERAGE(OFFSET($H$3,0,0,'Données projet'!$E$10+1,1))</f>
        <v>490.21869105612649</v>
      </c>
      <c r="AO117" s="59">
        <f t="shared" si="90"/>
        <v>207.08773997010911</v>
      </c>
      <c r="AP117" s="15">
        <f>IF(ISNA(VLOOKUP(A117,'Données projet'!$A$61:$I$81,3,0)),0,VLOOKUP(A117,'Données projet'!$A$61:$I$81,3,0))</f>
        <v>9</v>
      </c>
      <c r="AQ117" s="15">
        <f>IF(ISNA(VLOOKUP(A117,'Données projet'!$A$61:$I$81,4,0)),0,VLOOKUP(A117,'Données projet'!$A$61:$I$81,4,0))</f>
        <v>61.860000000000014</v>
      </c>
      <c r="AR117" s="16">
        <f>IF(ISNA(VLOOKUP(A117,'Données projet'!$A$61:$I$81,5,0)),0%,VLOOKUP(A117,'Données projet'!$A$61:$I$81,5,0)*VLOOKUP('Données projet'!$B$10,Paramètres!$A$1:$I$89,7,0))</f>
        <v>0.15049999999999999</v>
      </c>
      <c r="AS117" s="16">
        <f>IF(ISNA(VLOOKUP(A117,'Données projet'!$A$61:$I$81,6,0)),0%,VLOOKUP(A117,'Données projet'!$A$61:$I$81,6,0)*VLOOKUP('Données projet'!$B$10,Paramètres!$A$1:$I$89,7,0))</f>
        <v>8.6000000000000007E-2</v>
      </c>
      <c r="AT117" s="16">
        <f>IF(ISNA(VLOOKUP(A117,'Données projet'!$A$61:$I$81,7,0)),0%,VLOOKUP(A117,'Données projet'!$A$61:$I$81,7,0))</f>
        <v>0.1</v>
      </c>
      <c r="AU117" s="21">
        <f>EXP(-LN(2)/35)*AU116+(1-EXP(-LN(2)/35))/(LN(2)/35)*AQ117*AR117*VLOOKUP('Données projet'!$B$10,Paramètres!$A$1:$I$89,3,0)*0.475*44/12</f>
        <v>36.461382647651561</v>
      </c>
      <c r="AV117" s="21">
        <f>EXP(-LN(2)/25)*AV116+(1-EXP(-LN(2)/25))/(LN(2)/25)*Calculateur!AQ117*Calculateur!AS117*VLOOKUP('Données projet'!$B$10,Paramètres!$A$1:$I$89,3,0)*0.475*44/12</f>
        <v>25.780876368276925</v>
      </c>
      <c r="AW117" s="21">
        <f>EXP(-LN(2)/2)*AW116+(1-EXP(-LN(2)/2))/(LN(2)/2)*AQ117*AT117*VLOOKUP('Données projet'!$B$10,Paramètres!$A$1:$I$89,3,0)*0.475*44/12</f>
        <v>5.4631172440400739</v>
      </c>
      <c r="AX117" s="21">
        <f t="shared" si="60"/>
        <v>67.70537625996856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>
        <f>BD117*VLOOKUP('Données projet'!$B$11,Paramètres!$A$1:$I$89,3,0)*VLOOKUP('Données projet'!$B$11,Paramètres!$A$1:$I$89,5,0)</f>
        <v>0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144.01698107732989</v>
      </c>
      <c r="BJ117" s="59">
        <f t="shared" si="92"/>
        <v>139.28039875117332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6.7230786906448454</v>
      </c>
      <c r="BQ117" s="21">
        <f>EXP(-LN(2)/25)*BQ116+(1-EXP(-LN(2)/25))/(LN(2)/25)*Calculateur!BL117*Calculateur!BN117*VLOOKUP('Données projet'!$B$11,Paramètres!$A$1:$I$89,3,0)*0.475*44/12</f>
        <v>32.829183163008004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39.552261853652851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-8.5265128291212022E-14</v>
      </c>
      <c r="BZ117" s="13">
        <f>BY117*VLOOKUP('Données projet'!$B$12,Paramètres!$A$1:$I$89,3,0)*VLOOKUP('Données projet'!$B$12,Paramètres!$A$1:$I$89,5,0)</f>
        <v>-6.9167072069831198E-14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72.953866894533007</v>
      </c>
      <c r="CE117" s="59">
        <f t="shared" si="94"/>
        <v>60.640359826163092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0</v>
      </c>
      <c r="CL117" s="21">
        <f>EXP(-LN(2)/25)*CL116+(1-EXP(-LN(2)/25))/(LN(2)/25)*Calculateur!CG117*Calculateur!CI117*VLOOKUP('Données projet'!$B$12,Paramètres!$A$1:$I$89,3,0)*0.475*44/12</f>
        <v>8.3170969641183827</v>
      </c>
      <c r="CM117" s="21">
        <f>EXP(-LN(2)/2)*CM116+(1-EXP(-LN(2)/2))/(LN(2)/2)*CG117*CJ117*VLOOKUP('Données projet'!$B$12,Paramètres!$A$1:$I$89,3,0)*0.475*44/12</f>
        <v>6.114518169734056E-3</v>
      </c>
      <c r="CN117" s="22">
        <f t="shared" si="66"/>
        <v>8.3232114822881176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4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433.81928733301731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-1.7053025658242404E-13</v>
      </c>
      <c r="O118" s="13">
        <f>N118*VLOOKUP('Données projet'!$B$9,Paramètres!$A$1:$I$89,3,0)*VLOOKUP('Données projet'!$B$9,Paramètres!$A$1:$I$89,5,0)</f>
        <v>-1.0197709343628959E-13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235.90365770026909</v>
      </c>
      <c r="T118" s="59">
        <f t="shared" si="88"/>
        <v>348.09952585694253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33.271191356011634</v>
      </c>
      <c r="AA118" s="21">
        <f>EXP(-LN(2)/25)*AA117+(1-EXP(-LN(2)/25))/(LN(2)/25)*Calculateur!V118*Calculateur!X118*VLOOKUP('Données projet'!$B$9,Paramètres!$A$1:$I$89,3,0)*0.475*44/12</f>
        <v>6.9957942474727783</v>
      </c>
      <c r="AB118" s="21">
        <f>EXP(-LN(2)/2)*AB117+(1-EXP(-LN(2)/2))/(LN(2)/2)*V118*Y118*VLOOKUP('Données projet'!$B$9,Paramètres!$A$1:$I$89,3,0)*0.475*44/12</f>
        <v>1.9973990055735531E-9</v>
      </c>
      <c r="AC118" s="22">
        <f t="shared" si="57"/>
        <v>40.266985605481814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8.9160000000000021</v>
      </c>
      <c r="AI118" s="13">
        <f>IF('Données projet'!$A$62&gt;35,AI117+AH118-AQ117,IF(A118&lt;'Données projet'!$A$62,$AF$205^A118,IF(A118='Données projet'!$A$62,'Données projet'!$B$62,AI117+AH118-AQ117)))</f>
        <v>371.61600000000072</v>
      </c>
      <c r="AJ118" s="13">
        <f>AI118*VLOOKUP('Données projet'!$B$10,Paramètres!$A$1:$I$89,3,0)*VLOOKUP('Données projet'!$B$10,Paramètres!$A$1:$I$89,5,0)</f>
        <v>336.23815680000064</v>
      </c>
      <c r="AK118" s="13">
        <f t="shared" si="89"/>
        <v>78.722223243612518</v>
      </c>
      <c r="AL118" s="20">
        <f t="shared" si="58"/>
        <v>722.72266190929292</v>
      </c>
      <c r="AM118" s="59">
        <f t="shared" si="59"/>
        <v>1016.0559952426263</v>
      </c>
      <c r="AN118" s="59">
        <f ca="1">AVERAGE(OFFSET($AM$3,0,0,'Données projet'!$E$10+1,1))-AVERAGE(OFFSET($H$3,0,0,'Données projet'!$E$10+1,1))</f>
        <v>490.21869105612649</v>
      </c>
      <c r="AO118" s="59">
        <f t="shared" si="90"/>
        <v>207.08773997010911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35.746397173178586</v>
      </c>
      <c r="AV118" s="21">
        <f>EXP(-LN(2)/25)*AV117+(1-EXP(-LN(2)/25))/(LN(2)/25)*Calculateur!AQ118*Calculateur!AS118*VLOOKUP('Données projet'!$B$10,Paramètres!$A$1:$I$89,3,0)*0.475*44/12</f>
        <v>25.075896948229026</v>
      </c>
      <c r="AW118" s="21">
        <f>EXP(-LN(2)/2)*AW117+(1-EXP(-LN(2)/2))/(LN(2)/2)*AQ118*AT118*VLOOKUP('Données projet'!$B$10,Paramètres!$A$1:$I$89,3,0)*0.475*44/12</f>
        <v>3.8630072496778993</v>
      </c>
      <c r="AX118" s="21">
        <f t="shared" si="60"/>
        <v>64.685301371085501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>
        <f>BD118*VLOOKUP('Données projet'!$B$11,Paramètres!$A$1:$I$89,3,0)*VLOOKUP('Données projet'!$B$11,Paramètres!$A$1:$I$89,5,0)</f>
        <v>0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144.01698107732989</v>
      </c>
      <c r="BJ118" s="59">
        <f t="shared" si="92"/>
        <v>139.28039875117332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6.5912432181943936</v>
      </c>
      <c r="BQ118" s="21">
        <f>EXP(-LN(2)/25)*BQ117+(1-EXP(-LN(2)/25))/(LN(2)/25)*Calculateur!BL118*Calculateur!BN118*VLOOKUP('Données projet'!$B$11,Paramètres!$A$1:$I$89,3,0)*0.475*44/12</f>
        <v>31.931467423003841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38.522710641198238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-8.5265128291212022E-14</v>
      </c>
      <c r="BZ118" s="13">
        <f>BY118*VLOOKUP('Données projet'!$B$12,Paramètres!$A$1:$I$89,3,0)*VLOOKUP('Données projet'!$B$12,Paramètres!$A$1:$I$89,5,0)</f>
        <v>-6.9167072069831198E-14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72.953866894533007</v>
      </c>
      <c r="CE118" s="59">
        <f t="shared" si="94"/>
        <v>60.640359826163092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0</v>
      </c>
      <c r="CL118" s="21">
        <f>EXP(-LN(2)/25)*CL117+(1-EXP(-LN(2)/25))/(LN(2)/25)*Calculateur!CG118*Calculateur!CI118*VLOOKUP('Données projet'!$B$12,Paramètres!$A$1:$I$89,3,0)*0.475*44/12</f>
        <v>8.0896655102574453</v>
      </c>
      <c r="CM118" s="21">
        <f>EXP(-LN(2)/2)*CM117+(1-EXP(-LN(2)/2))/(LN(2)/2)*CG118*CJ118*VLOOKUP('Données projet'!$B$12,Paramètres!$A$1:$I$89,3,0)*0.475*44/12</f>
        <v>4.3236172615073081E-3</v>
      </c>
      <c r="CN118" s="22">
        <f t="shared" si="66"/>
        <v>8.0939891275189524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4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435.00927803996456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-1.7053025658242404E-13</v>
      </c>
      <c r="O119" s="13">
        <f>N119*VLOOKUP('Données projet'!$B$9,Paramètres!$A$1:$I$89,3,0)*VLOOKUP('Données projet'!$B$9,Paramètres!$A$1:$I$89,5,0)</f>
        <v>-1.0197709343628959E-13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235.90365770026909</v>
      </c>
      <c r="T119" s="59">
        <f t="shared" si="88"/>
        <v>348.09952585694253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32.618763586943167</v>
      </c>
      <c r="AA119" s="21">
        <f>EXP(-LN(2)/25)*AA118+(1-EXP(-LN(2)/25))/(LN(2)/25)*Calculateur!V119*Calculateur!X119*VLOOKUP('Données projet'!$B$9,Paramètres!$A$1:$I$89,3,0)*0.475*44/12</f>
        <v>6.8044938858828052</v>
      </c>
      <c r="AB119" s="21">
        <f>EXP(-LN(2)/2)*AB118+(1-EXP(-LN(2)/2))/(LN(2)/2)*V119*Y119*VLOOKUP('Données projet'!$B$9,Paramètres!$A$1:$I$89,3,0)*0.475*44/12</f>
        <v>1.4123743815763261E-9</v>
      </c>
      <c r="AC119" s="22">
        <f t="shared" si="57"/>
        <v>39.423257474238348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8.9160000000000021</v>
      </c>
      <c r="AI119" s="13">
        <f>IF('Données projet'!$A$62&gt;35,AI118+AH119-AQ118,IF(A119&lt;'Données projet'!$A$62,$AF$205^A119,IF(A119='Données projet'!$A$62,'Données projet'!$B$62,AI118+AH119-AQ118)))</f>
        <v>380.53200000000072</v>
      </c>
      <c r="AJ119" s="13">
        <f>AI119*VLOOKUP('Données projet'!$B$10,Paramètres!$A$1:$I$89,3,0)*VLOOKUP('Données projet'!$B$10,Paramètres!$A$1:$I$89,5,0)</f>
        <v>344.30535360000061</v>
      </c>
      <c r="AK119" s="13">
        <f t="shared" si="89"/>
        <v>80.388807253544201</v>
      </c>
      <c r="AL119" s="20">
        <f t="shared" si="58"/>
        <v>739.67566348659057</v>
      </c>
      <c r="AM119" s="59">
        <f t="shared" si="59"/>
        <v>1033.0089968199238</v>
      </c>
      <c r="AN119" s="59">
        <f ca="1">AVERAGE(OFFSET($AM$3,0,0,'Données projet'!$E$10+1,1))-AVERAGE(OFFSET($H$3,0,0,'Données projet'!$E$10+1,1))</f>
        <v>490.21869105612649</v>
      </c>
      <c r="AO119" s="59">
        <f t="shared" si="90"/>
        <v>207.08773997010911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35.045432127761948</v>
      </c>
      <c r="AV119" s="21">
        <f>EXP(-LN(2)/25)*AV118+(1-EXP(-LN(2)/25))/(LN(2)/25)*Calculateur!AQ119*Calculateur!AS119*VLOOKUP('Données projet'!$B$10,Paramètres!$A$1:$I$89,3,0)*0.475*44/12</f>
        <v>24.390195227495596</v>
      </c>
      <c r="AW119" s="21">
        <f>EXP(-LN(2)/2)*AW118+(1-EXP(-LN(2)/2))/(LN(2)/2)*AQ119*AT119*VLOOKUP('Données projet'!$B$10,Paramètres!$A$1:$I$89,3,0)*0.475*44/12</f>
        <v>2.7315586220200374</v>
      </c>
      <c r="AX119" s="21">
        <f t="shared" si="60"/>
        <v>62.167185977277583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>
        <f>BD119*VLOOKUP('Données projet'!$B$11,Paramètres!$A$1:$I$89,3,0)*VLOOKUP('Données projet'!$B$11,Paramètres!$A$1:$I$89,5,0)</f>
        <v>0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144.01698107732989</v>
      </c>
      <c r="BJ119" s="59">
        <f t="shared" si="92"/>
        <v>139.28039875117332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6.4619929589469969</v>
      </c>
      <c r="BQ119" s="21">
        <f>EXP(-LN(2)/25)*BQ118+(1-EXP(-LN(2)/25))/(LN(2)/25)*Calculateur!BL119*Calculateur!BN119*VLOOKUP('Données projet'!$B$11,Paramètres!$A$1:$I$89,3,0)*0.475*44/12</f>
        <v>31.05829976711891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37.520292726065904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-8.5265128291212022E-14</v>
      </c>
      <c r="BZ119" s="13">
        <f>BY119*VLOOKUP('Données projet'!$B$12,Paramètres!$A$1:$I$89,3,0)*VLOOKUP('Données projet'!$B$12,Paramètres!$A$1:$I$89,5,0)</f>
        <v>-6.9167072069831198E-14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72.953866894533007</v>
      </c>
      <c r="CE119" s="59">
        <f t="shared" si="94"/>
        <v>60.640359826163092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0</v>
      </c>
      <c r="CL119" s="21">
        <f>EXP(-LN(2)/25)*CL118+(1-EXP(-LN(2)/25))/(LN(2)/25)*Calculateur!CG119*Calculateur!CI119*VLOOKUP('Données projet'!$B$12,Paramètres!$A$1:$I$89,3,0)*0.475*44/12</f>
        <v>7.8684531814624359</v>
      </c>
      <c r="CM119" s="21">
        <f>EXP(-LN(2)/2)*CM118+(1-EXP(-LN(2)/2))/(LN(2)/2)*CG119*CJ119*VLOOKUP('Données projet'!$B$12,Paramètres!$A$1:$I$89,3,0)*0.475*44/12</f>
        <v>3.057259084867028E-3</v>
      </c>
      <c r="CN119" s="22">
        <f t="shared" si="66"/>
        <v>7.8715104405473033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4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436.19902899909141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-1.7053025658242404E-13</v>
      </c>
      <c r="O120" s="13">
        <f>N120*VLOOKUP('Données projet'!$B$9,Paramètres!$A$1:$I$89,3,0)*VLOOKUP('Données projet'!$B$9,Paramètres!$A$1:$I$89,5,0)</f>
        <v>-1.0197709343628959E-13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235.90365770026909</v>
      </c>
      <c r="T120" s="59">
        <f t="shared" si="88"/>
        <v>348.09952585694253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31.979129528484485</v>
      </c>
      <c r="AA120" s="21">
        <f>EXP(-LN(2)/25)*AA119+(1-EXP(-LN(2)/25))/(LN(2)/25)*Calculateur!V120*Calculateur!X120*VLOOKUP('Données projet'!$B$9,Paramètres!$A$1:$I$89,3,0)*0.475*44/12</f>
        <v>6.6184246427405586</v>
      </c>
      <c r="AB120" s="21">
        <f>EXP(-LN(2)/2)*AB119+(1-EXP(-LN(2)/2))/(LN(2)/2)*V120*Y120*VLOOKUP('Données projet'!$B$9,Paramètres!$A$1:$I$89,3,0)*0.475*44/12</f>
        <v>9.9869950278677657E-10</v>
      </c>
      <c r="AC120" s="22">
        <f t="shared" si="57"/>
        <v>38.597554172223738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8.9160000000000021</v>
      </c>
      <c r="AI120" s="13">
        <f>IF('Données projet'!$A$62&gt;35,AI119+AH120-AQ119,IF(A120&lt;'Données projet'!$A$62,$AF$205^A120,IF(A120='Données projet'!$A$62,'Données projet'!$B$62,AI119+AH120-AQ119)))</f>
        <v>389.44800000000072</v>
      </c>
      <c r="AJ120" s="13">
        <f>AI120*VLOOKUP('Données projet'!$B$10,Paramètres!$A$1:$I$89,3,0)*VLOOKUP('Données projet'!$B$10,Paramètres!$A$1:$I$89,5,0)</f>
        <v>352.37255040000065</v>
      </c>
      <c r="AK120" s="13">
        <f t="shared" si="89"/>
        <v>82.050851753476593</v>
      </c>
      <c r="AL120" s="20">
        <f t="shared" si="58"/>
        <v>756.62075875063954</v>
      </c>
      <c r="AM120" s="59">
        <f t="shared" si="59"/>
        <v>1049.9540920839729</v>
      </c>
      <c r="AN120" s="59">
        <f ca="1">AVERAGE(OFFSET($AM$3,0,0,'Données projet'!$E$10+1,1))-AVERAGE(OFFSET($H$3,0,0,'Données projet'!$E$10+1,1))</f>
        <v>490.21869105612649</v>
      </c>
      <c r="AO120" s="59">
        <f t="shared" si="90"/>
        <v>207.08773997010911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34.358212579339472</v>
      </c>
      <c r="AV120" s="21">
        <f>EXP(-LN(2)/25)*AV119+(1-EXP(-LN(2)/25))/(LN(2)/25)*Calculateur!AQ120*Calculateur!AS120*VLOOKUP('Données projet'!$B$10,Paramètres!$A$1:$I$89,3,0)*0.475*44/12</f>
        <v>23.723244056375105</v>
      </c>
      <c r="AW120" s="21">
        <f>EXP(-LN(2)/2)*AW119+(1-EXP(-LN(2)/2))/(LN(2)/2)*AQ120*AT120*VLOOKUP('Données projet'!$B$10,Paramètres!$A$1:$I$89,3,0)*0.475*44/12</f>
        <v>1.9315036248389501</v>
      </c>
      <c r="AX120" s="21">
        <f t="shared" si="60"/>
        <v>60.012960260553527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>
        <f>BD120*VLOOKUP('Données projet'!$B$11,Paramètres!$A$1:$I$89,3,0)*VLOOKUP('Données projet'!$B$11,Paramètres!$A$1:$I$89,5,0)</f>
        <v>0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144.01698107732989</v>
      </c>
      <c r="BJ120" s="59">
        <f t="shared" si="92"/>
        <v>139.28039875117332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6.3352772184485673</v>
      </c>
      <c r="BQ120" s="21">
        <f>EXP(-LN(2)/25)*BQ119+(1-EXP(-LN(2)/25))/(LN(2)/25)*Calculateur!BL120*Calculateur!BN120*VLOOKUP('Données projet'!$B$11,Paramètres!$A$1:$I$89,3,0)*0.475*44/12</f>
        <v>30.209008926702044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36.544286145150608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-8.5265128291212022E-14</v>
      </c>
      <c r="BZ120" s="13">
        <f>BY120*VLOOKUP('Données projet'!$B$12,Paramètres!$A$1:$I$89,3,0)*VLOOKUP('Données projet'!$B$12,Paramètres!$A$1:$I$89,5,0)</f>
        <v>-6.9167072069831198E-14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72.953866894533007</v>
      </c>
      <c r="CE120" s="59">
        <f t="shared" si="94"/>
        <v>60.640359826163092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0</v>
      </c>
      <c r="CL120" s="21">
        <f>EXP(-LN(2)/25)*CL119+(1-EXP(-LN(2)/25))/(LN(2)/25)*Calculateur!CG120*Calculateur!CI120*VLOOKUP('Données projet'!$B$12,Paramètres!$A$1:$I$89,3,0)*0.475*44/12</f>
        <v>7.653289915431376</v>
      </c>
      <c r="CM120" s="21">
        <f>EXP(-LN(2)/2)*CM119+(1-EXP(-LN(2)/2))/(LN(2)/2)*CG120*CJ120*VLOOKUP('Données projet'!$B$12,Paramètres!$A$1:$I$89,3,0)*0.475*44/12</f>
        <v>2.161808630753654E-3</v>
      </c>
      <c r="CN120" s="22">
        <f t="shared" si="66"/>
        <v>7.6554517240621296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4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437.38854249696135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-1.7053025658242404E-13</v>
      </c>
      <c r="O121" s="13">
        <f>N121*VLOOKUP('Données projet'!$B$9,Paramètres!$A$1:$I$89,3,0)*VLOOKUP('Données projet'!$B$9,Paramètres!$A$1:$I$89,5,0)</f>
        <v>-1.0197709343628959E-13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235.90365770026909</v>
      </c>
      <c r="T121" s="59">
        <f t="shared" si="88"/>
        <v>348.09952585694253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31.352038303773924</v>
      </c>
      <c r="AA121" s="21">
        <f>EXP(-LN(2)/25)*AA120+(1-EXP(-LN(2)/25))/(LN(2)/25)*Calculateur!V121*Calculateur!X121*VLOOKUP('Données projet'!$B$9,Paramètres!$A$1:$I$89,3,0)*0.475*44/12</f>
        <v>6.4374434728369927</v>
      </c>
      <c r="AB121" s="21">
        <f>EXP(-LN(2)/2)*AB120+(1-EXP(-LN(2)/2))/(LN(2)/2)*V121*Y121*VLOOKUP('Données projet'!$B$9,Paramètres!$A$1:$I$89,3,0)*0.475*44/12</f>
        <v>7.0618719078816303E-10</v>
      </c>
      <c r="AC121" s="22">
        <f t="shared" si="57"/>
        <v>37.7894817773171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8.9160000000000021</v>
      </c>
      <c r="AI121" s="13">
        <f>IF('Données projet'!$A$62&gt;35,AI120+AH121-AQ120,IF(A121&lt;'Données projet'!$A$62,$AF$205^A121,IF(A121='Données projet'!$A$62,'Données projet'!$B$62,AI120+AH121-AQ120)))</f>
        <v>398.36400000000071</v>
      </c>
      <c r="AJ121" s="13">
        <f>AI121*VLOOKUP('Données projet'!$B$10,Paramètres!$A$1:$I$89,3,0)*VLOOKUP('Données projet'!$B$10,Paramètres!$A$1:$I$89,5,0)</f>
        <v>360.43974720000062</v>
      </c>
      <c r="AK121" s="13">
        <f t="shared" si="89"/>
        <v>83.708472633827739</v>
      </c>
      <c r="AL121" s="20">
        <f t="shared" si="58"/>
        <v>773.55814954391769</v>
      </c>
      <c r="AM121" s="59">
        <f t="shared" si="59"/>
        <v>1066.8914828772511</v>
      </c>
      <c r="AN121" s="59">
        <f ca="1">AVERAGE(OFFSET($AM$3,0,0,'Données projet'!$E$10+1,1))-AVERAGE(OFFSET($H$3,0,0,'Données projet'!$E$10+1,1))</f>
        <v>490.21869105612649</v>
      </c>
      <c r="AO121" s="59">
        <f t="shared" si="90"/>
        <v>207.08773997010911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33.684468987099024</v>
      </c>
      <c r="AV121" s="21">
        <f>EXP(-LN(2)/25)*AV120+(1-EXP(-LN(2)/25))/(LN(2)/25)*Calculateur!AQ121*Calculateur!AS121*VLOOKUP('Données projet'!$B$10,Paramètres!$A$1:$I$89,3,0)*0.475*44/12</f>
        <v>23.074530700102343</v>
      </c>
      <c r="AW121" s="21">
        <f>EXP(-LN(2)/2)*AW120+(1-EXP(-LN(2)/2))/(LN(2)/2)*AQ121*AT121*VLOOKUP('Données projet'!$B$10,Paramètres!$A$1:$I$89,3,0)*0.475*44/12</f>
        <v>1.3657793110100189</v>
      </c>
      <c r="AX121" s="21">
        <f t="shared" si="60"/>
        <v>58.124778998211383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>
        <f>BD121*VLOOKUP('Données projet'!$B$11,Paramètres!$A$1:$I$89,3,0)*VLOOKUP('Données projet'!$B$11,Paramètres!$A$1:$I$89,5,0)</f>
        <v>0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144.01698107732989</v>
      </c>
      <c r="BJ121" s="59">
        <f t="shared" si="92"/>
        <v>139.28039875117332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6.2110462963323423</v>
      </c>
      <c r="BQ121" s="21">
        <f>EXP(-LN(2)/25)*BQ120+(1-EXP(-LN(2)/25))/(LN(2)/25)*Calculateur!BL121*Calculateur!BN121*VLOOKUP('Données projet'!$B$11,Paramètres!$A$1:$I$89,3,0)*0.475*44/12</f>
        <v>29.38294198897864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35.593988285310985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-8.5265128291212022E-14</v>
      </c>
      <c r="BZ121" s="13">
        <f>BY121*VLOOKUP('Données projet'!$B$12,Paramètres!$A$1:$I$89,3,0)*VLOOKUP('Données projet'!$B$12,Paramètres!$A$1:$I$89,5,0)</f>
        <v>-6.9167072069831198E-14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72.953866894533007</v>
      </c>
      <c r="CE121" s="59">
        <f t="shared" si="94"/>
        <v>60.640359826163092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0</v>
      </c>
      <c r="CL121" s="21">
        <f>EXP(-LN(2)/25)*CL120+(1-EXP(-LN(2)/25))/(LN(2)/25)*Calculateur!CG121*Calculateur!CI121*VLOOKUP('Données projet'!$B$12,Paramètres!$A$1:$I$89,3,0)*0.475*44/12</f>
        <v>7.4440103002248801</v>
      </c>
      <c r="CM121" s="21">
        <f>EXP(-LN(2)/2)*CM120+(1-EXP(-LN(2)/2))/(LN(2)/2)*CG121*CJ121*VLOOKUP('Données projet'!$B$12,Paramètres!$A$1:$I$89,3,0)*0.475*44/12</f>
        <v>1.528629542433514E-3</v>
      </c>
      <c r="CN121" s="22">
        <f t="shared" si="66"/>
        <v>7.4455389297673138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4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438.57782077914567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-1.7053025658242404E-13</v>
      </c>
      <c r="O122" s="13">
        <f>N122*VLOOKUP('Données projet'!$B$9,Paramètres!$A$1:$I$89,3,0)*VLOOKUP('Données projet'!$B$9,Paramètres!$A$1:$I$89,5,0)</f>
        <v>-1.0197709343628959E-13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235.90365770026909</v>
      </c>
      <c r="T122" s="59">
        <f t="shared" si="88"/>
        <v>348.09952585694253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30.737243955492058</v>
      </c>
      <c r="AA122" s="21">
        <f>EXP(-LN(2)/25)*AA121+(1-EXP(-LN(2)/25))/(LN(2)/25)*Calculateur!V122*Calculateur!X122*VLOOKUP('Données projet'!$B$9,Paramètres!$A$1:$I$89,3,0)*0.475*44/12</f>
        <v>6.2614112425418256</v>
      </c>
      <c r="AB122" s="21">
        <f>EXP(-LN(2)/2)*AB121+(1-EXP(-LN(2)/2))/(LN(2)/2)*V122*Y122*VLOOKUP('Données projet'!$B$9,Paramètres!$A$1:$I$89,3,0)*0.475*44/12</f>
        <v>4.9934975139338829E-10</v>
      </c>
      <c r="AC122" s="22">
        <f t="shared" si="57"/>
        <v>36.998655198533235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8.9160000000000021</v>
      </c>
      <c r="AI122" s="13">
        <f>IF('Données projet'!$A$62&gt;35,AI121+AH122-AQ121,IF(A122&lt;'Données projet'!$A$62,$AF$205^A122,IF(A122='Données projet'!$A$62,'Données projet'!$B$62,AI121+AH122-AQ121)))</f>
        <v>407.28000000000071</v>
      </c>
      <c r="AJ122" s="13">
        <f>AI122*VLOOKUP('Données projet'!$B$10,Paramètres!$A$1:$I$89,3,0)*VLOOKUP('Données projet'!$B$10,Paramètres!$A$1:$I$89,5,0)</f>
        <v>368.5069440000006</v>
      </c>
      <c r="AK122" s="13">
        <f t="shared" si="89"/>
        <v>85.361780301252097</v>
      </c>
      <c r="AL122" s="20">
        <f t="shared" si="58"/>
        <v>790.48802815801503</v>
      </c>
      <c r="AM122" s="59">
        <f t="shared" si="59"/>
        <v>1083.8213614913484</v>
      </c>
      <c r="AN122" s="59">
        <f ca="1">AVERAGE(OFFSET($AM$3,0,0,'Données projet'!$E$10+1,1))-AVERAGE(OFFSET($H$3,0,0,'Données projet'!$E$10+1,1))</f>
        <v>490.21869105612649</v>
      </c>
      <c r="AO122" s="59">
        <f t="shared" si="90"/>
        <v>207.08773997010911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33.023937095759393</v>
      </c>
      <c r="AV122" s="21">
        <f>EXP(-LN(2)/25)*AV121+(1-EXP(-LN(2)/25))/(LN(2)/25)*Calculateur!AQ122*Calculateur!AS122*VLOOKUP('Données projet'!$B$10,Paramètres!$A$1:$I$89,3,0)*0.475*44/12</f>
        <v>22.443556444671213</v>
      </c>
      <c r="AW122" s="21">
        <f>EXP(-LN(2)/2)*AW121+(1-EXP(-LN(2)/2))/(LN(2)/2)*AQ122*AT122*VLOOKUP('Données projet'!$B$10,Paramètres!$A$1:$I$89,3,0)*0.475*44/12</f>
        <v>0.96575181241947516</v>
      </c>
      <c r="AX122" s="21">
        <f t="shared" si="60"/>
        <v>56.433245352850086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>
        <f>BD122*VLOOKUP('Données projet'!$B$11,Paramètres!$A$1:$I$89,3,0)*VLOOKUP('Données projet'!$B$11,Paramètres!$A$1:$I$89,5,0)</f>
        <v>0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144.01698107732989</v>
      </c>
      <c r="BJ122" s="59">
        <f t="shared" si="92"/>
        <v>139.28039875117332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6.0892514668254361</v>
      </c>
      <c r="BQ122" s="21">
        <f>EXP(-LN(2)/25)*BQ121+(1-EXP(-LN(2)/25))/(LN(2)/25)*Calculateur!BL122*Calculateur!BN122*VLOOKUP('Données projet'!$B$11,Paramètres!$A$1:$I$89,3,0)*0.475*44/12</f>
        <v>28.579463895108255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34.668715361933693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-8.5265128291212022E-14</v>
      </c>
      <c r="BZ122" s="13">
        <f>BY122*VLOOKUP('Données projet'!$B$12,Paramètres!$A$1:$I$89,3,0)*VLOOKUP('Données projet'!$B$12,Paramètres!$A$1:$I$89,5,0)</f>
        <v>-6.9167072069831198E-14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72.953866894533007</v>
      </c>
      <c r="CE122" s="59">
        <f t="shared" si="94"/>
        <v>60.640359826163092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0</v>
      </c>
      <c r="CL122" s="21">
        <f>EXP(-LN(2)/25)*CL121+(1-EXP(-LN(2)/25))/(LN(2)/25)*Calculateur!CG122*Calculateur!CI122*VLOOKUP('Données projet'!$B$12,Paramètres!$A$1:$I$89,3,0)*0.475*44/12</f>
        <v>7.2404534471017428</v>
      </c>
      <c r="CM122" s="21">
        <f>EXP(-LN(2)/2)*CM121+(1-EXP(-LN(2)/2))/(LN(2)/2)*CG122*CJ122*VLOOKUP('Données projet'!$B$12,Paramètres!$A$1:$I$89,3,0)*0.475*44/12</f>
        <v>1.080904315376827E-3</v>
      </c>
      <c r="CN122" s="22">
        <f t="shared" si="66"/>
        <v>7.24153435141712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4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439.76686605129635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-1.7053025658242404E-13</v>
      </c>
      <c r="O123" s="13">
        <f>N123*VLOOKUP('Données projet'!$B$9,Paramètres!$A$1:$I$89,3,0)*VLOOKUP('Données projet'!$B$9,Paramètres!$A$1:$I$89,5,0)</f>
        <v>-1.0197709343628959E-13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235.90365770026909</v>
      </c>
      <c r="T123" s="59">
        <f t="shared" si="88"/>
        <v>348.09952585694253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30.134505349392473</v>
      </c>
      <c r="AA123" s="21">
        <f>EXP(-LN(2)/25)*AA122+(1-EXP(-LN(2)/25))/(LN(2)/25)*Calculateur!V123*Calculateur!X123*VLOOKUP('Données projet'!$B$9,Paramètres!$A$1:$I$89,3,0)*0.475*44/12</f>
        <v>6.0901926228412124</v>
      </c>
      <c r="AB123" s="21">
        <f>EXP(-LN(2)/2)*AB122+(1-EXP(-LN(2)/2))/(LN(2)/2)*V123*Y123*VLOOKUP('Données projet'!$B$9,Paramètres!$A$1:$I$89,3,0)*0.475*44/12</f>
        <v>3.5309359539408152E-10</v>
      </c>
      <c r="AC123" s="22">
        <f t="shared" si="57"/>
        <v>36.224697972586782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8.9160000000000021</v>
      </c>
      <c r="AI123" s="13">
        <f>IF('Données projet'!$A$62&gt;35,AI122+AH123-AQ122,IF(A123&lt;'Données projet'!$A$62,$AF$205^A123,IF(A123='Données projet'!$A$62,'Données projet'!$B$62,AI122+AH123-AQ122)))</f>
        <v>416.19600000000071</v>
      </c>
      <c r="AJ123" s="13">
        <f>AI123*VLOOKUP('Données projet'!$B$10,Paramètres!$A$1:$I$89,3,0)*VLOOKUP('Données projet'!$B$10,Paramètres!$A$1:$I$89,5,0)</f>
        <v>376.57414080000063</v>
      </c>
      <c r="AK123" s="13">
        <f t="shared" si="89"/>
        <v>87.010880052402811</v>
      </c>
      <c r="AL123" s="20">
        <f t="shared" si="58"/>
        <v>807.41057798460258</v>
      </c>
      <c r="AM123" s="59">
        <f t="shared" si="59"/>
        <v>1100.743911317936</v>
      </c>
      <c r="AN123" s="59">
        <f ca="1">AVERAGE(OFFSET($AM$3,0,0,'Données projet'!$E$10+1,1))-AVERAGE(OFFSET($H$3,0,0,'Données projet'!$E$10+1,1))</f>
        <v>490.21869105612649</v>
      </c>
      <c r="AO123" s="59">
        <f t="shared" si="90"/>
        <v>207.08773997010911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32.37635783192426</v>
      </c>
      <c r="AV123" s="21">
        <f>EXP(-LN(2)/25)*AV122+(1-EXP(-LN(2)/25))/(LN(2)/25)*Calculateur!AQ123*Calculateur!AS123*VLOOKUP('Données projet'!$B$10,Paramètres!$A$1:$I$89,3,0)*0.475*44/12</f>
        <v>21.829836213436341</v>
      </c>
      <c r="AW123" s="21">
        <f>EXP(-LN(2)/2)*AW122+(1-EXP(-LN(2)/2))/(LN(2)/2)*AQ123*AT123*VLOOKUP('Données projet'!$B$10,Paramètres!$A$1:$I$89,3,0)*0.475*44/12</f>
        <v>0.68288965550500957</v>
      </c>
      <c r="AX123" s="21">
        <f t="shared" si="60"/>
        <v>54.889083700865612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>
        <f>BD123*VLOOKUP('Données projet'!$B$11,Paramètres!$A$1:$I$89,3,0)*VLOOKUP('Données projet'!$B$11,Paramètres!$A$1:$I$89,5,0)</f>
        <v>0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144.01698107732989</v>
      </c>
      <c r="BJ123" s="59">
        <f t="shared" si="92"/>
        <v>139.28039875117332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5.9698449596376495</v>
      </c>
      <c r="BQ123" s="21">
        <f>EXP(-LN(2)/25)*BQ122+(1-EXP(-LN(2)/25))/(LN(2)/25)*Calculateur!BL123*Calculateur!BN123*VLOOKUP('Données projet'!$B$11,Paramètres!$A$1:$I$89,3,0)*0.475*44/12</f>
        <v>27.797956951967834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33.767801911605481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-8.5265128291212022E-14</v>
      </c>
      <c r="BZ123" s="13">
        <f>BY123*VLOOKUP('Données projet'!$B$12,Paramètres!$A$1:$I$89,3,0)*VLOOKUP('Données projet'!$B$12,Paramètres!$A$1:$I$89,5,0)</f>
        <v>-6.9167072069831198E-14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72.953866894533007</v>
      </c>
      <c r="CE123" s="59">
        <f t="shared" si="94"/>
        <v>60.640359826163092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0</v>
      </c>
      <c r="CL123" s="21">
        <f>EXP(-LN(2)/25)*CL122+(1-EXP(-LN(2)/25))/(LN(2)/25)*Calculateur!CG123*Calculateur!CI123*VLOOKUP('Données projet'!$B$12,Paramètres!$A$1:$I$89,3,0)*0.475*44/12</f>
        <v>7.0424628668318467</v>
      </c>
      <c r="CM123" s="21">
        <f>EXP(-LN(2)/2)*CM122+(1-EXP(-LN(2)/2))/(LN(2)/2)*CG123*CJ123*VLOOKUP('Données projet'!$B$12,Paramètres!$A$1:$I$89,3,0)*0.475*44/12</f>
        <v>7.64314771216757E-4</v>
      </c>
      <c r="CN123" s="22">
        <f t="shared" si="66"/>
        <v>7.0432271816030632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4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440.95568048018276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-1.7053025658242404E-13</v>
      </c>
      <c r="O124" s="13">
        <f>N124*VLOOKUP('Données projet'!$B$9,Paramètres!$A$1:$I$89,3,0)*VLOOKUP('Données projet'!$B$9,Paramètres!$A$1:$I$89,5,0)</f>
        <v>-1.0197709343628959E-13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235.90365770026909</v>
      </c>
      <c r="T124" s="59">
        <f t="shared" si="88"/>
        <v>348.09952585694253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29.543586079724253</v>
      </c>
      <c r="AA124" s="21">
        <f>EXP(-LN(2)/25)*AA123+(1-EXP(-LN(2)/25))/(LN(2)/25)*Calculateur!V124*Calculateur!X124*VLOOKUP('Données projet'!$B$9,Paramètres!$A$1:$I$89,3,0)*0.475*44/12</f>
        <v>5.923655985300309</v>
      </c>
      <c r="AB124" s="21">
        <f>EXP(-LN(2)/2)*AB123+(1-EXP(-LN(2)/2))/(LN(2)/2)*V124*Y124*VLOOKUP('Données projet'!$B$9,Paramètres!$A$1:$I$89,3,0)*0.475*44/12</f>
        <v>2.4967487569669414E-10</v>
      </c>
      <c r="AC124" s="22">
        <f t="shared" si="57"/>
        <v>35.467242065274242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8.9160000000000021</v>
      </c>
      <c r="AI124" s="13">
        <f>IF('Données projet'!$A$62&gt;35,AI123+AH124-AQ123,IF(A124&lt;'Données projet'!$A$62,$AF$205^A124,IF(A124='Données projet'!$A$62,'Données projet'!$B$62,AI123+AH124-AQ123)))</f>
        <v>425.11200000000071</v>
      </c>
      <c r="AJ124" s="13">
        <f>AI124*VLOOKUP('Données projet'!$B$10,Paramètres!$A$1:$I$89,3,0)*VLOOKUP('Données projet'!$B$10,Paramètres!$A$1:$I$89,5,0)</f>
        <v>384.64133760000061</v>
      </c>
      <c r="AK124" s="13">
        <f t="shared" si="89"/>
        <v>88.65587241476193</v>
      </c>
      <c r="AL124" s="20">
        <f t="shared" si="58"/>
        <v>824.32597410904464</v>
      </c>
      <c r="AM124" s="59">
        <f t="shared" si="59"/>
        <v>1117.6593074423779</v>
      </c>
      <c r="AN124" s="59">
        <f ca="1">AVERAGE(OFFSET($AM$3,0,0,'Données projet'!$E$10+1,1))-AVERAGE(OFFSET($H$3,0,0,'Données projet'!$E$10+1,1))</f>
        <v>490.21869105612649</v>
      </c>
      <c r="AO124" s="59">
        <f t="shared" si="90"/>
        <v>207.08773997010911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31.741477202468587</v>
      </c>
      <c r="AV124" s="21">
        <f>EXP(-LN(2)/25)*AV123+(1-EXP(-LN(2)/25))/(LN(2)/25)*Calculateur!AQ124*Calculateur!AS124*VLOOKUP('Données projet'!$B$10,Paramètres!$A$1:$I$89,3,0)*0.475*44/12</f>
        <v>21.232898194198729</v>
      </c>
      <c r="AW124" s="21">
        <f>EXP(-LN(2)/2)*AW123+(1-EXP(-LN(2)/2))/(LN(2)/2)*AQ124*AT124*VLOOKUP('Données projet'!$B$10,Paramètres!$A$1:$I$89,3,0)*0.475*44/12</f>
        <v>0.48287590620973764</v>
      </c>
      <c r="AX124" s="21">
        <f t="shared" si="60"/>
        <v>53.457251302877047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>
        <f>BD124*VLOOKUP('Données projet'!$B$11,Paramètres!$A$1:$I$89,3,0)*VLOOKUP('Données projet'!$B$11,Paramètres!$A$1:$I$89,5,0)</f>
        <v>0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144.01698107732989</v>
      </c>
      <c r="BJ124" s="59">
        <f t="shared" si="92"/>
        <v>139.28039875117332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5.8527799412250374</v>
      </c>
      <c r="BQ124" s="21">
        <f>EXP(-LN(2)/25)*BQ123+(1-EXP(-LN(2)/25))/(LN(2)/25)*Calculateur!BL124*Calculateur!BN124*VLOOKUP('Données projet'!$B$11,Paramètres!$A$1:$I$89,3,0)*0.475*44/12</f>
        <v>27.037820357285248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32.890600298510286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-8.5265128291212022E-14</v>
      </c>
      <c r="BZ124" s="13">
        <f>BY124*VLOOKUP('Données projet'!$B$12,Paramètres!$A$1:$I$89,3,0)*VLOOKUP('Données projet'!$B$12,Paramètres!$A$1:$I$89,5,0)</f>
        <v>-6.9167072069831198E-14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72.953866894533007</v>
      </c>
      <c r="CE124" s="59">
        <f t="shared" si="94"/>
        <v>60.640359826163092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0</v>
      </c>
      <c r="CL124" s="21">
        <f>EXP(-LN(2)/25)*CL123+(1-EXP(-LN(2)/25))/(LN(2)/25)*Calculateur!CG124*Calculateur!CI124*VLOOKUP('Données projet'!$B$12,Paramètres!$A$1:$I$89,3,0)*0.475*44/12</f>
        <v>6.8498863493913031</v>
      </c>
      <c r="CM124" s="21">
        <f>EXP(-LN(2)/2)*CM123+(1-EXP(-LN(2)/2))/(LN(2)/2)*CG124*CJ124*VLOOKUP('Données projet'!$B$12,Paramètres!$A$1:$I$89,3,0)*0.475*44/12</f>
        <v>5.4045215768841351E-4</v>
      </c>
      <c r="CN124" s="22">
        <f t="shared" si="66"/>
        <v>6.8504268015489913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4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442.14426619469248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-1.7053025658242404E-13</v>
      </c>
      <c r="O125" s="13">
        <f>N125*VLOOKUP('Données projet'!$B$9,Paramètres!$A$1:$I$89,3,0)*VLOOKUP('Données projet'!$B$9,Paramètres!$A$1:$I$89,5,0)</f>
        <v>-1.0197709343628959E-13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235.90365770026909</v>
      </c>
      <c r="T125" s="59">
        <f t="shared" si="88"/>
        <v>348.09952585694253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28.964254376509061</v>
      </c>
      <c r="AA125" s="21">
        <f>EXP(-LN(2)/25)*AA124+(1-EXP(-LN(2)/25))/(LN(2)/25)*Calculateur!V125*Calculateur!X125*VLOOKUP('Données projet'!$B$9,Paramètres!$A$1:$I$89,3,0)*0.475*44/12</f>
        <v>5.7616733008707426</v>
      </c>
      <c r="AB125" s="21">
        <f>EXP(-LN(2)/2)*AB124+(1-EXP(-LN(2)/2))/(LN(2)/2)*V125*Y125*VLOOKUP('Données projet'!$B$9,Paramètres!$A$1:$I$89,3,0)*0.475*44/12</f>
        <v>1.7654679769704076E-10</v>
      </c>
      <c r="AC125" s="22">
        <f t="shared" si="57"/>
        <v>34.725927677556349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8.9160000000000021</v>
      </c>
      <c r="AI125" s="13">
        <f>IF('Données projet'!$A$62&gt;35,AI124+AH125-AQ124,IF(A125&lt;'Données projet'!$A$62,$AF$205^A125,IF(A125='Données projet'!$A$62,'Données projet'!$B$62,AI124+AH125-AQ124)))</f>
        <v>434.0280000000007</v>
      </c>
      <c r="AJ125" s="13">
        <f>AI125*VLOOKUP('Données projet'!$B$10,Paramètres!$A$1:$I$89,3,0)*VLOOKUP('Données projet'!$B$10,Paramètres!$A$1:$I$89,5,0)</f>
        <v>392.70853440000059</v>
      </c>
      <c r="AK125" s="13">
        <f t="shared" si="89"/>
        <v>90.296853458070288</v>
      </c>
      <c r="AL125" s="20">
        <f t="shared" si="58"/>
        <v>841.23438385280679</v>
      </c>
      <c r="AM125" s="59">
        <f t="shared" si="59"/>
        <v>1134.56771718614</v>
      </c>
      <c r="AN125" s="59">
        <f ca="1">AVERAGE(OFFSET($AM$3,0,0,'Données projet'!$E$10+1,1))-AVERAGE(OFFSET($H$3,0,0,'Données projet'!$E$10+1,1))</f>
        <v>490.21869105612649</v>
      </c>
      <c r="AO125" s="59">
        <f t="shared" si="90"/>
        <v>207.08773997010911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31.11904619491759</v>
      </c>
      <c r="AV125" s="21">
        <f>EXP(-LN(2)/25)*AV124+(1-EXP(-LN(2)/25))/(LN(2)/25)*Calculateur!AQ125*Calculateur!AS125*VLOOKUP('Données projet'!$B$10,Paramètres!$A$1:$I$89,3,0)*0.475*44/12</f>
        <v>20.652283476488776</v>
      </c>
      <c r="AW125" s="21">
        <f>EXP(-LN(2)/2)*AW124+(1-EXP(-LN(2)/2))/(LN(2)/2)*AQ125*AT125*VLOOKUP('Données projet'!$B$10,Paramètres!$A$1:$I$89,3,0)*0.475*44/12</f>
        <v>0.34144482775250484</v>
      </c>
      <c r="AX125" s="21">
        <f t="shared" si="60"/>
        <v>52.112774499158867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>
        <f>BD125*VLOOKUP('Données projet'!$B$11,Paramètres!$A$1:$I$89,3,0)*VLOOKUP('Données projet'!$B$11,Paramètres!$A$1:$I$89,5,0)</f>
        <v>0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144.01698107732989</v>
      </c>
      <c r="BJ125" s="59">
        <f t="shared" si="92"/>
        <v>139.28039875117332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5.7380104964208858</v>
      </c>
      <c r="BQ125" s="21">
        <f>EXP(-LN(2)/25)*BQ124+(1-EXP(-LN(2)/25))/(LN(2)/25)*Calculateur!BL125*Calculateur!BN125*VLOOKUP('Données projet'!$B$11,Paramètres!$A$1:$I$89,3,0)*0.475*44/12</f>
        <v>26.298469737758108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32.036480234178995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-8.5265128291212022E-14</v>
      </c>
      <c r="BZ125" s="13">
        <f>BY125*VLOOKUP('Données projet'!$B$12,Paramètres!$A$1:$I$89,3,0)*VLOOKUP('Données projet'!$B$12,Paramètres!$A$1:$I$89,5,0)</f>
        <v>-6.9167072069831198E-14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72.953866894533007</v>
      </c>
      <c r="CE125" s="59">
        <f t="shared" si="94"/>
        <v>60.640359826163092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0</v>
      </c>
      <c r="CL125" s="21">
        <f>EXP(-LN(2)/25)*CL124+(1-EXP(-LN(2)/25))/(LN(2)/25)*Calculateur!CG125*Calculateur!CI125*VLOOKUP('Données projet'!$B$12,Paramètres!$A$1:$I$89,3,0)*0.475*44/12</f>
        <v>6.6625758469473304</v>
      </c>
      <c r="CM125" s="21">
        <f>EXP(-LN(2)/2)*CM124+(1-EXP(-LN(2)/2))/(LN(2)/2)*CG125*CJ125*VLOOKUP('Données projet'!$B$12,Paramètres!$A$1:$I$89,3,0)*0.475*44/12</f>
        <v>3.821573856083785E-4</v>
      </c>
      <c r="CN125" s="22">
        <f t="shared" si="66"/>
        <v>6.6629580043329391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4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443.33262528679836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-1.7053025658242404E-13</v>
      </c>
      <c r="O126" s="13">
        <f>N126*VLOOKUP('Données projet'!$B$9,Paramètres!$A$1:$I$89,3,0)*VLOOKUP('Données projet'!$B$9,Paramètres!$A$1:$I$89,5,0)</f>
        <v>-1.0197709343628959E-13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235.90365770026909</v>
      </c>
      <c r="T126" s="59">
        <f t="shared" si="88"/>
        <v>348.09952585694253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28.39628301463647</v>
      </c>
      <c r="AA126" s="21">
        <f>EXP(-LN(2)/25)*AA125+(1-EXP(-LN(2)/25))/(LN(2)/25)*Calculateur!V126*Calculateur!X126*VLOOKUP('Données projet'!$B$9,Paramètres!$A$1:$I$89,3,0)*0.475*44/12</f>
        <v>5.6041200414652019</v>
      </c>
      <c r="AB126" s="21">
        <f>EXP(-LN(2)/2)*AB125+(1-EXP(-LN(2)/2))/(LN(2)/2)*V126*Y126*VLOOKUP('Données projet'!$B$9,Paramètres!$A$1:$I$89,3,0)*0.475*44/12</f>
        <v>1.2483743784834707E-10</v>
      </c>
      <c r="AC126" s="22">
        <f t="shared" si="57"/>
        <v>34.00040305622651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8.9160000000000021</v>
      </c>
      <c r="AI126" s="13">
        <f>IF('Données projet'!$A$62&gt;35,AI125+AH126-AQ125,IF(A126&lt;'Données projet'!$A$62,$AF$205^A126,IF(A126='Données projet'!$A$62,'Données projet'!$B$62,AI125+AH126-AQ125)))</f>
        <v>442.9440000000007</v>
      </c>
      <c r="AJ126" s="13">
        <f>AI126*VLOOKUP('Données projet'!$B$10,Paramètres!$A$1:$I$89,3,0)*VLOOKUP('Données projet'!$B$10,Paramètres!$A$1:$I$89,5,0)</f>
        <v>400.77573120000062</v>
      </c>
      <c r="AK126" s="13">
        <f t="shared" si="89"/>
        <v>91.933915079444887</v>
      </c>
      <c r="AL126" s="20">
        <f t="shared" si="58"/>
        <v>858.13596727003414</v>
      </c>
      <c r="AM126" s="59">
        <f t="shared" si="59"/>
        <v>1151.4693006033674</v>
      </c>
      <c r="AN126" s="59">
        <f ca="1">AVERAGE(OFFSET($AM$3,0,0,'Données projet'!$E$10+1,1))-AVERAGE(OFFSET($H$3,0,0,'Données projet'!$E$10+1,1))</f>
        <v>490.21869105612649</v>
      </c>
      <c r="AO126" s="59">
        <f t="shared" si="90"/>
        <v>207.08773997010911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30.508820679779241</v>
      </c>
      <c r="AV126" s="21">
        <f>EXP(-LN(2)/25)*AV125+(1-EXP(-LN(2)/25))/(LN(2)/25)*Calculateur!AQ126*Calculateur!AS126*VLOOKUP('Données projet'!$B$10,Paramètres!$A$1:$I$89,3,0)*0.475*44/12</f>
        <v>20.087545698767805</v>
      </c>
      <c r="AW126" s="21">
        <f>EXP(-LN(2)/2)*AW125+(1-EXP(-LN(2)/2))/(LN(2)/2)*AQ126*AT126*VLOOKUP('Données projet'!$B$10,Paramètres!$A$1:$I$89,3,0)*0.475*44/12</f>
        <v>0.24143795310486887</v>
      </c>
      <c r="AX126" s="21">
        <f t="shared" si="60"/>
        <v>50.837804331651917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>
        <f>BD126*VLOOKUP('Données projet'!$B$11,Paramètres!$A$1:$I$89,3,0)*VLOOKUP('Données projet'!$B$11,Paramètres!$A$1:$I$89,5,0)</f>
        <v>0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144.01698107732989</v>
      </c>
      <c r="BJ126" s="59">
        <f t="shared" si="92"/>
        <v>139.28039875117332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5.6254916104268942</v>
      </c>
      <c r="BQ126" s="21">
        <f>EXP(-LN(2)/25)*BQ125+(1-EXP(-LN(2)/25))/(LN(2)/25)*Calculateur!BL126*Calculateur!BN126*VLOOKUP('Données projet'!$B$11,Paramètres!$A$1:$I$89,3,0)*0.475*44/12</f>
        <v>25.579336699802695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31.20482831022959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-8.5265128291212022E-14</v>
      </c>
      <c r="BZ126" s="13">
        <f>BY126*VLOOKUP('Données projet'!$B$12,Paramètres!$A$1:$I$89,3,0)*VLOOKUP('Données projet'!$B$12,Paramètres!$A$1:$I$89,5,0)</f>
        <v>-6.9167072069831198E-14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72.953866894533007</v>
      </c>
      <c r="CE126" s="59">
        <f t="shared" si="94"/>
        <v>60.640359826163092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0</v>
      </c>
      <c r="CL126" s="21">
        <f>EXP(-LN(2)/25)*CL125+(1-EXP(-LN(2)/25))/(LN(2)/25)*Calculateur!CG126*Calculateur!CI126*VLOOKUP('Données projet'!$B$12,Paramètres!$A$1:$I$89,3,0)*0.475*44/12</f>
        <v>6.4803873600429194</v>
      </c>
      <c r="CM126" s="21">
        <f>EXP(-LN(2)/2)*CM125+(1-EXP(-LN(2)/2))/(LN(2)/2)*CG126*CJ126*VLOOKUP('Données projet'!$B$12,Paramètres!$A$1:$I$89,3,0)*0.475*44/12</f>
        <v>2.7022607884420676E-4</v>
      </c>
      <c r="CN126" s="22">
        <f t="shared" si="66"/>
        <v>6.4806575861217635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4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444.52075981249368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-1.7053025658242404E-13</v>
      </c>
      <c r="O127" s="13">
        <f>N127*VLOOKUP('Données projet'!$B$9,Paramètres!$A$1:$I$89,3,0)*VLOOKUP('Données projet'!$B$9,Paramètres!$A$1:$I$89,5,0)</f>
        <v>-1.0197709343628959E-13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235.90365770026909</v>
      </c>
      <c r="T127" s="59">
        <f t="shared" si="88"/>
        <v>348.09952585694253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27.839449224741877</v>
      </c>
      <c r="AA127" s="21">
        <f>EXP(-LN(2)/25)*AA126+(1-EXP(-LN(2)/25))/(LN(2)/25)*Calculateur!V127*Calculateur!X127*VLOOKUP('Données projet'!$B$9,Paramètres!$A$1:$I$89,3,0)*0.475*44/12</f>
        <v>5.4508750842234717</v>
      </c>
      <c r="AB127" s="21">
        <f>EXP(-LN(2)/2)*AB126+(1-EXP(-LN(2)/2))/(LN(2)/2)*V127*Y127*VLOOKUP('Données projet'!$B$9,Paramètres!$A$1:$I$89,3,0)*0.475*44/12</f>
        <v>8.8273398848520379E-11</v>
      </c>
      <c r="AC127" s="22">
        <f t="shared" si="57"/>
        <v>33.290324309053617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>
        <f>VLOOKUP(A127,'Données projet'!$A$61:$I$81,2,0)</f>
        <v>451.86</v>
      </c>
      <c r="AG127" s="12">
        <f>VLOOKUP(A127,'Données projet'!$A$61:$I$81,9,0)</f>
        <v>8.9160000000000021</v>
      </c>
      <c r="AH127" s="12">
        <f t="array" ref="AH127">INDEX(AG:AG,MIN(IF(ISNUMBER(AG127:AG323),ROW(AG127:AG323),"")))</f>
        <v>8.9160000000000021</v>
      </c>
      <c r="AI127" s="13">
        <f>IF('Données projet'!$A$62&gt;35,AI126+AH127-AQ126,IF(A127&lt;'Données projet'!$A$62,$AF$205^A127,IF(A127='Données projet'!$A$62,'Données projet'!$B$62,AI126+AH127-AQ126)))</f>
        <v>451.8600000000007</v>
      </c>
      <c r="AJ127" s="13">
        <f>AI127*VLOOKUP('Données projet'!$B$10,Paramètres!$A$1:$I$89,3,0)*VLOOKUP('Données projet'!$B$10,Paramètres!$A$1:$I$89,5,0)</f>
        <v>408.84292800000065</v>
      </c>
      <c r="AK127" s="13">
        <f t="shared" si="89"/>
        <v>93.567145264891295</v>
      </c>
      <c r="AL127" s="20">
        <f t="shared" si="58"/>
        <v>875.03087760302014</v>
      </c>
      <c r="AM127" s="59">
        <f t="shared" si="59"/>
        <v>1168.3642109363534</v>
      </c>
      <c r="AN127" s="59">
        <f ca="1">AVERAGE(OFFSET($AM$3,0,0,'Données projet'!$E$10+1,1))-AVERAGE(OFFSET($H$3,0,0,'Données projet'!$E$10+1,1))</f>
        <v>490.21869105612649</v>
      </c>
      <c r="AO127" s="59">
        <f t="shared" si="90"/>
        <v>207.08773997010911</v>
      </c>
      <c r="AP127" s="15">
        <f>IF(ISNA(VLOOKUP(A127,'Données projet'!$A$61:$I$81,3,0)),0,VLOOKUP(A127,'Données projet'!$A$61:$I$81,3,0))</f>
        <v>10</v>
      </c>
      <c r="AQ127" s="15">
        <f>IF(ISNA(VLOOKUP(A127,'Données projet'!$A$61:$I$81,4,0)),0,VLOOKUP(A127,'Données projet'!$A$61:$I$81,4,0))</f>
        <v>57.81</v>
      </c>
      <c r="AR127" s="16">
        <f>IF(ISNA(VLOOKUP(A127,'Données projet'!$A$61:$I$81,5,0)),0%,VLOOKUP(A127,'Données projet'!$A$61:$I$81,5,0)*VLOOKUP('Données projet'!$B$10,Paramètres!$A$1:$I$89,7,0))</f>
        <v>0.15049999999999999</v>
      </c>
      <c r="AS127" s="16">
        <f>IF(ISNA(VLOOKUP(A127,'Données projet'!$A$61:$I$81,6,0)),0%,VLOOKUP(A127,'Données projet'!$A$61:$I$81,6,0)*VLOOKUP('Données projet'!$B$10,Paramètres!$A$1:$I$89,7,0))</f>
        <v>8.6000000000000007E-2</v>
      </c>
      <c r="AT127" s="16">
        <f>IF(ISNA(VLOOKUP(A127,'Données projet'!$A$61:$I$81,7,0)),0%,VLOOKUP(A127,'Données projet'!$A$61:$I$81,7,0))</f>
        <v>0.1</v>
      </c>
      <c r="AU127" s="21">
        <f>EXP(-LN(2)/35)*AU126+(1-EXP(-LN(2)/35))/(LN(2)/35)*AQ127*AR127*VLOOKUP('Données projet'!$B$10,Paramètres!$A$1:$I$89,3,0)*0.475*44/12</f>
        <v>38.612963922572</v>
      </c>
      <c r="AV127" s="21">
        <f>EXP(-LN(2)/25)*AV126+(1-EXP(-LN(2)/25))/(LN(2)/25)*Calculateur!AQ127*Calculateur!AS127*VLOOKUP('Données projet'!$B$10,Paramètres!$A$1:$I$89,3,0)*0.475*44/12</f>
        <v>24.491472381184234</v>
      </c>
      <c r="AW127" s="21">
        <f>EXP(-LN(2)/2)*AW126+(1-EXP(-LN(2)/2))/(LN(2)/2)*AQ127*AT127*VLOOKUP('Données projet'!$B$10,Paramètres!$A$1:$I$89,3,0)*0.475*44/12</f>
        <v>5.1059803375246293</v>
      </c>
      <c r="AX127" s="21">
        <f t="shared" si="60"/>
        <v>68.210416641280858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>
        <f>BD127*VLOOKUP('Données projet'!$B$11,Paramètres!$A$1:$I$89,3,0)*VLOOKUP('Données projet'!$B$11,Paramètres!$A$1:$I$89,5,0)</f>
        <v>0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144.01698107732989</v>
      </c>
      <c r="BJ127" s="59">
        <f t="shared" si="92"/>
        <v>139.28039875117332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5.5151791511575015</v>
      </c>
      <c r="BQ127" s="21">
        <f>EXP(-LN(2)/25)*BQ126+(1-EXP(-LN(2)/25))/(LN(2)/25)*Calculateur!BL127*Calculateur!BN127*VLOOKUP('Données projet'!$B$11,Paramètres!$A$1:$I$89,3,0)*0.475*44/12</f>
        <v>24.879868392587735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30.395047543745235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-8.5265128291212022E-14</v>
      </c>
      <c r="BZ127" s="13">
        <f>BY127*VLOOKUP('Données projet'!$B$12,Paramètres!$A$1:$I$89,3,0)*VLOOKUP('Données projet'!$B$12,Paramètres!$A$1:$I$89,5,0)</f>
        <v>-6.9167072069831198E-14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72.953866894533007</v>
      </c>
      <c r="CE127" s="59">
        <f t="shared" si="94"/>
        <v>60.640359826163092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0</v>
      </c>
      <c r="CL127" s="21">
        <f>EXP(-LN(2)/25)*CL126+(1-EXP(-LN(2)/25))/(LN(2)/25)*Calculateur!CG127*Calculateur!CI127*VLOOKUP('Données projet'!$B$12,Paramètres!$A$1:$I$89,3,0)*0.475*44/12</f>
        <v>6.3031808268937857</v>
      </c>
      <c r="CM127" s="21">
        <f>EXP(-LN(2)/2)*CM126+(1-EXP(-LN(2)/2))/(LN(2)/2)*CG127*CJ127*VLOOKUP('Données projet'!$B$12,Paramètres!$A$1:$I$89,3,0)*0.475*44/12</f>
        <v>1.9107869280418925E-4</v>
      </c>
      <c r="CN127" s="22">
        <f t="shared" si="66"/>
        <v>6.30337190558659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4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445.70867179269578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-1.7053025658242404E-13</v>
      </c>
      <c r="O128" s="13">
        <f>N128*VLOOKUP('Données projet'!$B$9,Paramètres!$A$1:$I$89,3,0)*VLOOKUP('Données projet'!$B$9,Paramètres!$A$1:$I$89,5,0)</f>
        <v>-1.0197709343628959E-13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235.90365770026909</v>
      </c>
      <c r="T128" s="59">
        <f t="shared" si="88"/>
        <v>348.09952585694253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27.293534605832043</v>
      </c>
      <c r="AA128" s="21">
        <f>EXP(-LN(2)/25)*AA127+(1-EXP(-LN(2)/25))/(LN(2)/25)*Calculateur!V128*Calculateur!X128*VLOOKUP('Données projet'!$B$9,Paramètres!$A$1:$I$89,3,0)*0.475*44/12</f>
        <v>5.3018206183963184</v>
      </c>
      <c r="AB128" s="21">
        <f>EXP(-LN(2)/2)*AB127+(1-EXP(-LN(2)/2))/(LN(2)/2)*V128*Y128*VLOOKUP('Données projet'!$B$9,Paramètres!$A$1:$I$89,3,0)*0.475*44/12</f>
        <v>6.2418718924173536E-11</v>
      </c>
      <c r="AC128" s="22">
        <f t="shared" si="57"/>
        <v>32.595355224290785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9.0229999999999961</v>
      </c>
      <c r="AI128" s="13">
        <f>IF('Données projet'!$A$62&gt;35,AI127+AH128-AQ127,IF(A128&lt;'Données projet'!$A$62,$AF$205^A128,IF(A128='Données projet'!$A$62,'Données projet'!$B$62,AI127+AH128-AQ127)))</f>
        <v>403.07300000000072</v>
      </c>
      <c r="AJ128" s="13">
        <f>AI128*VLOOKUP('Données projet'!$B$10,Paramètres!$A$1:$I$89,3,0)*VLOOKUP('Données projet'!$B$10,Paramètres!$A$1:$I$89,5,0)</f>
        <v>364.70045040000065</v>
      </c>
      <c r="AK128" s="13">
        <f t="shared" si="89"/>
        <v>84.582200429685614</v>
      </c>
      <c r="AL128" s="20">
        <f t="shared" si="58"/>
        <v>782.50061686170341</v>
      </c>
      <c r="AM128" s="59">
        <f t="shared" si="59"/>
        <v>1075.8339501950368</v>
      </c>
      <c r="AN128" s="59">
        <f ca="1">AVERAGE(OFFSET($AM$3,0,0,'Données projet'!$E$10+1,1))-AVERAGE(OFFSET($H$3,0,0,'Données projet'!$E$10+1,1))</f>
        <v>490.21869105612649</v>
      </c>
      <c r="AO128" s="59">
        <f t="shared" si="90"/>
        <v>207.08773997010911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37.855787251632833</v>
      </c>
      <c r="AV128" s="21">
        <f>EXP(-LN(2)/25)*AV127+(1-EXP(-LN(2)/25))/(LN(2)/25)*Calculateur!AQ128*Calculateur!AS128*VLOOKUP('Données projet'!$B$10,Paramètres!$A$1:$I$89,3,0)*0.475*44/12</f>
        <v>23.821751780970196</v>
      </c>
      <c r="AW128" s="21">
        <f>EXP(-LN(2)/2)*AW127+(1-EXP(-LN(2)/2))/(LN(2)/2)*AQ128*AT128*VLOOKUP('Données projet'!$B$10,Paramètres!$A$1:$I$89,3,0)*0.475*44/12</f>
        <v>3.6104733212688425</v>
      </c>
      <c r="AX128" s="21">
        <f t="shared" si="60"/>
        <v>65.288012353871878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>
        <f>BD128*VLOOKUP('Données projet'!$B$11,Paramètres!$A$1:$I$89,3,0)*VLOOKUP('Données projet'!$B$11,Paramètres!$A$1:$I$89,5,0)</f>
        <v>0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144.01698107732989</v>
      </c>
      <c r="BJ128" s="59">
        <f t="shared" si="92"/>
        <v>139.28039875117332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5.4070298519304245</v>
      </c>
      <c r="BQ128" s="21">
        <f>EXP(-LN(2)/25)*BQ127+(1-EXP(-LN(2)/25))/(LN(2)/25)*Calculateur!BL128*Calculateur!BN128*VLOOKUP('Données projet'!$B$11,Paramètres!$A$1:$I$89,3,0)*0.475*44/12</f>
        <v>24.19952708301701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29.606556934947434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-8.5265128291212022E-14</v>
      </c>
      <c r="BZ128" s="13">
        <f>BY128*VLOOKUP('Données projet'!$B$12,Paramètres!$A$1:$I$89,3,0)*VLOOKUP('Données projet'!$B$12,Paramètres!$A$1:$I$89,5,0)</f>
        <v>-6.9167072069831198E-14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72.953866894533007</v>
      </c>
      <c r="CE128" s="59">
        <f t="shared" si="94"/>
        <v>60.640359826163092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0</v>
      </c>
      <c r="CL128" s="21">
        <f>EXP(-LN(2)/25)*CL127+(1-EXP(-LN(2)/25))/(LN(2)/25)*Calculateur!CG128*Calculateur!CI128*VLOOKUP('Données projet'!$B$12,Paramètres!$A$1:$I$89,3,0)*0.475*44/12</f>
        <v>6.1308200157125015</v>
      </c>
      <c r="CM128" s="21">
        <f>EXP(-LN(2)/2)*CM127+(1-EXP(-LN(2)/2))/(LN(2)/2)*CG128*CJ128*VLOOKUP('Données projet'!$B$12,Paramètres!$A$1:$I$89,3,0)*0.475*44/12</f>
        <v>1.3511303942210338E-4</v>
      </c>
      <c r="CN128" s="22">
        <f t="shared" si="66"/>
        <v>6.1309551287519239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4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446.89636321412058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-1.7053025658242404E-13</v>
      </c>
      <c r="O129" s="13">
        <f>N129*VLOOKUP('Données projet'!$B$9,Paramètres!$A$1:$I$89,3,0)*VLOOKUP('Données projet'!$B$9,Paramètres!$A$1:$I$89,5,0)</f>
        <v>-1.0197709343628959E-13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235.90365770026909</v>
      </c>
      <c r="T129" s="59">
        <f t="shared" si="88"/>
        <v>348.09952585694253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26.75832503962399</v>
      </c>
      <c r="AA129" s="21">
        <f>EXP(-LN(2)/25)*AA128+(1-EXP(-LN(2)/25))/(LN(2)/25)*Calculateur!V129*Calculateur!X129*VLOOKUP('Données projet'!$B$9,Paramètres!$A$1:$I$89,3,0)*0.475*44/12</f>
        <v>5.1568420547756419</v>
      </c>
      <c r="AB129" s="21">
        <f>EXP(-LN(2)/2)*AB128+(1-EXP(-LN(2)/2))/(LN(2)/2)*V129*Y129*VLOOKUP('Données projet'!$B$9,Paramètres!$A$1:$I$89,3,0)*0.475*44/12</f>
        <v>4.413669942426019E-11</v>
      </c>
      <c r="AC129" s="22">
        <f t="shared" si="57"/>
        <v>31.915167094443767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9.0229999999999961</v>
      </c>
      <c r="AI129" s="13">
        <f>IF('Données projet'!$A$62&gt;35,AI128+AH129-AQ128,IF(A129&lt;'Données projet'!$A$62,$AF$205^A129,IF(A129='Données projet'!$A$62,'Données projet'!$B$62,AI128+AH129-AQ128)))</f>
        <v>412.09600000000069</v>
      </c>
      <c r="AJ129" s="13">
        <f>AI129*VLOOKUP('Données projet'!$B$10,Paramètres!$A$1:$I$89,3,0)*VLOOKUP('Données projet'!$B$10,Paramètres!$A$1:$I$89,5,0)</f>
        <v>372.86446080000059</v>
      </c>
      <c r="AK129" s="13">
        <f t="shared" si="89"/>
        <v>86.253061792690659</v>
      </c>
      <c r="AL129" s="20">
        <f t="shared" si="58"/>
        <v>799.62968518227046</v>
      </c>
      <c r="AM129" s="59">
        <f t="shared" si="59"/>
        <v>1092.9630185156038</v>
      </c>
      <c r="AN129" s="59">
        <f ca="1">AVERAGE(OFFSET($AM$3,0,0,'Données projet'!$E$10+1,1))-AVERAGE(OFFSET($H$3,0,0,'Données projet'!$E$10+1,1))</f>
        <v>490.21869105612649</v>
      </c>
      <c r="AO129" s="59">
        <f t="shared" si="90"/>
        <v>207.08773997010911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37.113458353378611</v>
      </c>
      <c r="AV129" s="21">
        <f>EXP(-LN(2)/25)*AV128+(1-EXP(-LN(2)/25))/(LN(2)/25)*Calculateur!AQ129*Calculateur!AS129*VLOOKUP('Données projet'!$B$10,Paramètres!$A$1:$I$89,3,0)*0.475*44/12</f>
        <v>23.170344725788084</v>
      </c>
      <c r="AW129" s="21">
        <f>EXP(-LN(2)/2)*AW128+(1-EXP(-LN(2)/2))/(LN(2)/2)*AQ129*AT129*VLOOKUP('Données projet'!$B$10,Paramètres!$A$1:$I$89,3,0)*0.475*44/12</f>
        <v>2.5529901687623151</v>
      </c>
      <c r="AX129" s="21">
        <f t="shared" si="60"/>
        <v>62.836793247929009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>
        <f>BD129*VLOOKUP('Données projet'!$B$11,Paramètres!$A$1:$I$89,3,0)*VLOOKUP('Données projet'!$B$11,Paramètres!$A$1:$I$89,5,0)</f>
        <v>0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144.01698107732989</v>
      </c>
      <c r="BJ129" s="59">
        <f t="shared" si="92"/>
        <v>139.28039875117332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5.3010012944966318</v>
      </c>
      <c r="BQ129" s="21">
        <f>EXP(-LN(2)/25)*BQ128+(1-EXP(-LN(2)/25))/(LN(2)/25)*Calculateur!BL129*Calculateur!BN129*VLOOKUP('Données projet'!$B$11,Paramètres!$A$1:$I$89,3,0)*0.475*44/12</f>
        <v>23.537789742334088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28.83879103683072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-8.5265128291212022E-14</v>
      </c>
      <c r="BZ129" s="13">
        <f>BY129*VLOOKUP('Données projet'!$B$12,Paramètres!$A$1:$I$89,3,0)*VLOOKUP('Données projet'!$B$12,Paramètres!$A$1:$I$89,5,0)</f>
        <v>-6.9167072069831198E-14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72.953866894533007</v>
      </c>
      <c r="CE129" s="59">
        <f t="shared" si="94"/>
        <v>60.640359826163092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0</v>
      </c>
      <c r="CL129" s="21">
        <f>EXP(-LN(2)/25)*CL128+(1-EXP(-LN(2)/25))/(LN(2)/25)*Calculateur!CG129*Calculateur!CI129*VLOOKUP('Données projet'!$B$12,Paramètres!$A$1:$I$89,3,0)*0.475*44/12</f>
        <v>5.9631724199770311</v>
      </c>
      <c r="CM129" s="21">
        <f>EXP(-LN(2)/2)*CM128+(1-EXP(-LN(2)/2))/(LN(2)/2)*CG129*CJ129*VLOOKUP('Données projet'!$B$12,Paramètres!$A$1:$I$89,3,0)*0.475*44/12</f>
        <v>9.5539346402094625E-5</v>
      </c>
      <c r="CN129" s="22">
        <f t="shared" si="66"/>
        <v>5.9632679593234332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4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448.08383603012737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-1.7053025658242404E-13</v>
      </c>
      <c r="O130" s="13">
        <f>N130*VLOOKUP('Données projet'!$B$9,Paramètres!$A$1:$I$89,3,0)*VLOOKUP('Données projet'!$B$9,Paramètres!$A$1:$I$89,5,0)</f>
        <v>-1.0197709343628959E-13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235.90365770026909</v>
      </c>
      <c r="T130" s="59">
        <f t="shared" si="88"/>
        <v>348.09952585694253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26.233610606563676</v>
      </c>
      <c r="AA130" s="21">
        <f>EXP(-LN(2)/25)*AA129+(1-EXP(-LN(2)/25))/(LN(2)/25)*Calculateur!V130*Calculateur!X130*VLOOKUP('Données projet'!$B$9,Paramètres!$A$1:$I$89,3,0)*0.475*44/12</f>
        <v>5.0158279376012649</v>
      </c>
      <c r="AB130" s="21">
        <f>EXP(-LN(2)/2)*AB129+(1-EXP(-LN(2)/2))/(LN(2)/2)*V130*Y130*VLOOKUP('Données projet'!$B$9,Paramètres!$A$1:$I$89,3,0)*0.475*44/12</f>
        <v>3.1209359462086768E-11</v>
      </c>
      <c r="AC130" s="22">
        <f t="shared" si="57"/>
        <v>31.249438544196153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9.0229999999999961</v>
      </c>
      <c r="AI130" s="13">
        <f>IF('Données projet'!$A$62&gt;35,AI129+AH130-AQ129,IF(A130&lt;'Données projet'!$A$62,$AF$205^A130,IF(A130='Données projet'!$A$62,'Données projet'!$B$62,AI129+AH130-AQ129)))</f>
        <v>421.11900000000071</v>
      </c>
      <c r="AJ130" s="13">
        <f>AI130*VLOOKUP('Données projet'!$B$10,Paramètres!$A$1:$I$89,3,0)*VLOOKUP('Données projet'!$B$10,Paramètres!$A$1:$I$89,5,0)</f>
        <v>381.02847120000064</v>
      </c>
      <c r="AK130" s="13">
        <f t="shared" si="89"/>
        <v>87.919669823283783</v>
      </c>
      <c r="AL130" s="20">
        <f t="shared" si="58"/>
        <v>816.75134561555353</v>
      </c>
      <c r="AM130" s="59">
        <f t="shared" si="59"/>
        <v>1110.0846789488869</v>
      </c>
      <c r="AN130" s="59">
        <f ca="1">AVERAGE(OFFSET($AM$3,0,0,'Données projet'!$E$10+1,1))-AVERAGE(OFFSET($H$3,0,0,'Données projet'!$E$10+1,1))</f>
        <v>490.21869105612649</v>
      </c>
      <c r="AO130" s="59">
        <f t="shared" si="90"/>
        <v>207.08773997010911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36.385686072043235</v>
      </c>
      <c r="AV130" s="21">
        <f>EXP(-LN(2)/25)*AV129+(1-EXP(-LN(2)/25))/(LN(2)/25)*Calculateur!AQ130*Calculateur!AS130*VLOOKUP('Données projet'!$B$10,Paramètres!$A$1:$I$89,3,0)*0.475*44/12</f>
        <v>22.536750430785936</v>
      </c>
      <c r="AW130" s="21">
        <f>EXP(-LN(2)/2)*AW129+(1-EXP(-LN(2)/2))/(LN(2)/2)*AQ130*AT130*VLOOKUP('Données projet'!$B$10,Paramètres!$A$1:$I$89,3,0)*0.475*44/12</f>
        <v>1.8052366606344215</v>
      </c>
      <c r="AX130" s="21">
        <f t="shared" si="60"/>
        <v>60.727673163463592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>
        <f>BD130*VLOOKUP('Données projet'!$B$11,Paramètres!$A$1:$I$89,3,0)*VLOOKUP('Données projet'!$B$11,Paramètres!$A$1:$I$89,5,0)</f>
        <v>0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144.01698107732989</v>
      </c>
      <c r="BJ130" s="59">
        <f t="shared" si="92"/>
        <v>139.28039875117332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5.1970518924030813</v>
      </c>
      <c r="BQ130" s="21">
        <f>EXP(-LN(2)/25)*BQ129+(1-EXP(-LN(2)/25))/(LN(2)/25)*Calculateur!BL130*Calculateur!BN130*VLOOKUP('Données projet'!$B$11,Paramètres!$A$1:$I$89,3,0)*0.475*44/12</f>
        <v>22.894147644031396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28.091199536434477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-8.5265128291212022E-14</v>
      </c>
      <c r="BZ130" s="13">
        <f>BY130*VLOOKUP('Données projet'!$B$12,Paramètres!$A$1:$I$89,3,0)*VLOOKUP('Données projet'!$B$12,Paramètres!$A$1:$I$89,5,0)</f>
        <v>-6.9167072069831198E-14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72.953866894533007</v>
      </c>
      <c r="CE130" s="59">
        <f t="shared" si="94"/>
        <v>60.640359826163092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0</v>
      </c>
      <c r="CL130" s="21">
        <f>EXP(-LN(2)/25)*CL129+(1-EXP(-LN(2)/25))/(LN(2)/25)*Calculateur!CG130*Calculateur!CI130*VLOOKUP('Données projet'!$B$12,Paramètres!$A$1:$I$89,3,0)*0.475*44/12</f>
        <v>5.8001091565631508</v>
      </c>
      <c r="CM130" s="21">
        <f>EXP(-LN(2)/2)*CM129+(1-EXP(-LN(2)/2))/(LN(2)/2)*CG130*CJ130*VLOOKUP('Données projet'!$B$12,Paramètres!$A$1:$I$89,3,0)*0.475*44/12</f>
        <v>6.7556519711051689E-5</v>
      </c>
      <c r="CN130" s="22">
        <f t="shared" si="66"/>
        <v>5.8001767130828616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4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449.27109216153792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-1.7053025658242404E-13</v>
      </c>
      <c r="O131" s="13">
        <f>N131*VLOOKUP('Données projet'!$B$9,Paramètres!$A$1:$I$89,3,0)*VLOOKUP('Données projet'!$B$9,Paramètres!$A$1:$I$89,5,0)</f>
        <v>-1.0197709343628959E-13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235.90365770026909</v>
      </c>
      <c r="T131" s="59">
        <f t="shared" si="88"/>
        <v>348.09952585694253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25.719185503491474</v>
      </c>
      <c r="AA131" s="21">
        <f>EXP(-LN(2)/25)*AA130+(1-EXP(-LN(2)/25))/(LN(2)/25)*Calculateur!V131*Calculateur!X131*VLOOKUP('Données projet'!$B$9,Paramètres!$A$1:$I$89,3,0)*0.475*44/12</f>
        <v>4.8786698588766306</v>
      </c>
      <c r="AB131" s="21">
        <f>EXP(-LN(2)/2)*AB130+(1-EXP(-LN(2)/2))/(LN(2)/2)*V131*Y131*VLOOKUP('Données projet'!$B$9,Paramètres!$A$1:$I$89,3,0)*0.475*44/12</f>
        <v>2.2068349712130095E-11</v>
      </c>
      <c r="AC131" s="22">
        <f t="shared" si="57"/>
        <v>30.597855362390174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9.0229999999999961</v>
      </c>
      <c r="AI131" s="13">
        <f>IF('Données projet'!$A$62&gt;35,AI130+AH131-AQ130,IF(A131&lt;'Données projet'!$A$62,$AF$205^A131,IF(A131='Données projet'!$A$62,'Données projet'!$B$62,AI130+AH131-AQ130)))</f>
        <v>430.14200000000073</v>
      </c>
      <c r="AJ131" s="13">
        <f>AI131*VLOOKUP('Données projet'!$B$10,Paramètres!$A$1:$I$89,3,0)*VLOOKUP('Données projet'!$B$10,Paramètres!$A$1:$I$89,5,0)</f>
        <v>389.19248160000063</v>
      </c>
      <c r="AK131" s="13">
        <f t="shared" si="89"/>
        <v>89.582126151232899</v>
      </c>
      <c r="AL131" s="20">
        <f t="shared" si="58"/>
        <v>833.86577516673162</v>
      </c>
      <c r="AM131" s="59">
        <f t="shared" si="59"/>
        <v>1127.199108500065</v>
      </c>
      <c r="AN131" s="59">
        <f ca="1">AVERAGE(OFFSET($AM$3,0,0,'Données projet'!$E$10+1,1))-AVERAGE(OFFSET($H$3,0,0,'Données projet'!$E$10+1,1))</f>
        <v>490.21869105612649</v>
      </c>
      <c r="AO131" s="59">
        <f t="shared" si="90"/>
        <v>207.08773997010911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35.672184961247588</v>
      </c>
      <c r="AV131" s="21">
        <f>EXP(-LN(2)/25)*AV130+(1-EXP(-LN(2)/25))/(LN(2)/25)*Calculateur!AQ131*Calculateur!AS131*VLOOKUP('Données projet'!$B$10,Paramètres!$A$1:$I$89,3,0)*0.475*44/12</f>
        <v>21.920481805099897</v>
      </c>
      <c r="AW131" s="21">
        <f>EXP(-LN(2)/2)*AW130+(1-EXP(-LN(2)/2))/(LN(2)/2)*AQ131*AT131*VLOOKUP('Données projet'!$B$10,Paramètres!$A$1:$I$89,3,0)*0.475*44/12</f>
        <v>1.2764950843811578</v>
      </c>
      <c r="AX131" s="21">
        <f t="shared" si="60"/>
        <v>58.869161850728645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>
        <f>BD131*VLOOKUP('Données projet'!$B$11,Paramètres!$A$1:$I$89,3,0)*VLOOKUP('Données projet'!$B$11,Paramètres!$A$1:$I$89,5,0)</f>
        <v>0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144.01698107732989</v>
      </c>
      <c r="BJ131" s="59">
        <f t="shared" si="92"/>
        <v>139.28039875117332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5.0951408746817108</v>
      </c>
      <c r="BQ131" s="21">
        <f>EXP(-LN(2)/25)*BQ130+(1-EXP(-LN(2)/25))/(LN(2)/25)*Calculateur!BL131*Calculateur!BN131*VLOOKUP('Données projet'!$B$11,Paramètres!$A$1:$I$89,3,0)*0.475*44/12</f>
        <v>22.268105972754459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27.363246847436169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-8.5265128291212022E-14</v>
      </c>
      <c r="BZ131" s="13">
        <f>BY131*VLOOKUP('Données projet'!$B$12,Paramètres!$A$1:$I$89,3,0)*VLOOKUP('Données projet'!$B$12,Paramètres!$A$1:$I$89,5,0)</f>
        <v>-6.9167072069831198E-14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72.953866894533007</v>
      </c>
      <c r="CE131" s="59">
        <f t="shared" si="94"/>
        <v>60.640359826163092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0</v>
      </c>
      <c r="CL131" s="21">
        <f>EXP(-LN(2)/25)*CL130+(1-EXP(-LN(2)/25))/(LN(2)/25)*Calculateur!CG131*Calculateur!CI131*VLOOKUP('Données projet'!$B$12,Paramètres!$A$1:$I$89,3,0)*0.475*44/12</f>
        <v>5.641504866662447</v>
      </c>
      <c r="CM131" s="21">
        <f>EXP(-LN(2)/2)*CM130+(1-EXP(-LN(2)/2))/(LN(2)/2)*CG131*CJ131*VLOOKUP('Données projet'!$B$12,Paramètres!$A$1:$I$89,3,0)*0.475*44/12</f>
        <v>4.7769673201047313E-5</v>
      </c>
      <c r="CN131" s="22">
        <f t="shared" si="66"/>
        <v>5.6415526363356481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4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450.45813349742764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-1.7053025658242404E-13</v>
      </c>
      <c r="O132" s="13">
        <f>N132*VLOOKUP('Données projet'!$B$9,Paramètres!$A$1:$I$89,3,0)*VLOOKUP('Données projet'!$B$9,Paramètres!$A$1:$I$89,5,0)</f>
        <v>-1.0197709343628959E-13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235.90365770026909</v>
      </c>
      <c r="T132" s="59">
        <f t="shared" si="88"/>
        <v>348.09952585694253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25.214847962922185</v>
      </c>
      <c r="AA132" s="21">
        <f>EXP(-LN(2)/25)*AA131+(1-EXP(-LN(2)/25))/(LN(2)/25)*Calculateur!V132*Calculateur!X132*VLOOKUP('Données projet'!$B$9,Paramètres!$A$1:$I$89,3,0)*0.475*44/12</f>
        <v>4.7452623750275515</v>
      </c>
      <c r="AB132" s="21">
        <f>EXP(-LN(2)/2)*AB131+(1-EXP(-LN(2)/2))/(LN(2)/2)*V132*Y132*VLOOKUP('Données projet'!$B$9,Paramètres!$A$1:$I$89,3,0)*0.475*44/12</f>
        <v>1.5604679731043384E-11</v>
      </c>
      <c r="AC132" s="22">
        <f t="shared" ref="AC132:AC153" si="111">SUM(Z132:AB132)</f>
        <v>29.96011033796534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9.0229999999999961</v>
      </c>
      <c r="AI132" s="13">
        <f>IF('Données projet'!$A$62&gt;35,AI131+AH132-AQ131,IF(A132&lt;'Données projet'!$A$62,$AF$205^A132,IF(A132='Données projet'!$A$62,'Données projet'!$B$62,AI131+AH132-AQ131)))</f>
        <v>439.16500000000076</v>
      </c>
      <c r="AJ132" s="13">
        <f>AI132*VLOOKUP('Données projet'!$B$10,Paramètres!$A$1:$I$89,3,0)*VLOOKUP('Données projet'!$B$10,Paramètres!$A$1:$I$89,5,0)</f>
        <v>397.35649200000069</v>
      </c>
      <c r="AK132" s="13">
        <f t="shared" si="89"/>
        <v>91.240527898934658</v>
      </c>
      <c r="AL132" s="20">
        <f t="shared" ref="AL132:AL153" si="112">(AJ132+AK132)*0.475*44/12</f>
        <v>850.97314299064567</v>
      </c>
      <c r="AM132" s="59">
        <f t="shared" ref="AM132:AM195" si="113">AL132+(AD132+AE132)*44/12</f>
        <v>1144.306476323979</v>
      </c>
      <c r="AN132" s="59">
        <f ca="1">AVERAGE(OFFSET($AM$3,0,0,'Données projet'!$E$10+1,1))-AVERAGE(OFFSET($H$3,0,0,'Données projet'!$E$10+1,1))</f>
        <v>490.21869105612649</v>
      </c>
      <c r="AO132" s="59">
        <f t="shared" si="90"/>
        <v>207.08773997010911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34.972675172041939</v>
      </c>
      <c r="AV132" s="21">
        <f>EXP(-LN(2)/25)*AV131+(1-EXP(-LN(2)/25))/(LN(2)/25)*Calculateur!AQ132*Calculateur!AS132*VLOOKUP('Données projet'!$B$10,Paramètres!$A$1:$I$89,3,0)*0.475*44/12</f>
        <v>21.321065077391403</v>
      </c>
      <c r="AW132" s="21">
        <f>EXP(-LN(2)/2)*AW131+(1-EXP(-LN(2)/2))/(LN(2)/2)*AQ132*AT132*VLOOKUP('Données projet'!$B$10,Paramètres!$A$1:$I$89,3,0)*0.475*44/12</f>
        <v>0.90261833031721095</v>
      </c>
      <c r="AX132" s="21">
        <f t="shared" ref="AX132:AX153" si="114">SUM(AU132:AW132)</f>
        <v>57.196358579750552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>
        <f>BD132*VLOOKUP('Données projet'!$B$11,Paramètres!$A$1:$I$89,3,0)*VLOOKUP('Données projet'!$B$11,Paramètres!$A$1:$I$89,5,0)</f>
        <v>0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144.01698107732989</v>
      </c>
      <c r="BJ132" s="59">
        <f t="shared" si="92"/>
        <v>139.28039875117332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4.9952282698582735</v>
      </c>
      <c r="BQ132" s="21">
        <f>EXP(-LN(2)/25)*BQ131+(1-EXP(-LN(2)/25))/(LN(2)/25)*Calculateur!BL132*Calculateur!BN132*VLOOKUP('Données projet'!$B$11,Paramètres!$A$1:$I$89,3,0)*0.475*44/12</f>
        <v>21.659183443900691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26.654411713758964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-8.5265128291212022E-14</v>
      </c>
      <c r="BZ132" s="13">
        <f>BY132*VLOOKUP('Données projet'!$B$12,Paramètres!$A$1:$I$89,3,0)*VLOOKUP('Données projet'!$B$12,Paramètres!$A$1:$I$89,5,0)</f>
        <v>-6.9167072069831198E-14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72.953866894533007</v>
      </c>
      <c r="CE132" s="59">
        <f t="shared" si="94"/>
        <v>60.640359826163092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0</v>
      </c>
      <c r="CL132" s="21">
        <f>EXP(-LN(2)/25)*CL131+(1-EXP(-LN(2)/25))/(LN(2)/25)*Calculateur!CG132*Calculateur!CI132*VLOOKUP('Données projet'!$B$12,Paramètres!$A$1:$I$89,3,0)*0.475*44/12</f>
        <v>5.487237619409715</v>
      </c>
      <c r="CM132" s="21">
        <f>EXP(-LN(2)/2)*CM131+(1-EXP(-LN(2)/2))/(LN(2)/2)*CG132*CJ132*VLOOKUP('Données projet'!$B$12,Paramètres!$A$1:$I$89,3,0)*0.475*44/12</f>
        <v>3.3778259855525844E-5</v>
      </c>
      <c r="CN132" s="22">
        <f t="shared" ref="CN132:CN153" si="120">SUM(CK132:CM132)</f>
        <v>5.4872713976695708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4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451.64496189589244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-1.7053025658242404E-13</v>
      </c>
      <c r="O133" s="13">
        <f>N133*VLOOKUP('Données projet'!$B$9,Paramètres!$A$1:$I$89,3,0)*VLOOKUP('Données projet'!$B$9,Paramètres!$A$1:$I$89,5,0)</f>
        <v>-1.0197709343628959E-13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235.90365770026909</v>
      </c>
      <c r="T133" s="59">
        <f t="shared" ref="T133:T196" si="142">$T$3</f>
        <v>348.09952585694253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24.720400173907937</v>
      </c>
      <c r="AA133" s="21">
        <f>EXP(-LN(2)/25)*AA132+(1-EXP(-LN(2)/25))/(LN(2)/25)*Calculateur!V133*Calculateur!X133*VLOOKUP('Données projet'!$B$9,Paramètres!$A$1:$I$89,3,0)*0.475*44/12</f>
        <v>4.6155029258399205</v>
      </c>
      <c r="AB133" s="21">
        <f>EXP(-LN(2)/2)*AB132+(1-EXP(-LN(2)/2))/(LN(2)/2)*V133*Y133*VLOOKUP('Données projet'!$B$9,Paramètres!$A$1:$I$89,3,0)*0.475*44/12</f>
        <v>1.1034174856065047E-11</v>
      </c>
      <c r="AC133" s="22">
        <f t="shared" si="111"/>
        <v>29.335903099758891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9.0229999999999961</v>
      </c>
      <c r="AI133" s="13">
        <f>IF('Données projet'!$A$62&gt;35,AI132+AH133-AQ132,IF(A133&lt;'Données projet'!$A$62,$AF$205^A133,IF(A133='Données projet'!$A$62,'Données projet'!$B$62,AI132+AH133-AQ132)))</f>
        <v>448.18800000000078</v>
      </c>
      <c r="AJ133" s="13">
        <f>AI133*VLOOKUP('Données projet'!$B$10,Paramètres!$A$1:$I$89,3,0)*VLOOKUP('Données projet'!$B$10,Paramètres!$A$1:$I$89,5,0)</f>
        <v>405.52050240000068</v>
      </c>
      <c r="AK133" s="13">
        <f t="shared" ref="AK133:AK153" si="143">EXP(-1.0587+0.8836*LN(AJ133)+0.284)</f>
        <v>92.894967969753338</v>
      </c>
      <c r="AL133" s="20">
        <f t="shared" si="112"/>
        <v>868.07361089398819</v>
      </c>
      <c r="AM133" s="59">
        <f t="shared" si="113"/>
        <v>1161.4069442273214</v>
      </c>
      <c r="AN133" s="59">
        <f ca="1">AVERAGE(OFFSET($AM$3,0,0,'Données projet'!$E$10+1,1))-AVERAGE(OFFSET($H$3,0,0,'Données projet'!$E$10+1,1))</f>
        <v>490.21869105612649</v>
      </c>
      <c r="AO133" s="59">
        <f t="shared" ref="AO133:AO196" si="144">$AO$3</f>
        <v>207.08773997010911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34.286882343143766</v>
      </c>
      <c r="AV133" s="21">
        <f>EXP(-LN(2)/25)*AV132+(1-EXP(-LN(2)/25))/(LN(2)/25)*Calculateur!AQ133*Calculateur!AS133*VLOOKUP('Données projet'!$B$10,Paramètres!$A$1:$I$89,3,0)*0.475*44/12</f>
        <v>20.738039431624053</v>
      </c>
      <c r="AW133" s="21">
        <f>EXP(-LN(2)/2)*AW132+(1-EXP(-LN(2)/2))/(LN(2)/2)*AQ133*AT133*VLOOKUP('Données projet'!$B$10,Paramètres!$A$1:$I$89,3,0)*0.475*44/12</f>
        <v>0.638247542190579</v>
      </c>
      <c r="AX133" s="21">
        <f t="shared" si="114"/>
        <v>55.663169316958395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>
        <f>BD133*VLOOKUP('Données projet'!$B$11,Paramètres!$A$1:$I$89,3,0)*VLOOKUP('Données projet'!$B$11,Paramètres!$A$1:$I$89,5,0)</f>
        <v>0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144.01698107732989</v>
      </c>
      <c r="BJ133" s="59">
        <f t="shared" ref="BJ133:BJ196" si="146">$BJ$3</f>
        <v>139.28039875117332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4.897274890274752</v>
      </c>
      <c r="BQ133" s="21">
        <f>EXP(-LN(2)/25)*BQ132+(1-EXP(-LN(2)/25))/(LN(2)/25)*Calculateur!BL133*Calculateur!BN133*VLOOKUP('Données projet'!$B$11,Paramètres!$A$1:$I$89,3,0)*0.475*44/12</f>
        <v>21.066911933620272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25.964186823895023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-8.5265128291212022E-14</v>
      </c>
      <c r="BZ133" s="13">
        <f>BY133*VLOOKUP('Données projet'!$B$12,Paramètres!$A$1:$I$89,3,0)*VLOOKUP('Données projet'!$B$12,Paramètres!$A$1:$I$89,5,0)</f>
        <v>-6.9167072069831198E-14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72.953866894533007</v>
      </c>
      <c r="CE133" s="59">
        <f t="shared" ref="CE133:CE196" si="148">$CE$3</f>
        <v>60.640359826163092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0</v>
      </c>
      <c r="CL133" s="21">
        <f>EXP(-LN(2)/25)*CL132+(1-EXP(-LN(2)/25))/(LN(2)/25)*Calculateur!CG133*Calculateur!CI133*VLOOKUP('Données projet'!$B$12,Paramètres!$A$1:$I$89,3,0)*0.475*44/12</f>
        <v>5.3371888181456715</v>
      </c>
      <c r="CM133" s="21">
        <f>EXP(-LN(2)/2)*CM132+(1-EXP(-LN(2)/2))/(LN(2)/2)*CG133*CJ133*VLOOKUP('Données projet'!$B$12,Paramètres!$A$1:$I$89,3,0)*0.475*44/12</f>
        <v>2.3884836600523656E-5</v>
      </c>
      <c r="CN133" s="22">
        <f t="shared" si="120"/>
        <v>5.3372127029822716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4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452.83157918479128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-1.7053025658242404E-13</v>
      </c>
      <c r="O134" s="13">
        <f>N134*VLOOKUP('Données projet'!$B$9,Paramètres!$A$1:$I$89,3,0)*VLOOKUP('Données projet'!$B$9,Paramètres!$A$1:$I$89,5,0)</f>
        <v>-1.0197709343628959E-13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235.90365770026909</v>
      </c>
      <c r="T134" s="59">
        <f t="shared" si="142"/>
        <v>348.09952585694253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24.235648204452882</v>
      </c>
      <c r="AA134" s="21">
        <f>EXP(-LN(2)/25)*AA133+(1-EXP(-LN(2)/25))/(LN(2)/25)*Calculateur!V134*Calculateur!X134*VLOOKUP('Données projet'!$B$9,Paramètres!$A$1:$I$89,3,0)*0.475*44/12</f>
        <v>4.4892917556140777</v>
      </c>
      <c r="AB134" s="21">
        <f>EXP(-LN(2)/2)*AB133+(1-EXP(-LN(2)/2))/(LN(2)/2)*V134*Y134*VLOOKUP('Données projet'!$B$9,Paramètres!$A$1:$I$89,3,0)*0.475*44/12</f>
        <v>7.802339865521692E-12</v>
      </c>
      <c r="AC134" s="22">
        <f t="shared" si="111"/>
        <v>28.724939960074764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9.0229999999999961</v>
      </c>
      <c r="AI134" s="13">
        <f>IF('Données projet'!$A$62&gt;35,AI133+AH134-AQ133,IF(A134&lt;'Données projet'!$A$62,$AF$205^A134,IF(A134='Données projet'!$A$62,'Données projet'!$B$62,AI133+AH134-AQ133)))</f>
        <v>457.21100000000081</v>
      </c>
      <c r="AJ134" s="13">
        <f>AI134*VLOOKUP('Données projet'!$B$10,Paramètres!$A$1:$I$89,3,0)*VLOOKUP('Données projet'!$B$10,Paramètres!$A$1:$I$89,5,0)</f>
        <v>413.68451280000073</v>
      </c>
      <c r="AK134" s="13">
        <f t="shared" si="143"/>
        <v>94.545535312483779</v>
      </c>
      <c r="AL134" s="20">
        <f t="shared" si="112"/>
        <v>885.16733379591051</v>
      </c>
      <c r="AM134" s="59">
        <f t="shared" si="113"/>
        <v>1178.5006671292438</v>
      </c>
      <c r="AN134" s="59">
        <f ca="1">AVERAGE(OFFSET($AM$3,0,0,'Données projet'!$E$10+1,1))-AVERAGE(OFFSET($H$3,0,0,'Données projet'!$E$10+1,1))</f>
        <v>490.21869105612649</v>
      </c>
      <c r="AO134" s="59">
        <f t="shared" si="144"/>
        <v>207.08773997010911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33.614537493327965</v>
      </c>
      <c r="AV134" s="21">
        <f>EXP(-LN(2)/25)*AV133+(1-EXP(-LN(2)/25))/(LN(2)/25)*Calculateur!AQ134*Calculateur!AS134*VLOOKUP('Données projet'!$B$10,Paramètres!$A$1:$I$89,3,0)*0.475*44/12</f>
        <v>20.170956652800196</v>
      </c>
      <c r="AW134" s="21">
        <f>EXP(-LN(2)/2)*AW133+(1-EXP(-LN(2)/2))/(LN(2)/2)*AQ134*AT134*VLOOKUP('Données projet'!$B$10,Paramètres!$A$1:$I$89,3,0)*0.475*44/12</f>
        <v>0.45130916515860553</v>
      </c>
      <c r="AX134" s="21">
        <f t="shared" si="114"/>
        <v>54.236803311286764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>
        <f>BD134*VLOOKUP('Données projet'!$B$11,Paramètres!$A$1:$I$89,3,0)*VLOOKUP('Données projet'!$B$11,Paramètres!$A$1:$I$89,5,0)</f>
        <v>0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144.01698107732989</v>
      </c>
      <c r="BJ134" s="59">
        <f t="shared" si="146"/>
        <v>139.28039875117332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4.8012423167192013</v>
      </c>
      <c r="BQ134" s="21">
        <f>EXP(-LN(2)/25)*BQ133+(1-EXP(-LN(2)/25))/(LN(2)/25)*Calculateur!BL134*Calculateur!BN134*VLOOKUP('Données projet'!$B$11,Paramètres!$A$1:$I$89,3,0)*0.475*44/12</f>
        <v>20.490836118934677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25.292078435653877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-8.5265128291212022E-14</v>
      </c>
      <c r="BZ134" s="13">
        <f>BY134*VLOOKUP('Données projet'!$B$12,Paramètres!$A$1:$I$89,3,0)*VLOOKUP('Données projet'!$B$12,Paramètres!$A$1:$I$89,5,0)</f>
        <v>-6.9167072069831198E-14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72.953866894533007</v>
      </c>
      <c r="CE134" s="59">
        <f t="shared" si="148"/>
        <v>60.640359826163092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0</v>
      </c>
      <c r="CL134" s="21">
        <f>EXP(-LN(2)/25)*CL133+(1-EXP(-LN(2)/25))/(LN(2)/25)*Calculateur!CG134*Calculateur!CI134*VLOOKUP('Données projet'!$B$12,Paramètres!$A$1:$I$89,3,0)*0.475*44/12</f>
        <v>5.1912431092429161</v>
      </c>
      <c r="CM134" s="21">
        <f>EXP(-LN(2)/2)*CM133+(1-EXP(-LN(2)/2))/(LN(2)/2)*CG134*CJ134*VLOOKUP('Données projet'!$B$12,Paramètres!$A$1:$I$89,3,0)*0.475*44/12</f>
        <v>1.6889129927762922E-5</v>
      </c>
      <c r="CN134" s="22">
        <f t="shared" si="120"/>
        <v>5.1912599983728436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4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454.01798716246486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-1.7053025658242404E-13</v>
      </c>
      <c r="O135" s="13">
        <f>N135*VLOOKUP('Données projet'!$B$9,Paramètres!$A$1:$I$89,3,0)*VLOOKUP('Données projet'!$B$9,Paramètres!$A$1:$I$89,5,0)</f>
        <v>-1.0197709343628959E-13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235.90365770026909</v>
      </c>
      <c r="T135" s="59">
        <f t="shared" si="142"/>
        <v>348.09952585694253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23.760401925449337</v>
      </c>
      <c r="AA135" s="21">
        <f>EXP(-LN(2)/25)*AA134+(1-EXP(-LN(2)/25))/(LN(2)/25)*Calculateur!V135*Calculateur!X135*VLOOKUP('Données projet'!$B$9,Paramètres!$A$1:$I$89,3,0)*0.475*44/12</f>
        <v>4.3665318364752181</v>
      </c>
      <c r="AB135" s="21">
        <f>EXP(-LN(2)/2)*AB134+(1-EXP(-LN(2)/2))/(LN(2)/2)*V135*Y135*VLOOKUP('Données projet'!$B$9,Paramètres!$A$1:$I$89,3,0)*0.475*44/12</f>
        <v>5.5170874280325237E-12</v>
      </c>
      <c r="AC135" s="22">
        <f t="shared" si="111"/>
        <v>28.126933761930072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9.0229999999999961</v>
      </c>
      <c r="AI135" s="13">
        <f>IF('Données projet'!$A$62&gt;35,AI134+AH135-AQ134,IF(A135&lt;'Données projet'!$A$62,$AF$205^A135,IF(A135='Données projet'!$A$62,'Données projet'!$B$62,AI134+AH135-AQ134)))</f>
        <v>466.23400000000083</v>
      </c>
      <c r="AJ135" s="13">
        <f>AI135*VLOOKUP('Données projet'!$B$10,Paramètres!$A$1:$I$89,3,0)*VLOOKUP('Données projet'!$B$10,Paramètres!$A$1:$I$89,5,0)</f>
        <v>421.84852320000078</v>
      </c>
      <c r="AK135" s="13">
        <f t="shared" si="143"/>
        <v>96.192315164348642</v>
      </c>
      <c r="AL135" s="20">
        <f t="shared" si="112"/>
        <v>902.2544601512418</v>
      </c>
      <c r="AM135" s="59">
        <f t="shared" si="113"/>
        <v>1195.5877934845751</v>
      </c>
      <c r="AN135" s="59">
        <f ca="1">AVERAGE(OFFSET($AM$3,0,0,'Données projet'!$E$10+1,1))-AVERAGE(OFFSET($H$3,0,0,'Données projet'!$E$10+1,1))</f>
        <v>490.21869105612649</v>
      </c>
      <c r="AO135" s="59">
        <f t="shared" si="144"/>
        <v>207.08773997010911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32.955376915927189</v>
      </c>
      <c r="AV135" s="21">
        <f>EXP(-LN(2)/25)*AV134+(1-EXP(-LN(2)/25))/(LN(2)/25)*Calculateur!AQ135*Calculateur!AS135*VLOOKUP('Données projet'!$B$10,Paramètres!$A$1:$I$89,3,0)*0.475*44/12</f>
        <v>19.619380782384866</v>
      </c>
      <c r="AW135" s="21">
        <f>EXP(-LN(2)/2)*AW134+(1-EXP(-LN(2)/2))/(LN(2)/2)*AQ135*AT135*VLOOKUP('Données projet'!$B$10,Paramètres!$A$1:$I$89,3,0)*0.475*44/12</f>
        <v>0.31912377109528955</v>
      </c>
      <c r="AX135" s="21">
        <f t="shared" si="114"/>
        <v>52.893881469407347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>
        <f>BD135*VLOOKUP('Données projet'!$B$11,Paramètres!$A$1:$I$89,3,0)*VLOOKUP('Données projet'!$B$11,Paramètres!$A$1:$I$89,5,0)</f>
        <v>0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144.01698107732989</v>
      </c>
      <c r="BJ135" s="59">
        <f t="shared" si="146"/>
        <v>139.28039875117332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4.7070928833569887</v>
      </c>
      <c r="BQ135" s="21">
        <f>EXP(-LN(2)/25)*BQ134+(1-EXP(-LN(2)/25))/(LN(2)/25)*Calculateur!BL135*Calculateur!BN135*VLOOKUP('Données projet'!$B$11,Paramètres!$A$1:$I$89,3,0)*0.475*44/12</f>
        <v>19.93051312769617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24.637606011053158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-8.5265128291212022E-14</v>
      </c>
      <c r="BZ135" s="13">
        <f>BY135*VLOOKUP('Données projet'!$B$12,Paramètres!$A$1:$I$89,3,0)*VLOOKUP('Données projet'!$B$12,Paramètres!$A$1:$I$89,5,0)</f>
        <v>-6.9167072069831198E-14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72.953866894533007</v>
      </c>
      <c r="CE135" s="59">
        <f t="shared" si="148"/>
        <v>60.640359826163092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0</v>
      </c>
      <c r="CL135" s="21">
        <f>EXP(-LN(2)/25)*CL134+(1-EXP(-LN(2)/25))/(LN(2)/25)*Calculateur!CG135*Calculateur!CI135*VLOOKUP('Données projet'!$B$12,Paramètres!$A$1:$I$89,3,0)*0.475*44/12</f>
        <v>5.0492882934250582</v>
      </c>
      <c r="CM135" s="21">
        <f>EXP(-LN(2)/2)*CM134+(1-EXP(-LN(2)/2))/(LN(2)/2)*CG135*CJ135*VLOOKUP('Données projet'!$B$12,Paramètres!$A$1:$I$89,3,0)*0.475*44/12</f>
        <v>1.1942418300261828E-5</v>
      </c>
      <c r="CN135" s="22">
        <f t="shared" si="120"/>
        <v>5.0493002358433587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4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455.20418759843233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-1.7053025658242404E-13</v>
      </c>
      <c r="O136" s="13">
        <f>N136*VLOOKUP('Données projet'!$B$9,Paramètres!$A$1:$I$89,3,0)*VLOOKUP('Données projet'!$B$9,Paramètres!$A$1:$I$89,5,0)</f>
        <v>-1.0197709343628959E-13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235.90365770026909</v>
      </c>
      <c r="T136" s="59">
        <f t="shared" si="142"/>
        <v>348.09952585694253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23.294474936105441</v>
      </c>
      <c r="AA136" s="21">
        <f>EXP(-LN(2)/25)*AA135+(1-EXP(-LN(2)/25))/(LN(2)/25)*Calculateur!V136*Calculateur!X136*VLOOKUP('Données projet'!$B$9,Paramètres!$A$1:$I$89,3,0)*0.475*44/12</f>
        <v>4.2471287937808739</v>
      </c>
      <c r="AB136" s="21">
        <f>EXP(-LN(2)/2)*AB135+(1-EXP(-LN(2)/2))/(LN(2)/2)*V136*Y136*VLOOKUP('Données projet'!$B$9,Paramètres!$A$1:$I$89,3,0)*0.475*44/12</f>
        <v>3.901169932760846E-12</v>
      </c>
      <c r="AC136" s="22">
        <f t="shared" si="111"/>
        <v>27.541603729890216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9.0229999999999961</v>
      </c>
      <c r="AI136" s="13">
        <f>IF('Données projet'!$A$62&gt;35,AI135+AH136-AQ135,IF(A136&lt;'Données projet'!$A$62,$AF$205^A136,IF(A136='Données projet'!$A$62,'Données projet'!$B$62,AI135+AH136-AQ135)))</f>
        <v>475.25700000000086</v>
      </c>
      <c r="AJ136" s="13">
        <f>AI136*VLOOKUP('Données projet'!$B$10,Paramètres!$A$1:$I$89,3,0)*VLOOKUP('Données projet'!$B$10,Paramètres!$A$1:$I$89,5,0)</f>
        <v>430.01253360000078</v>
      </c>
      <c r="AK136" s="13">
        <f t="shared" si="143"/>
        <v>97.835389274652726</v>
      </c>
      <c r="AL136" s="20">
        <f t="shared" si="112"/>
        <v>919.33513234002146</v>
      </c>
      <c r="AM136" s="59">
        <f t="shared" si="113"/>
        <v>1212.6684656733548</v>
      </c>
      <c r="AN136" s="59">
        <f ca="1">AVERAGE(OFFSET($AM$3,0,0,'Données projet'!$E$10+1,1))-AVERAGE(OFFSET($H$3,0,0,'Données projet'!$E$10+1,1))</f>
        <v>490.21869105612649</v>
      </c>
      <c r="AO136" s="59">
        <f t="shared" si="144"/>
        <v>207.08773997010911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32.309142075400985</v>
      </c>
      <c r="AV136" s="21">
        <f>EXP(-LN(2)/25)*AV135+(1-EXP(-LN(2)/25))/(LN(2)/25)*Calculateur!AQ136*Calculateur!AS136*VLOOKUP('Données projet'!$B$10,Paramètres!$A$1:$I$89,3,0)*0.475*44/12</f>
        <v>19.082887783152156</v>
      </c>
      <c r="AW136" s="21">
        <f>EXP(-LN(2)/2)*AW135+(1-EXP(-LN(2)/2))/(LN(2)/2)*AQ136*AT136*VLOOKUP('Données projet'!$B$10,Paramètres!$A$1:$I$89,3,0)*0.475*44/12</f>
        <v>0.22565458257930279</v>
      </c>
      <c r="AX136" s="21">
        <f t="shared" si="114"/>
        <v>51.617684441132447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>
        <f>BD136*VLOOKUP('Données projet'!$B$11,Paramètres!$A$1:$I$89,3,0)*VLOOKUP('Données projet'!$B$11,Paramètres!$A$1:$I$89,5,0)</f>
        <v>0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144.01698107732989</v>
      </c>
      <c r="BJ136" s="59">
        <f t="shared" si="146"/>
        <v>139.28039875117332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4.6147896629575254</v>
      </c>
      <c r="BQ136" s="21">
        <f>EXP(-LN(2)/25)*BQ135+(1-EXP(-LN(2)/25))/(LN(2)/25)*Calculateur!BL136*Calculateur!BN136*VLOOKUP('Données projet'!$B$11,Paramètres!$A$1:$I$89,3,0)*0.475*44/12</f>
        <v>19.385512198119184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24.000301861076707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-8.5265128291212022E-14</v>
      </c>
      <c r="BZ136" s="13">
        <f>BY136*VLOOKUP('Données projet'!$B$12,Paramètres!$A$1:$I$89,3,0)*VLOOKUP('Données projet'!$B$12,Paramètres!$A$1:$I$89,5,0)</f>
        <v>-6.9167072069831198E-14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72.953866894533007</v>
      </c>
      <c r="CE136" s="59">
        <f t="shared" si="148"/>
        <v>60.640359826163092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0</v>
      </c>
      <c r="CL136" s="21">
        <f>EXP(-LN(2)/25)*CL135+(1-EXP(-LN(2)/25))/(LN(2)/25)*Calculateur!CG136*Calculateur!CI136*VLOOKUP('Données projet'!$B$12,Paramètres!$A$1:$I$89,3,0)*0.475*44/12</f>
        <v>4.9112152395108186</v>
      </c>
      <c r="CM136" s="21">
        <f>EXP(-LN(2)/2)*CM135+(1-EXP(-LN(2)/2))/(LN(2)/2)*CG136*CJ136*VLOOKUP('Données projet'!$B$12,Paramètres!$A$1:$I$89,3,0)*0.475*44/12</f>
        <v>8.4445649638814611E-6</v>
      </c>
      <c r="CN136" s="22">
        <f t="shared" si="120"/>
        <v>4.9112236840757824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4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456.39018223406657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-1.7053025658242404E-13</v>
      </c>
      <c r="O137" s="13">
        <f>N137*VLOOKUP('Données projet'!$B$9,Paramètres!$A$1:$I$89,3,0)*VLOOKUP('Données projet'!$B$9,Paramètres!$A$1:$I$89,5,0)</f>
        <v>-1.0197709343628959E-13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235.90365770026909</v>
      </c>
      <c r="T137" s="59">
        <f t="shared" si="142"/>
        <v>348.09952585694253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22.83768449083518</v>
      </c>
      <c r="AA137" s="21">
        <f>EXP(-LN(2)/25)*AA136+(1-EXP(-LN(2)/25))/(LN(2)/25)*Calculateur!V137*Calculateur!X137*VLOOKUP('Données projet'!$B$9,Paramètres!$A$1:$I$89,3,0)*0.475*44/12</f>
        <v>4.1309908335681396</v>
      </c>
      <c r="AB137" s="21">
        <f>EXP(-LN(2)/2)*AB136+(1-EXP(-LN(2)/2))/(LN(2)/2)*V137*Y137*VLOOKUP('Données projet'!$B$9,Paramètres!$A$1:$I$89,3,0)*0.475*44/12</f>
        <v>2.7585437140162618E-12</v>
      </c>
      <c r="AC137" s="22">
        <f t="shared" si="111"/>
        <v>26.968675324406078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>
        <f>VLOOKUP(A137,'Données projet'!$A$61:$I$81,2,0)</f>
        <v>484.28</v>
      </c>
      <c r="AG137" s="12">
        <f>VLOOKUP(A137,'Données projet'!$A$61:$I$81,9,0)</f>
        <v>9.0229999999999961</v>
      </c>
      <c r="AH137" s="12">
        <f t="array" ref="AH137">INDEX(AG:AG,MIN(IF(ISNUMBER(AG137:AG333),ROW(AG137:AG333),"")))</f>
        <v>9.0229999999999961</v>
      </c>
      <c r="AI137" s="13">
        <f>IF('Données projet'!$A$62&gt;35,AI136+AH137-AQ136,IF(A137&lt;'Données projet'!$A$62,$AF$205^A137,IF(A137='Données projet'!$A$62,'Données projet'!$B$62,AI136+AH137-AQ136)))</f>
        <v>484.28000000000088</v>
      </c>
      <c r="AJ137" s="13">
        <f>AI137*VLOOKUP('Données projet'!$B$10,Paramètres!$A$1:$I$89,3,0)*VLOOKUP('Données projet'!$B$10,Paramètres!$A$1:$I$89,5,0)</f>
        <v>438.17654400000077</v>
      </c>
      <c r="AK137" s="13">
        <f t="shared" si="143"/>
        <v>99.474836110972063</v>
      </c>
      <c r="AL137" s="20">
        <f t="shared" si="112"/>
        <v>936.40948702661092</v>
      </c>
      <c r="AM137" s="59">
        <f t="shared" si="113"/>
        <v>1229.7428203599443</v>
      </c>
      <c r="AN137" s="59">
        <f ca="1">AVERAGE(OFFSET($AM$3,0,0,'Données projet'!$E$10+1,1))-AVERAGE(OFFSET($H$3,0,0,'Données projet'!$E$10+1,1))</f>
        <v>490.21869105612649</v>
      </c>
      <c r="AO137" s="59">
        <f t="shared" si="144"/>
        <v>207.08773997010911</v>
      </c>
      <c r="AP137" s="15">
        <f>IF(ISNA(VLOOKUP(A137,'Données projet'!$A$61:$I$81,3,0)),0,VLOOKUP(A137,'Données projet'!$A$61:$I$81,3,0))</f>
        <v>11</v>
      </c>
      <c r="AQ137" s="15">
        <f>IF(ISNA(VLOOKUP(A137,'Données projet'!$A$61:$I$81,4,0)),0,VLOOKUP(A137,'Données projet'!$A$61:$I$81,4,0))</f>
        <v>60.779999999999973</v>
      </c>
      <c r="AR137" s="16">
        <f>IF(ISNA(VLOOKUP(A137,'Données projet'!$A$61:$I$81,5,0)),0%,VLOOKUP(A137,'Données projet'!$A$61:$I$81,5,0)*VLOOKUP('Données projet'!$B$10,Paramètres!$A$1:$I$89,7,0))</f>
        <v>0.215</v>
      </c>
      <c r="AS137" s="16">
        <f>IF(ISNA(VLOOKUP(A137,'Données projet'!$A$61:$I$81,6,0)),0%,VLOOKUP(A137,'Données projet'!$A$61:$I$81,6,0)*VLOOKUP('Données projet'!$B$10,Paramètres!$A$1:$I$89,7,0))</f>
        <v>8.6000000000000007E-2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44.746279842031008</v>
      </c>
      <c r="AV137" s="21">
        <f>EXP(-LN(2)/25)*AV136+(1-EXP(-LN(2)/25))/(LN(2)/25)*Calculateur!AQ137*Calculateur!AS137*VLOOKUP('Données projet'!$B$10,Paramètres!$A$1:$I$89,3,0)*0.475*44/12</f>
        <v>23.768759616615345</v>
      </c>
      <c r="AW137" s="21">
        <f>EXP(-LN(2)/2)*AW136+(1-EXP(-LN(2)/2))/(LN(2)/2)*AQ137*AT137*VLOOKUP('Données projet'!$B$10,Paramètres!$A$1:$I$89,3,0)*0.475*44/12</f>
        <v>0.15956188554764478</v>
      </c>
      <c r="AX137" s="21">
        <f t="shared" si="114"/>
        <v>68.674601344194002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>
        <f>BD137*VLOOKUP('Données projet'!$B$11,Paramètres!$A$1:$I$89,3,0)*VLOOKUP('Données projet'!$B$11,Paramètres!$A$1:$I$89,5,0)</f>
        <v>0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144.01698107732989</v>
      </c>
      <c r="BJ137" s="59">
        <f t="shared" si="146"/>
        <v>139.28039875117332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4.5242964524106899</v>
      </c>
      <c r="BQ137" s="21">
        <f>EXP(-LN(2)/25)*BQ136+(1-EXP(-LN(2)/25))/(LN(2)/25)*Calculateur!BL137*Calculateur!BN137*VLOOKUP('Données projet'!$B$11,Paramètres!$A$1:$I$89,3,0)*0.475*44/12</f>
        <v>18.855414347621835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23.379710800032527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-8.5265128291212022E-14</v>
      </c>
      <c r="BZ137" s="13">
        <f>BY137*VLOOKUP('Données projet'!$B$12,Paramètres!$A$1:$I$89,3,0)*VLOOKUP('Données projet'!$B$12,Paramètres!$A$1:$I$89,5,0)</f>
        <v>-6.9167072069831198E-14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72.953866894533007</v>
      </c>
      <c r="CE137" s="59">
        <f t="shared" si="148"/>
        <v>60.640359826163092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0</v>
      </c>
      <c r="CL137" s="21">
        <f>EXP(-LN(2)/25)*CL136+(1-EXP(-LN(2)/25))/(LN(2)/25)*Calculateur!CG137*Calculateur!CI137*VLOOKUP('Données projet'!$B$12,Paramètres!$A$1:$I$89,3,0)*0.475*44/12</f>
        <v>4.7769178005168103</v>
      </c>
      <c r="CM137" s="21">
        <f>EXP(-LN(2)/2)*CM136+(1-EXP(-LN(2)/2))/(LN(2)/2)*CG137*CJ137*VLOOKUP('Données projet'!$B$12,Paramètres!$A$1:$I$89,3,0)*0.475*44/12</f>
        <v>5.9712091501309141E-6</v>
      </c>
      <c r="CN137" s="22">
        <f t="shared" si="120"/>
        <v>4.7769237717259605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4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457.57597278324812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-1.7053025658242404E-13</v>
      </c>
      <c r="O138" s="13">
        <f>N138*VLOOKUP('Données projet'!$B$9,Paramètres!$A$1:$I$89,3,0)*VLOOKUP('Données projet'!$B$9,Paramètres!$A$1:$I$89,5,0)</f>
        <v>-1.0197709343628959E-13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235.90365770026909</v>
      </c>
      <c r="T138" s="59">
        <f t="shared" si="142"/>
        <v>348.09952585694253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22.389851427582006</v>
      </c>
      <c r="AA138" s="21">
        <f>EXP(-LN(2)/25)*AA137+(1-EXP(-LN(2)/25))/(LN(2)/25)*Calculateur!V138*Calculateur!X138*VLOOKUP('Données projet'!$B$9,Paramètres!$A$1:$I$89,3,0)*0.475*44/12</f>
        <v>4.0180286719848519</v>
      </c>
      <c r="AB138" s="21">
        <f>EXP(-LN(2)/2)*AB137+(1-EXP(-LN(2)/2))/(LN(2)/2)*V138*Y138*VLOOKUP('Données projet'!$B$9,Paramètres!$A$1:$I$89,3,0)*0.475*44/12</f>
        <v>1.950584966380423E-12</v>
      </c>
      <c r="AC138" s="22">
        <f t="shared" si="111"/>
        <v>26.407880099568807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9.1440000000000055</v>
      </c>
      <c r="AI138" s="13">
        <f>IF('Données projet'!$A$62&gt;35,AI137+AH138-AQ137,IF(A138&lt;'Données projet'!$A$62,$AF$205^A138,IF(A138='Données projet'!$A$62,'Données projet'!$B$62,AI137+AH138-AQ137)))</f>
        <v>432.64400000000091</v>
      </c>
      <c r="AJ138" s="13">
        <f>AI138*VLOOKUP('Données projet'!$B$10,Paramètres!$A$1:$I$89,3,0)*VLOOKUP('Données projet'!$B$10,Paramètres!$A$1:$I$89,5,0)</f>
        <v>391.45629120000086</v>
      </c>
      <c r="AK138" s="13">
        <f t="shared" si="143"/>
        <v>90.042388870129827</v>
      </c>
      <c r="AL138" s="20">
        <f t="shared" si="112"/>
        <v>838.6102011221443</v>
      </c>
      <c r="AM138" s="59">
        <f t="shared" si="113"/>
        <v>1131.9435344554777</v>
      </c>
      <c r="AN138" s="59">
        <f ca="1">AVERAGE(OFFSET($AM$3,0,0,'Données projet'!$E$10+1,1))-AVERAGE(OFFSET($H$3,0,0,'Données projet'!$E$10+1,1))</f>
        <v>490.21869105612649</v>
      </c>
      <c r="AO138" s="59">
        <f t="shared" si="144"/>
        <v>207.08773997010911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43.868832586864571</v>
      </c>
      <c r="AV138" s="21">
        <f>EXP(-LN(2)/25)*AV137+(1-EXP(-LN(2)/25))/(LN(2)/25)*Calculateur!AQ138*Calculateur!AS138*VLOOKUP('Données projet'!$B$10,Paramètres!$A$1:$I$89,3,0)*0.475*44/12</f>
        <v>23.118801634954256</v>
      </c>
      <c r="AW138" s="21">
        <f>EXP(-LN(2)/2)*AW137+(1-EXP(-LN(2)/2))/(LN(2)/2)*AQ138*AT138*VLOOKUP('Données projet'!$B$10,Paramètres!$A$1:$I$89,3,0)*0.475*44/12</f>
        <v>0.1128272912896514</v>
      </c>
      <c r="AX138" s="21">
        <f t="shared" si="114"/>
        <v>67.100461513108471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>
        <f>BD138*VLOOKUP('Données projet'!$B$11,Paramètres!$A$1:$I$89,3,0)*VLOOKUP('Données projet'!$B$11,Paramètres!$A$1:$I$89,5,0)</f>
        <v>0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144.01698107732989</v>
      </c>
      <c r="BJ138" s="59">
        <f t="shared" si="146"/>
        <v>139.28039875117332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4.4355777585272698</v>
      </c>
      <c r="BQ138" s="21">
        <f>EXP(-LN(2)/25)*BQ137+(1-EXP(-LN(2)/25))/(LN(2)/25)*Calculateur!BL138*Calculateur!BN138*VLOOKUP('Données projet'!$B$11,Paramètres!$A$1:$I$89,3,0)*0.475*44/12</f>
        <v>18.339812050722969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22.775389809250239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-8.5265128291212022E-14</v>
      </c>
      <c r="BZ138" s="13">
        <f>BY138*VLOOKUP('Données projet'!$B$12,Paramètres!$A$1:$I$89,3,0)*VLOOKUP('Données projet'!$B$12,Paramètres!$A$1:$I$89,5,0)</f>
        <v>-6.9167072069831198E-14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72.953866894533007</v>
      </c>
      <c r="CE138" s="59">
        <f t="shared" si="148"/>
        <v>60.640359826163092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0</v>
      </c>
      <c r="CL138" s="21">
        <f>EXP(-LN(2)/25)*CL137+(1-EXP(-LN(2)/25))/(LN(2)/25)*Calculateur!CG138*Calculateur!CI138*VLOOKUP('Données projet'!$B$12,Paramètres!$A$1:$I$89,3,0)*0.475*44/12</f>
        <v>4.6462927320544889</v>
      </c>
      <c r="CM138" s="21">
        <f>EXP(-LN(2)/2)*CM137+(1-EXP(-LN(2)/2))/(LN(2)/2)*CG138*CJ138*VLOOKUP('Données projet'!$B$12,Paramètres!$A$1:$I$89,3,0)*0.475*44/12</f>
        <v>4.2222824819407305E-6</v>
      </c>
      <c r="CN138" s="22">
        <f t="shared" si="120"/>
        <v>4.6462969543369708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4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458.76156093300006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-1.7053025658242404E-13</v>
      </c>
      <c r="O139" s="13">
        <f>N139*VLOOKUP('Données projet'!$B$9,Paramètres!$A$1:$I$89,3,0)*VLOOKUP('Données projet'!$B$9,Paramètres!$A$1:$I$89,5,0)</f>
        <v>-1.0197709343628959E-13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235.90365770026909</v>
      </c>
      <c r="T139" s="59">
        <f t="shared" si="142"/>
        <v>348.09952585694253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21.950800097548029</v>
      </c>
      <c r="AA139" s="21">
        <f>EXP(-LN(2)/25)*AA138+(1-EXP(-LN(2)/25))/(LN(2)/25)*Calculateur!V139*Calculateur!X139*VLOOKUP('Données projet'!$B$9,Paramètres!$A$1:$I$89,3,0)*0.475*44/12</f>
        <v>3.9081554666504816</v>
      </c>
      <c r="AB139" s="21">
        <f>EXP(-LN(2)/2)*AB138+(1-EXP(-LN(2)/2))/(LN(2)/2)*V139*Y139*VLOOKUP('Données projet'!$B$9,Paramètres!$A$1:$I$89,3,0)*0.475*44/12</f>
        <v>1.3792718570081309E-12</v>
      </c>
      <c r="AC139" s="22">
        <f t="shared" si="111"/>
        <v>25.858955564199888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9.1440000000000055</v>
      </c>
      <c r="AI139" s="13">
        <f>IF('Données projet'!$A$62&gt;35,AI138+AH139-AQ138,IF(A139&lt;'Données projet'!$A$62,$AF$205^A139,IF(A139='Données projet'!$A$62,'Données projet'!$B$62,AI138+AH139-AQ138)))</f>
        <v>441.78800000000092</v>
      </c>
      <c r="AJ139" s="13">
        <f>AI139*VLOOKUP('Données projet'!$B$10,Paramètres!$A$1:$I$89,3,0)*VLOOKUP('Données projet'!$B$10,Paramètres!$A$1:$I$89,5,0)</f>
        <v>399.72978240000077</v>
      </c>
      <c r="AK139" s="13">
        <f t="shared" si="143"/>
        <v>91.721880595341759</v>
      </c>
      <c r="AL139" s="20">
        <f t="shared" si="112"/>
        <v>855.94497971688827</v>
      </c>
      <c r="AM139" s="59">
        <f t="shared" si="113"/>
        <v>1149.2783130502216</v>
      </c>
      <c r="AN139" s="59">
        <f ca="1">AVERAGE(OFFSET($AM$3,0,0,'Données projet'!$E$10+1,1))-AVERAGE(OFFSET($H$3,0,0,'Données projet'!$E$10+1,1))</f>
        <v>490.21869105612649</v>
      </c>
      <c r="AO139" s="59">
        <f t="shared" si="144"/>
        <v>207.08773997010911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43.008591537181964</v>
      </c>
      <c r="AV139" s="21">
        <f>EXP(-LN(2)/25)*AV138+(1-EXP(-LN(2)/25))/(LN(2)/25)*Calculateur!AQ139*Calculateur!AS139*VLOOKUP('Données projet'!$B$10,Paramètres!$A$1:$I$89,3,0)*0.475*44/12</f>
        <v>22.486616788481491</v>
      </c>
      <c r="AW139" s="21">
        <f>EXP(-LN(2)/2)*AW138+(1-EXP(-LN(2)/2))/(LN(2)/2)*AQ139*AT139*VLOOKUP('Données projet'!$B$10,Paramètres!$A$1:$I$89,3,0)*0.475*44/12</f>
        <v>7.9780942773822389E-2</v>
      </c>
      <c r="AX139" s="21">
        <f t="shared" si="114"/>
        <v>65.574989268437278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>
        <f>BD139*VLOOKUP('Données projet'!$B$11,Paramètres!$A$1:$I$89,3,0)*VLOOKUP('Données projet'!$B$11,Paramètres!$A$1:$I$89,5,0)</f>
        <v>0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144.01698107732989</v>
      </c>
      <c r="BJ139" s="59">
        <f t="shared" si="146"/>
        <v>139.28039875117332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4.3485987841178435</v>
      </c>
      <c r="BQ139" s="21">
        <f>EXP(-LN(2)/25)*BQ138+(1-EXP(-LN(2)/25))/(LN(2)/25)*Calculateur!BL139*Calculateur!BN139*VLOOKUP('Données projet'!$B$11,Paramètres!$A$1:$I$89,3,0)*0.475*44/12</f>
        <v>17.83830892574715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22.186907709864993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-8.5265128291212022E-14</v>
      </c>
      <c r="BZ139" s="13">
        <f>BY139*VLOOKUP('Données projet'!$B$12,Paramètres!$A$1:$I$89,3,0)*VLOOKUP('Données projet'!$B$12,Paramètres!$A$1:$I$89,5,0)</f>
        <v>-6.9167072069831198E-14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72.953866894533007</v>
      </c>
      <c r="CE139" s="59">
        <f t="shared" si="148"/>
        <v>60.640359826163092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0</v>
      </c>
      <c r="CL139" s="21">
        <f>EXP(-LN(2)/25)*CL138+(1-EXP(-LN(2)/25))/(LN(2)/25)*Calculateur!CG139*Calculateur!CI139*VLOOKUP('Données projet'!$B$12,Paramètres!$A$1:$I$89,3,0)*0.475*44/12</f>
        <v>4.5192396129585433</v>
      </c>
      <c r="CM139" s="21">
        <f>EXP(-LN(2)/2)*CM138+(1-EXP(-LN(2)/2))/(LN(2)/2)*CG139*CJ139*VLOOKUP('Données projet'!$B$12,Paramètres!$A$1:$I$89,3,0)*0.475*44/12</f>
        <v>2.985604575065457E-6</v>
      </c>
      <c r="CN139" s="22">
        <f t="shared" si="120"/>
        <v>4.5192425985631184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4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459.94694834410268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-1.7053025658242404E-13</v>
      </c>
      <c r="O140" s="13">
        <f>N140*VLOOKUP('Données projet'!$B$9,Paramètres!$A$1:$I$89,3,0)*VLOOKUP('Données projet'!$B$9,Paramètres!$A$1:$I$89,5,0)</f>
        <v>-1.0197709343628959E-13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235.90365770026909</v>
      </c>
      <c r="T140" s="59">
        <f t="shared" si="142"/>
        <v>348.09952585694253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21.520358296301151</v>
      </c>
      <c r="AA140" s="21">
        <f>EXP(-LN(2)/25)*AA139+(1-EXP(-LN(2)/25))/(LN(2)/25)*Calculateur!V140*Calculateur!X140*VLOOKUP('Données projet'!$B$9,Paramètres!$A$1:$I$89,3,0)*0.475*44/12</f>
        <v>3.8012867498939604</v>
      </c>
      <c r="AB140" s="21">
        <f>EXP(-LN(2)/2)*AB139+(1-EXP(-LN(2)/2))/(LN(2)/2)*V140*Y140*VLOOKUP('Données projet'!$B$9,Paramètres!$A$1:$I$89,3,0)*0.475*44/12</f>
        <v>9.752924831902115E-13</v>
      </c>
      <c r="AC140" s="22">
        <f t="shared" si="111"/>
        <v>25.321645046196089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9.1440000000000055</v>
      </c>
      <c r="AI140" s="13">
        <f>IF('Données projet'!$A$62&gt;35,AI139+AH140-AQ139,IF(A140&lt;'Données projet'!$A$62,$AF$205^A140,IF(A140='Données projet'!$A$62,'Données projet'!$B$62,AI139+AH140-AQ139)))</f>
        <v>450.93200000000093</v>
      </c>
      <c r="AJ140" s="13">
        <f>AI140*VLOOKUP('Données projet'!$B$10,Paramètres!$A$1:$I$89,3,0)*VLOOKUP('Données projet'!$B$10,Paramètres!$A$1:$I$89,5,0)</f>
        <v>408.00327360000085</v>
      </c>
      <c r="AK140" s="13">
        <f t="shared" si="143"/>
        <v>93.397330631669121</v>
      </c>
      <c r="AL140" s="20">
        <f t="shared" si="112"/>
        <v>873.27271903682515</v>
      </c>
      <c r="AM140" s="59">
        <f t="shared" si="113"/>
        <v>1166.6060523701585</v>
      </c>
      <c r="AN140" s="59">
        <f ca="1">AVERAGE(OFFSET($AM$3,0,0,'Données projet'!$E$10+1,1))-AVERAGE(OFFSET($H$3,0,0,'Données projet'!$E$10+1,1))</f>
        <v>490.21869105612649</v>
      </c>
      <c r="AO140" s="59">
        <f t="shared" si="144"/>
        <v>207.08773997010911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42.165219289788404</v>
      </c>
      <c r="AV140" s="21">
        <f>EXP(-LN(2)/25)*AV139+(1-EXP(-LN(2)/25))/(LN(2)/25)*Calculateur!AQ140*Calculateur!AS140*VLOOKUP('Données projet'!$B$10,Paramètres!$A$1:$I$89,3,0)*0.475*44/12</f>
        <v>21.871719069880683</v>
      </c>
      <c r="AW140" s="21">
        <f>EXP(-LN(2)/2)*AW139+(1-EXP(-LN(2)/2))/(LN(2)/2)*AQ140*AT140*VLOOKUP('Données projet'!$B$10,Paramètres!$A$1:$I$89,3,0)*0.475*44/12</f>
        <v>5.6413645644825698E-2</v>
      </c>
      <c r="AX140" s="21">
        <f t="shared" si="114"/>
        <v>64.093352005313903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>
        <f>BD140*VLOOKUP('Données projet'!$B$11,Paramètres!$A$1:$I$89,3,0)*VLOOKUP('Données projet'!$B$11,Paramètres!$A$1:$I$89,5,0)</f>
        <v>0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144.01698107732989</v>
      </c>
      <c r="BJ140" s="59">
        <f t="shared" si="146"/>
        <v>139.28039875117332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4.2633254143446502</v>
      </c>
      <c r="BQ140" s="21">
        <f>EXP(-LN(2)/25)*BQ139+(1-EXP(-LN(2)/25))/(LN(2)/25)*Calculateur!BL140*Calculateur!BN140*VLOOKUP('Données projet'!$B$11,Paramètres!$A$1:$I$89,3,0)*0.475*44/12</f>
        <v>17.350519430096696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21.613844844441346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-8.5265128291212022E-14</v>
      </c>
      <c r="BZ140" s="13">
        <f>BY140*VLOOKUP('Données projet'!$B$12,Paramètres!$A$1:$I$89,3,0)*VLOOKUP('Données projet'!$B$12,Paramètres!$A$1:$I$89,5,0)</f>
        <v>-6.9167072069831198E-14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72.953866894533007</v>
      </c>
      <c r="CE140" s="59">
        <f t="shared" si="148"/>
        <v>60.640359826163092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0</v>
      </c>
      <c r="CL140" s="21">
        <f>EXP(-LN(2)/25)*CL139+(1-EXP(-LN(2)/25))/(LN(2)/25)*Calculateur!CG140*Calculateur!CI140*VLOOKUP('Données projet'!$B$12,Paramètres!$A$1:$I$89,3,0)*0.475*44/12</f>
        <v>4.3956607680857092</v>
      </c>
      <c r="CM140" s="21">
        <f>EXP(-LN(2)/2)*CM139+(1-EXP(-LN(2)/2))/(LN(2)/2)*CG140*CJ140*VLOOKUP('Données projet'!$B$12,Paramètres!$A$1:$I$89,3,0)*0.475*44/12</f>
        <v>2.1111412409703653E-6</v>
      </c>
      <c r="CN140" s="22">
        <f t="shared" si="120"/>
        <v>4.3956628792269505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4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461.13213665169064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-1.7053025658242404E-13</v>
      </c>
      <c r="O141" s="13">
        <f>N141*VLOOKUP('Données projet'!$B$9,Paramètres!$A$1:$I$89,3,0)*VLOOKUP('Données projet'!$B$9,Paramètres!$A$1:$I$89,5,0)</f>
        <v>-1.0197709343628959E-13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235.90365770026909</v>
      </c>
      <c r="T141" s="59">
        <f t="shared" si="142"/>
        <v>348.09952585694253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21.098357196233149</v>
      </c>
      <c r="AA141" s="21">
        <f>EXP(-LN(2)/25)*AA140+(1-EXP(-LN(2)/25))/(LN(2)/25)*Calculateur!V141*Calculateur!X141*VLOOKUP('Données projet'!$B$9,Paramètres!$A$1:$I$89,3,0)*0.475*44/12</f>
        <v>3.6973403638171281</v>
      </c>
      <c r="AB141" s="21">
        <f>EXP(-LN(2)/2)*AB140+(1-EXP(-LN(2)/2))/(LN(2)/2)*V141*Y141*VLOOKUP('Données projet'!$B$9,Paramètres!$A$1:$I$89,3,0)*0.475*44/12</f>
        <v>6.8963592850406546E-13</v>
      </c>
      <c r="AC141" s="22">
        <f t="shared" si="111"/>
        <v>24.795697560050968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9.1440000000000055</v>
      </c>
      <c r="AI141" s="13">
        <f>IF('Données projet'!$A$62&gt;35,AI140+AH141-AQ140,IF(A141&lt;'Données projet'!$A$62,$AF$205^A141,IF(A141='Données projet'!$A$62,'Données projet'!$B$62,AI140+AH141-AQ140)))</f>
        <v>460.07600000000093</v>
      </c>
      <c r="AJ141" s="13">
        <f>AI141*VLOOKUP('Données projet'!$B$10,Paramètres!$A$1:$I$89,3,0)*VLOOKUP('Données projet'!$B$10,Paramètres!$A$1:$I$89,5,0)</f>
        <v>416.27676480000082</v>
      </c>
      <c r="AK141" s="13">
        <f t="shared" si="143"/>
        <v>95.068830381071379</v>
      </c>
      <c r="AL141" s="20">
        <f t="shared" si="112"/>
        <v>890.5935782737007</v>
      </c>
      <c r="AM141" s="59">
        <f t="shared" si="113"/>
        <v>1183.9269116070341</v>
      </c>
      <c r="AN141" s="59">
        <f ca="1">AVERAGE(OFFSET($AM$3,0,0,'Données projet'!$E$10+1,1))-AVERAGE(OFFSET($H$3,0,0,'Données projet'!$E$10+1,1))</f>
        <v>490.21869105612649</v>
      </c>
      <c r="AO141" s="59">
        <f t="shared" si="144"/>
        <v>207.08773997010911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41.338385057759957</v>
      </c>
      <c r="AV141" s="21">
        <f>EXP(-LN(2)/25)*AV140+(1-EXP(-LN(2)/25))/(LN(2)/25)*Calculateur!AQ141*Calculateur!AS141*VLOOKUP('Données projet'!$B$10,Paramètres!$A$1:$I$89,3,0)*0.475*44/12</f>
        <v>21.273635761731079</v>
      </c>
      <c r="AW141" s="21">
        <f>EXP(-LN(2)/2)*AW140+(1-EXP(-LN(2)/2))/(LN(2)/2)*AQ141*AT141*VLOOKUP('Données projet'!$B$10,Paramètres!$A$1:$I$89,3,0)*0.475*44/12</f>
        <v>3.9890471386911194E-2</v>
      </c>
      <c r="AX141" s="21">
        <f t="shared" si="114"/>
        <v>62.651911290877948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>
        <f>BD141*VLOOKUP('Données projet'!$B$11,Paramètres!$A$1:$I$89,3,0)*VLOOKUP('Données projet'!$B$11,Paramètres!$A$1:$I$89,5,0)</f>
        <v>0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144.01698107732989</v>
      </c>
      <c r="BJ141" s="59">
        <f t="shared" si="146"/>
        <v>139.28039875117332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4.1797242033410891</v>
      </c>
      <c r="BQ141" s="21">
        <f>EXP(-LN(2)/25)*BQ140+(1-EXP(-LN(2)/25))/(LN(2)/25)*Calculateur!BL141*Calculateur!BN141*VLOOKUP('Données projet'!$B$11,Paramètres!$A$1:$I$89,3,0)*0.475*44/12</f>
        <v>16.876068563856542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21.05579276719763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-8.5265128291212022E-14</v>
      </c>
      <c r="BZ141" s="13">
        <f>BY141*VLOOKUP('Données projet'!$B$12,Paramètres!$A$1:$I$89,3,0)*VLOOKUP('Données projet'!$B$12,Paramètres!$A$1:$I$89,5,0)</f>
        <v>-6.9167072069831198E-14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72.953866894533007</v>
      </c>
      <c r="CE141" s="59">
        <f t="shared" si="148"/>
        <v>60.640359826163092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0</v>
      </c>
      <c r="CL141" s="21">
        <f>EXP(-LN(2)/25)*CL140+(1-EXP(-LN(2)/25))/(LN(2)/25)*Calculateur!CG141*Calculateur!CI141*VLOOKUP('Données projet'!$B$12,Paramètres!$A$1:$I$89,3,0)*0.475*44/12</f>
        <v>4.2754611932246522</v>
      </c>
      <c r="CM141" s="21">
        <f>EXP(-LN(2)/2)*CM140+(1-EXP(-LN(2)/2))/(LN(2)/2)*CG141*CJ141*VLOOKUP('Données projet'!$B$12,Paramètres!$A$1:$I$89,3,0)*0.475*44/12</f>
        <v>1.4928022875327285E-6</v>
      </c>
      <c r="CN141" s="22">
        <f t="shared" si="120"/>
        <v>4.2754626860269394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4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462.31712746583173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-1.7053025658242404E-13</v>
      </c>
      <c r="O142" s="13">
        <f>N142*VLOOKUP('Données projet'!$B$9,Paramètres!$A$1:$I$89,3,0)*VLOOKUP('Données projet'!$B$9,Paramètres!$A$1:$I$89,5,0)</f>
        <v>-1.0197709343628959E-13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235.90365770026909</v>
      </c>
      <c r="T142" s="59">
        <f t="shared" si="142"/>
        <v>348.09952585694253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20.684631280342224</v>
      </c>
      <c r="AA142" s="21">
        <f>EXP(-LN(2)/25)*AA141+(1-EXP(-LN(2)/25))/(LN(2)/25)*Calculateur!V142*Calculateur!X142*VLOOKUP('Données projet'!$B$9,Paramètres!$A$1:$I$89,3,0)*0.475*44/12</f>
        <v>3.5962363971338696</v>
      </c>
      <c r="AB142" s="21">
        <f>EXP(-LN(2)/2)*AB141+(1-EXP(-LN(2)/2))/(LN(2)/2)*V142*Y142*VLOOKUP('Données projet'!$B$9,Paramètres!$A$1:$I$89,3,0)*0.475*44/12</f>
        <v>4.8764624159510575E-13</v>
      </c>
      <c r="AC142" s="22">
        <f t="shared" si="111"/>
        <v>24.280867677476579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9.1440000000000055</v>
      </c>
      <c r="AI142" s="13">
        <f>IF('Données projet'!$A$62&gt;35,AI141+AH142-AQ141,IF(A142&lt;'Données projet'!$A$62,$AF$205^A142,IF(A142='Données projet'!$A$62,'Données projet'!$B$62,AI141+AH142-AQ141)))</f>
        <v>469.22000000000094</v>
      </c>
      <c r="AJ142" s="13">
        <f>AI142*VLOOKUP('Données projet'!$B$10,Paramètres!$A$1:$I$89,3,0)*VLOOKUP('Données projet'!$B$10,Paramètres!$A$1:$I$89,5,0)</f>
        <v>424.55025600000084</v>
      </c>
      <c r="AK142" s="13">
        <f t="shared" si="143"/>
        <v>96.736467404516418</v>
      </c>
      <c r="AL142" s="20">
        <f t="shared" si="112"/>
        <v>907.90770992953412</v>
      </c>
      <c r="AM142" s="59">
        <f t="shared" si="113"/>
        <v>1201.2410432628674</v>
      </c>
      <c r="AN142" s="59">
        <f ca="1">AVERAGE(OFFSET($AM$3,0,0,'Données projet'!$E$10+1,1))-AVERAGE(OFFSET($H$3,0,0,'Données projet'!$E$10+1,1))</f>
        <v>490.21869105612649</v>
      </c>
      <c r="AO142" s="59">
        <f t="shared" si="144"/>
        <v>207.08773997010911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40.527764540702499</v>
      </c>
      <c r="AV142" s="21">
        <f>EXP(-LN(2)/25)*AV141+(1-EXP(-LN(2)/25))/(LN(2)/25)*Calculateur!AQ142*Calculateur!AS142*VLOOKUP('Données projet'!$B$10,Paramètres!$A$1:$I$89,3,0)*0.475*44/12</f>
        <v>20.691907073094658</v>
      </c>
      <c r="AW142" s="21">
        <f>EXP(-LN(2)/2)*AW141+(1-EXP(-LN(2)/2))/(LN(2)/2)*AQ142*AT142*VLOOKUP('Données projet'!$B$10,Paramètres!$A$1:$I$89,3,0)*0.475*44/12</f>
        <v>2.8206822822412849E-2</v>
      </c>
      <c r="AX142" s="21">
        <f t="shared" si="114"/>
        <v>61.247878436619573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>
        <f>BD142*VLOOKUP('Données projet'!$B$11,Paramètres!$A$1:$I$89,3,0)*VLOOKUP('Données projet'!$B$11,Paramètres!$A$1:$I$89,5,0)</f>
        <v>0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144.01698107732989</v>
      </c>
      <c r="BJ142" s="59">
        <f t="shared" si="146"/>
        <v>139.28039875117332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4.0977623610936043</v>
      </c>
      <c r="BQ142" s="21">
        <f>EXP(-LN(2)/25)*BQ141+(1-EXP(-LN(2)/25))/(LN(2)/25)*Calculateur!BL142*Calculateur!BN142*VLOOKUP('Données projet'!$B$11,Paramètres!$A$1:$I$89,3,0)*0.475*44/12</f>
        <v>16.414591581504009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20.512353942597613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-8.5265128291212022E-14</v>
      </c>
      <c r="BZ142" s="13">
        <f>BY142*VLOOKUP('Données projet'!$B$12,Paramètres!$A$1:$I$89,3,0)*VLOOKUP('Données projet'!$B$12,Paramètres!$A$1:$I$89,5,0)</f>
        <v>-6.9167072069831198E-14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72.953866894533007</v>
      </c>
      <c r="CE142" s="59">
        <f t="shared" si="148"/>
        <v>60.640359826163092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0</v>
      </c>
      <c r="CL142" s="21">
        <f>EXP(-LN(2)/25)*CL141+(1-EXP(-LN(2)/25))/(LN(2)/25)*Calculateur!CG142*Calculateur!CI142*VLOOKUP('Données projet'!$B$12,Paramètres!$A$1:$I$89,3,0)*0.475*44/12</f>
        <v>4.1585484820591914</v>
      </c>
      <c r="CM142" s="21">
        <f>EXP(-LN(2)/2)*CM141+(1-EXP(-LN(2)/2))/(LN(2)/2)*CG142*CJ142*VLOOKUP('Données projet'!$B$12,Paramètres!$A$1:$I$89,3,0)*0.475*44/12</f>
        <v>1.0555706204851826E-6</v>
      </c>
      <c r="CN142" s="22">
        <f t="shared" si="120"/>
        <v>4.1585495376298116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4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463.50192237208853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-1.7053025658242404E-13</v>
      </c>
      <c r="O143" s="13">
        <f>N143*VLOOKUP('Données projet'!$B$9,Paramètres!$A$1:$I$89,3,0)*VLOOKUP('Données projet'!$B$9,Paramètres!$A$1:$I$89,5,0)</f>
        <v>-1.0197709343628959E-13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235.90365770026909</v>
      </c>
      <c r="T143" s="59">
        <f t="shared" si="142"/>
        <v>348.09952585694253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20.27901827731403</v>
      </c>
      <c r="AA143" s="21">
        <f>EXP(-LN(2)/25)*AA142+(1-EXP(-LN(2)/25))/(LN(2)/25)*Calculateur!V143*Calculateur!X143*VLOOKUP('Données projet'!$B$9,Paramètres!$A$1:$I$89,3,0)*0.475*44/12</f>
        <v>3.4978971237363909</v>
      </c>
      <c r="AB143" s="21">
        <f>EXP(-LN(2)/2)*AB142+(1-EXP(-LN(2)/2))/(LN(2)/2)*V143*Y143*VLOOKUP('Données projet'!$B$9,Paramètres!$A$1:$I$89,3,0)*0.475*44/12</f>
        <v>3.4481796425203273E-13</v>
      </c>
      <c r="AC143" s="22">
        <f t="shared" si="111"/>
        <v>23.776915401050765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9.1440000000000055</v>
      </c>
      <c r="AI143" s="13">
        <f>IF('Données projet'!$A$62&gt;35,AI142+AH143-AQ142,IF(A143&lt;'Données projet'!$A$62,$AF$205^A143,IF(A143='Données projet'!$A$62,'Données projet'!$B$62,AI142+AH143-AQ142)))</f>
        <v>478.36400000000094</v>
      </c>
      <c r="AJ143" s="13">
        <f>AI143*VLOOKUP('Données projet'!$B$10,Paramètres!$A$1:$I$89,3,0)*VLOOKUP('Données projet'!$B$10,Paramètres!$A$1:$I$89,5,0)</f>
        <v>432.82374720000081</v>
      </c>
      <c r="AK143" s="13">
        <f t="shared" si="143"/>
        <v>98.400325655042849</v>
      </c>
      <c r="AL143" s="20">
        <f t="shared" si="112"/>
        <v>925.21526022253431</v>
      </c>
      <c r="AM143" s="59">
        <f t="shared" si="113"/>
        <v>1218.5485935558677</v>
      </c>
      <c r="AN143" s="59">
        <f ca="1">AVERAGE(OFFSET($AM$3,0,0,'Données projet'!$E$10+1,1))-AVERAGE(OFFSET($H$3,0,0,'Données projet'!$E$10+1,1))</f>
        <v>490.21869105612649</v>
      </c>
      <c r="AO143" s="59">
        <f t="shared" si="144"/>
        <v>207.08773997010911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39.733039797554845</v>
      </c>
      <c r="AV143" s="21">
        <f>EXP(-LN(2)/25)*AV142+(1-EXP(-LN(2)/25))/(LN(2)/25)*Calculateur!AQ143*Calculateur!AS143*VLOOKUP('Données projet'!$B$10,Paramètres!$A$1:$I$89,3,0)*0.475*44/12</f>
        <v>20.126085786040782</v>
      </c>
      <c r="AW143" s="21">
        <f>EXP(-LN(2)/2)*AW142+(1-EXP(-LN(2)/2))/(LN(2)/2)*AQ143*AT143*VLOOKUP('Données projet'!$B$10,Paramètres!$A$1:$I$89,3,0)*0.475*44/12</f>
        <v>1.9945235693455597E-2</v>
      </c>
      <c r="AX143" s="21">
        <f t="shared" si="114"/>
        <v>59.879070819289083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>
        <f>BD143*VLOOKUP('Données projet'!$B$11,Paramètres!$A$1:$I$89,3,0)*VLOOKUP('Données projet'!$B$11,Paramètres!$A$1:$I$89,5,0)</f>
        <v>0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144.01698107732989</v>
      </c>
      <c r="BJ143" s="59">
        <f t="shared" si="146"/>
        <v>139.28039875117332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4.0174077405808051</v>
      </c>
      <c r="BQ143" s="21">
        <f>EXP(-LN(2)/25)*BQ142+(1-EXP(-LN(2)/25))/(LN(2)/25)*Calculateur!BL143*Calculateur!BN143*VLOOKUP('Données projet'!$B$11,Paramètres!$A$1:$I$89,3,0)*0.475*44/12</f>
        <v>15.965733711501926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19.98314145208273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-8.5265128291212022E-14</v>
      </c>
      <c r="BZ143" s="13">
        <f>BY143*VLOOKUP('Données projet'!$B$12,Paramètres!$A$1:$I$89,3,0)*VLOOKUP('Données projet'!$B$12,Paramètres!$A$1:$I$89,5,0)</f>
        <v>-6.9167072069831198E-14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72.953866894533007</v>
      </c>
      <c r="CE143" s="59">
        <f t="shared" si="148"/>
        <v>60.640359826163092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0</v>
      </c>
      <c r="CL143" s="21">
        <f>EXP(-LN(2)/25)*CL142+(1-EXP(-LN(2)/25))/(LN(2)/25)*Calculateur!CG143*Calculateur!CI143*VLOOKUP('Données projet'!$B$12,Paramètres!$A$1:$I$89,3,0)*0.475*44/12</f>
        <v>4.0448327551287226</v>
      </c>
      <c r="CM143" s="21">
        <f>EXP(-LN(2)/2)*CM142+(1-EXP(-LN(2)/2))/(LN(2)/2)*CG143*CJ143*VLOOKUP('Données projet'!$B$12,Paramètres!$A$1:$I$89,3,0)*0.475*44/12</f>
        <v>7.4640114376636426E-7</v>
      </c>
      <c r="CN143" s="22">
        <f t="shared" si="120"/>
        <v>4.0448335015298662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4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464.68652293206395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-1.7053025658242404E-13</v>
      </c>
      <c r="O144" s="13">
        <f>N144*VLOOKUP('Données projet'!$B$9,Paramètres!$A$1:$I$89,3,0)*VLOOKUP('Données projet'!$B$9,Paramètres!$A$1:$I$89,5,0)</f>
        <v>-1.0197709343628959E-13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235.90365770026909</v>
      </c>
      <c r="T144" s="59">
        <f t="shared" si="142"/>
        <v>348.09952585694253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19.881359097875716</v>
      </c>
      <c r="AA144" s="21">
        <f>EXP(-LN(2)/25)*AA143+(1-EXP(-LN(2)/25))/(LN(2)/25)*Calculateur!V144*Calculateur!X144*VLOOKUP('Données projet'!$B$9,Paramètres!$A$1:$I$89,3,0)*0.475*44/12</f>
        <v>3.402246942941404</v>
      </c>
      <c r="AB144" s="21">
        <f>EXP(-LN(2)/2)*AB143+(1-EXP(-LN(2)/2))/(LN(2)/2)*V144*Y144*VLOOKUP('Données projet'!$B$9,Paramètres!$A$1:$I$89,3,0)*0.475*44/12</f>
        <v>2.4382312079755287E-13</v>
      </c>
      <c r="AC144" s="22">
        <f t="shared" si="111"/>
        <v>23.283606040817364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9.1440000000000055</v>
      </c>
      <c r="AI144" s="13">
        <f>IF('Données projet'!$A$62&gt;35,AI143+AH144-AQ143,IF(A144&lt;'Données projet'!$A$62,$AF$205^A144,IF(A144='Données projet'!$A$62,'Données projet'!$B$62,AI143+AH144-AQ143)))</f>
        <v>487.50800000000095</v>
      </c>
      <c r="AJ144" s="13">
        <f>AI144*VLOOKUP('Données projet'!$B$10,Paramètres!$A$1:$I$89,3,0)*VLOOKUP('Données projet'!$B$10,Paramètres!$A$1:$I$89,5,0)</f>
        <v>441.09723840000083</v>
      </c>
      <c r="AK144" s="13">
        <f t="shared" si="143"/>
        <v>100.06048569250036</v>
      </c>
      <c r="AL144" s="20">
        <f t="shared" si="112"/>
        <v>942.51636946110614</v>
      </c>
      <c r="AM144" s="59">
        <f t="shared" si="113"/>
        <v>1235.8497027944395</v>
      </c>
      <c r="AN144" s="59">
        <f ca="1">AVERAGE(OFFSET($AM$3,0,0,'Données projet'!$E$10+1,1))-AVERAGE(OFFSET($H$3,0,0,'Données projet'!$E$10+1,1))</f>
        <v>490.21869105612649</v>
      </c>
      <c r="AO144" s="59">
        <f t="shared" si="144"/>
        <v>207.08773997010911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38.953899121886089</v>
      </c>
      <c r="AV144" s="21">
        <f>EXP(-LN(2)/25)*AV143+(1-EXP(-LN(2)/25))/(LN(2)/25)*Calculateur!AQ144*Calculateur!AS144*VLOOKUP('Données projet'!$B$10,Paramètres!$A$1:$I$89,3,0)*0.475*44/12</f>
        <v>19.575736911836646</v>
      </c>
      <c r="AW144" s="21">
        <f>EXP(-LN(2)/2)*AW143+(1-EXP(-LN(2)/2))/(LN(2)/2)*AQ144*AT144*VLOOKUP('Données projet'!$B$10,Paramètres!$A$1:$I$89,3,0)*0.475*44/12</f>
        <v>1.4103411411206425E-2</v>
      </c>
      <c r="AX144" s="21">
        <f t="shared" si="114"/>
        <v>58.543739445133944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>
        <f>BD144*VLOOKUP('Données projet'!$B$11,Paramètres!$A$1:$I$89,3,0)*VLOOKUP('Données projet'!$B$11,Paramètres!$A$1:$I$89,5,0)</f>
        <v>0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144.01698107732989</v>
      </c>
      <c r="BJ144" s="59">
        <f t="shared" si="146"/>
        <v>139.28039875117332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3.9386288251647827</v>
      </c>
      <c r="BQ144" s="21">
        <f>EXP(-LN(2)/25)*BQ143+(1-EXP(-LN(2)/25))/(LN(2)/25)*Calculateur!BL144*Calculateur!BN144*VLOOKUP('Données projet'!$B$11,Paramètres!$A$1:$I$89,3,0)*0.475*44/12</f>
        <v>15.529149883559461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19.467778708724243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-8.5265128291212022E-14</v>
      </c>
      <c r="BZ144" s="13">
        <f>BY144*VLOOKUP('Données projet'!$B$12,Paramètres!$A$1:$I$89,3,0)*VLOOKUP('Données projet'!$B$12,Paramètres!$A$1:$I$89,5,0)</f>
        <v>-6.9167072069831198E-14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72.953866894533007</v>
      </c>
      <c r="CE144" s="59">
        <f t="shared" si="148"/>
        <v>60.640359826163092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0</v>
      </c>
      <c r="CL144" s="21">
        <f>EXP(-LN(2)/25)*CL143+(1-EXP(-LN(2)/25))/(LN(2)/25)*Calculateur!CG144*Calculateur!CI144*VLOOKUP('Données projet'!$B$12,Paramètres!$A$1:$I$89,3,0)*0.475*44/12</f>
        <v>3.9342265907312179</v>
      </c>
      <c r="CM144" s="21">
        <f>EXP(-LN(2)/2)*CM143+(1-EXP(-LN(2)/2))/(LN(2)/2)*CG144*CJ144*VLOOKUP('Données projet'!$B$12,Paramètres!$A$1:$I$89,3,0)*0.475*44/12</f>
        <v>5.2778531024259132E-7</v>
      </c>
      <c r="CN144" s="22">
        <f t="shared" si="120"/>
        <v>3.9342271185165281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4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465.87093068393028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-1.7053025658242404E-13</v>
      </c>
      <c r="O145" s="13">
        <f>N145*VLOOKUP('Données projet'!$B$9,Paramètres!$A$1:$I$89,3,0)*VLOOKUP('Données projet'!$B$9,Paramètres!$A$1:$I$89,5,0)</f>
        <v>-1.0197709343628959E-13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235.90365770026909</v>
      </c>
      <c r="T145" s="59">
        <f t="shared" si="142"/>
        <v>348.09952585694253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19.491497772398038</v>
      </c>
      <c r="AA145" s="21">
        <f>EXP(-LN(2)/25)*AA144+(1-EXP(-LN(2)/25))/(LN(2)/25)*Calculateur!V145*Calculateur!X145*VLOOKUP('Données projet'!$B$9,Paramètres!$A$1:$I$89,3,0)*0.475*44/12</f>
        <v>3.3092123213702807</v>
      </c>
      <c r="AB145" s="21">
        <f>EXP(-LN(2)/2)*AB144+(1-EXP(-LN(2)/2))/(LN(2)/2)*V145*Y145*VLOOKUP('Données projet'!$B$9,Paramètres!$A$1:$I$89,3,0)*0.475*44/12</f>
        <v>1.7240898212601637E-13</v>
      </c>
      <c r="AC145" s="22">
        <f t="shared" si="111"/>
        <v>22.800710093768494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9.1440000000000055</v>
      </c>
      <c r="AI145" s="13">
        <f>IF('Données projet'!$A$62&gt;35,AI144+AH145-AQ144,IF(A145&lt;'Données projet'!$A$62,$AF$205^A145,IF(A145='Données projet'!$A$62,'Données projet'!$B$62,AI144+AH145-AQ144)))</f>
        <v>496.65200000000095</v>
      </c>
      <c r="AJ145" s="13">
        <f>AI145*VLOOKUP('Données projet'!$B$10,Paramètres!$A$1:$I$89,3,0)*VLOOKUP('Données projet'!$B$10,Paramètres!$A$1:$I$89,5,0)</f>
        <v>449.37072960000086</v>
      </c>
      <c r="AK145" s="13">
        <f t="shared" si="143"/>
        <v>101.71702488172154</v>
      </c>
      <c r="AL145" s="20">
        <f t="shared" si="112"/>
        <v>959.81117238899981</v>
      </c>
      <c r="AM145" s="59">
        <f t="shared" si="113"/>
        <v>1253.1445057223332</v>
      </c>
      <c r="AN145" s="59">
        <f ca="1">AVERAGE(OFFSET($AM$3,0,0,'Données projet'!$E$10+1,1))-AVERAGE(OFFSET($H$3,0,0,'Données projet'!$E$10+1,1))</f>
        <v>490.21869105612649</v>
      </c>
      <c r="AO145" s="59">
        <f t="shared" si="144"/>
        <v>207.08773997010911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38.19003691963831</v>
      </c>
      <c r="AV145" s="21">
        <f>EXP(-LN(2)/25)*AV144+(1-EXP(-LN(2)/25))/(LN(2)/25)*Calculateur!AQ145*Calculateur!AS145*VLOOKUP('Données projet'!$B$10,Paramètres!$A$1:$I$89,3,0)*0.475*44/12</f>
        <v>19.040437356539211</v>
      </c>
      <c r="AW145" s="21">
        <f>EXP(-LN(2)/2)*AW144+(1-EXP(-LN(2)/2))/(LN(2)/2)*AQ145*AT145*VLOOKUP('Données projet'!$B$10,Paramètres!$A$1:$I$89,3,0)*0.475*44/12</f>
        <v>9.9726178467277986E-3</v>
      </c>
      <c r="AX145" s="21">
        <f t="shared" si="114"/>
        <v>57.240446894024245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>
        <f>BD145*VLOOKUP('Données projet'!$B$11,Paramètres!$A$1:$I$89,3,0)*VLOOKUP('Données projet'!$B$11,Paramètres!$A$1:$I$89,5,0)</f>
        <v>0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144.01698107732989</v>
      </c>
      <c r="BJ145" s="59">
        <f t="shared" si="146"/>
        <v>139.28039875117332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3.8613947162296749</v>
      </c>
      <c r="BQ145" s="21">
        <f>EXP(-LN(2)/25)*BQ144+(1-EXP(-LN(2)/25))/(LN(2)/25)*Calculateur!BL145*Calculateur!BN145*VLOOKUP('Données projet'!$B$11,Paramètres!$A$1:$I$89,3,0)*0.475*44/12</f>
        <v>15.104504463351027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18.965899179580703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-8.5265128291212022E-14</v>
      </c>
      <c r="BZ145" s="13">
        <f>BY145*VLOOKUP('Données projet'!$B$12,Paramètres!$A$1:$I$89,3,0)*VLOOKUP('Données projet'!$B$12,Paramètres!$A$1:$I$89,5,0)</f>
        <v>-6.9167072069831198E-14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72.953866894533007</v>
      </c>
      <c r="CE145" s="59">
        <f t="shared" si="148"/>
        <v>60.640359826163092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0</v>
      </c>
      <c r="CL145" s="21">
        <f>EXP(-LN(2)/25)*CL144+(1-EXP(-LN(2)/25))/(LN(2)/25)*Calculateur!CG145*Calculateur!CI145*VLOOKUP('Données projet'!$B$12,Paramètres!$A$1:$I$89,3,0)*0.475*44/12</f>
        <v>3.826644957715688</v>
      </c>
      <c r="CM145" s="21">
        <f>EXP(-LN(2)/2)*CM144+(1-EXP(-LN(2)/2))/(LN(2)/2)*CG145*CJ145*VLOOKUP('Données projet'!$B$12,Paramètres!$A$1:$I$89,3,0)*0.475*44/12</f>
        <v>3.7320057188318213E-7</v>
      </c>
      <c r="CN145" s="22">
        <f t="shared" si="120"/>
        <v>3.8266453309162598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4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467.0551471429435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-1.7053025658242404E-13</v>
      </c>
      <c r="O146" s="13">
        <f>N146*VLOOKUP('Données projet'!$B$9,Paramètres!$A$1:$I$89,3,0)*VLOOKUP('Données projet'!$B$9,Paramètres!$A$1:$I$89,5,0)</f>
        <v>-1.0197709343628959E-13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235.90365770026909</v>
      </c>
      <c r="T146" s="59">
        <f t="shared" si="142"/>
        <v>348.09952585694253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19.109281389721048</v>
      </c>
      <c r="AA146" s="21">
        <f>EXP(-LN(2)/25)*AA145+(1-EXP(-LN(2)/25))/(LN(2)/25)*Calculateur!V146*Calculateur!X146*VLOOKUP('Données projet'!$B$9,Paramètres!$A$1:$I$89,3,0)*0.475*44/12</f>
        <v>3.2187217364184977</v>
      </c>
      <c r="AB146" s="21">
        <f>EXP(-LN(2)/2)*AB145+(1-EXP(-LN(2)/2))/(LN(2)/2)*V146*Y146*VLOOKUP('Données projet'!$B$9,Paramètres!$A$1:$I$89,3,0)*0.475*44/12</f>
        <v>1.2191156039877644E-13</v>
      </c>
      <c r="AC146" s="22">
        <f t="shared" si="111"/>
        <v>22.328003126139667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9.1440000000000055</v>
      </c>
      <c r="AI146" s="13">
        <f>IF('Données projet'!$A$62&gt;35,AI145+AH146-AQ145,IF(A146&lt;'Données projet'!$A$62,$AF$205^A146,IF(A146='Données projet'!$A$62,'Données projet'!$B$62,AI145+AH146-AQ145)))</f>
        <v>505.79600000000096</v>
      </c>
      <c r="AJ146" s="13">
        <f>AI146*VLOOKUP('Données projet'!$B$10,Paramètres!$A$1:$I$89,3,0)*VLOOKUP('Données projet'!$B$10,Paramètres!$A$1:$I$89,5,0)</f>
        <v>457.64422080000088</v>
      </c>
      <c r="AK146" s="13">
        <f t="shared" si="143"/>
        <v>103.37001757568726</v>
      </c>
      <c r="AL146" s="20">
        <f t="shared" si="112"/>
        <v>977.0997985043233</v>
      </c>
      <c r="AM146" s="59">
        <f t="shared" si="113"/>
        <v>1270.4331318376567</v>
      </c>
      <c r="AN146" s="59">
        <f ca="1">AVERAGE(OFFSET($AM$3,0,0,'Données projet'!$E$10+1,1))-AVERAGE(OFFSET($H$3,0,0,'Données projet'!$E$10+1,1))</f>
        <v>490.21869105612649</v>
      </c>
      <c r="AO146" s="59">
        <f t="shared" si="144"/>
        <v>207.08773997010911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37.441153589266669</v>
      </c>
      <c r="AV146" s="21">
        <f>EXP(-LN(2)/25)*AV145+(1-EXP(-LN(2)/25))/(LN(2)/25)*Calculateur!AQ146*Calculateur!AS146*VLOOKUP('Données projet'!$B$10,Paramètres!$A$1:$I$89,3,0)*0.475*44/12</f>
        <v>18.519775595731563</v>
      </c>
      <c r="AW146" s="21">
        <f>EXP(-LN(2)/2)*AW145+(1-EXP(-LN(2)/2))/(LN(2)/2)*AQ146*AT146*VLOOKUP('Données projet'!$B$10,Paramètres!$A$1:$I$89,3,0)*0.475*44/12</f>
        <v>7.0517057056032123E-3</v>
      </c>
      <c r="AX146" s="21">
        <f t="shared" si="114"/>
        <v>55.967980890703842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>
        <f>BD146*VLOOKUP('Données projet'!$B$11,Paramètres!$A$1:$I$89,3,0)*VLOOKUP('Données projet'!$B$11,Paramètres!$A$1:$I$89,5,0)</f>
        <v>0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144.01698107732989</v>
      </c>
      <c r="BJ146" s="59">
        <f t="shared" si="146"/>
        <v>139.28039875117332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3.7856751210626296</v>
      </c>
      <c r="BQ146" s="21">
        <f>EXP(-LN(2)/25)*BQ145+(1-EXP(-LN(2)/25))/(LN(2)/25)*Calculateur!BL146*Calculateur!BN146*VLOOKUP('Données projet'!$B$11,Paramètres!$A$1:$I$89,3,0)*0.475*44/12</f>
        <v>14.691470994489325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18.477146115551953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-8.5265128291212022E-14</v>
      </c>
      <c r="BZ146" s="13">
        <f>BY146*VLOOKUP('Données projet'!$B$12,Paramètres!$A$1:$I$89,3,0)*VLOOKUP('Données projet'!$B$12,Paramètres!$A$1:$I$89,5,0)</f>
        <v>-6.9167072069831198E-14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72.953866894533007</v>
      </c>
      <c r="CE146" s="59">
        <f t="shared" si="148"/>
        <v>60.640359826163092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0</v>
      </c>
      <c r="CL146" s="21">
        <f>EXP(-LN(2)/25)*CL145+(1-EXP(-LN(2)/25))/(LN(2)/25)*Calculateur!CG146*Calculateur!CI146*VLOOKUP('Données projet'!$B$12,Paramètres!$A$1:$I$89,3,0)*0.475*44/12</f>
        <v>3.72200515011244</v>
      </c>
      <c r="CM146" s="21">
        <f>EXP(-LN(2)/2)*CM145+(1-EXP(-LN(2)/2))/(LN(2)/2)*CG146*CJ146*VLOOKUP('Données projet'!$B$12,Paramètres!$A$1:$I$89,3,0)*0.475*44/12</f>
        <v>2.6389265512129566E-7</v>
      </c>
      <c r="CN146" s="22">
        <f t="shared" si="120"/>
        <v>3.7220054140050953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4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468.23917380194229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-1.7053025658242404E-13</v>
      </c>
      <c r="O147" s="13">
        <f>N147*VLOOKUP('Données projet'!$B$9,Paramètres!$A$1:$I$89,3,0)*VLOOKUP('Données projet'!$B$9,Paramètres!$A$1:$I$89,5,0)</f>
        <v>-1.0197709343628959E-13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235.90365770026909</v>
      </c>
      <c r="T147" s="59">
        <f t="shared" si="142"/>
        <v>348.09952585694253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18.734560037179378</v>
      </c>
      <c r="AA147" s="21">
        <f>EXP(-LN(2)/25)*AA146+(1-EXP(-LN(2)/25))/(LN(2)/25)*Calculateur!V147*Calculateur!X147*VLOOKUP('Données projet'!$B$9,Paramètres!$A$1:$I$89,3,0)*0.475*44/12</f>
        <v>3.1307056212709141</v>
      </c>
      <c r="AB147" s="21">
        <f>EXP(-LN(2)/2)*AB146+(1-EXP(-LN(2)/2))/(LN(2)/2)*V147*Y147*VLOOKUP('Données projet'!$B$9,Paramètres!$A$1:$I$89,3,0)*0.475*44/12</f>
        <v>8.6204491063008183E-14</v>
      </c>
      <c r="AC147" s="22">
        <f t="shared" si="111"/>
        <v>21.865265658450376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>
        <f>VLOOKUP(A147,'Données projet'!$A$61:$I$81,2,0)</f>
        <v>514.94000000000005</v>
      </c>
      <c r="AG147" s="12">
        <f>VLOOKUP(A147,'Données projet'!$A$61:$I$81,9,0)</f>
        <v>9.1440000000000055</v>
      </c>
      <c r="AH147" s="12">
        <f t="array" ref="AH147">INDEX(AG:AG,MIN(IF(ISNUMBER(AG147:AG343),ROW(AG147:AG343),"")))</f>
        <v>9.1440000000000055</v>
      </c>
      <c r="AI147" s="13">
        <f>IF('Données projet'!$A$62&gt;35,AI146+AH147-AQ146,IF(A147&lt;'Données projet'!$A$62,$AF$205^A147,IF(A147='Données projet'!$A$62,'Données projet'!$B$62,AI146+AH147-AQ146)))</f>
        <v>514.94000000000096</v>
      </c>
      <c r="AJ147" s="13">
        <f>AI147*VLOOKUP('Données projet'!$B$10,Paramètres!$A$1:$I$89,3,0)*VLOOKUP('Données projet'!$B$10,Paramètres!$A$1:$I$89,5,0)</f>
        <v>465.91771200000085</v>
      </c>
      <c r="AK147" s="13">
        <f t="shared" si="143"/>
        <v>105.01953528507198</v>
      </c>
      <c r="AL147" s="20">
        <f t="shared" si="112"/>
        <v>994.38237235483496</v>
      </c>
      <c r="AM147" s="59">
        <f t="shared" si="113"/>
        <v>1287.7157056881683</v>
      </c>
      <c r="AN147" s="59">
        <f ca="1">AVERAGE(OFFSET($AM$3,0,0,'Données projet'!$E$10+1,1))-AVERAGE(OFFSET($H$3,0,0,'Données projet'!$E$10+1,1))</f>
        <v>490.21869105612649</v>
      </c>
      <c r="AO147" s="59">
        <f t="shared" si="144"/>
        <v>207.08773997010911</v>
      </c>
      <c r="AP147" s="15">
        <f>IF(ISNA(VLOOKUP(A147,'Données projet'!$A$61:$I$81,3,0)),0,VLOOKUP(A147,'Données projet'!$A$61:$I$81,3,0))</f>
        <v>12</v>
      </c>
      <c r="AQ147" s="15">
        <f>IF(ISNA(VLOOKUP(A147,'Données projet'!$A$61:$I$81,4,0)),0,VLOOKUP(A147,'Données projet'!$A$61:$I$81,4,0))</f>
        <v>61.800000000000068</v>
      </c>
      <c r="AR147" s="16">
        <f>IF(ISNA(VLOOKUP(A147,'Données projet'!$A$61:$I$81,5,0)),0%,VLOOKUP(A147,'Données projet'!$A$61:$I$81,5,0)*VLOOKUP('Données projet'!$B$10,Paramètres!$A$1:$I$89,7,0))</f>
        <v>0.215</v>
      </c>
      <c r="AS147" s="16">
        <f>IF(ISNA(VLOOKUP(A147,'Données projet'!$A$61:$I$81,6,0)),0%,VLOOKUP(A147,'Données projet'!$A$61:$I$81,6,0)*VLOOKUP('Données projet'!$B$10,Paramètres!$A$1:$I$89,7,0))</f>
        <v>8.6000000000000007E-2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49.997006091476479</v>
      </c>
      <c r="AV147" s="21">
        <f>EXP(-LN(2)/25)*AV146+(1-EXP(-LN(2)/25))/(LN(2)/25)*Calculateur!AQ147*Calculateur!AS147*VLOOKUP('Données projet'!$B$10,Paramètres!$A$1:$I$89,3,0)*0.475*44/12</f>
        <v>23.30844043566745</v>
      </c>
      <c r="AW147" s="21">
        <f>EXP(-LN(2)/2)*AW146+(1-EXP(-LN(2)/2))/(LN(2)/2)*AQ147*AT147*VLOOKUP('Données projet'!$B$10,Paramètres!$A$1:$I$89,3,0)*0.475*44/12</f>
        <v>4.9863089233638993E-3</v>
      </c>
      <c r="AX147" s="21">
        <f t="shared" si="114"/>
        <v>73.310432836067292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>
        <f>BD147*VLOOKUP('Données projet'!$B$11,Paramètres!$A$1:$I$89,3,0)*VLOOKUP('Données projet'!$B$11,Paramètres!$A$1:$I$89,5,0)</f>
        <v>0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144.01698107732989</v>
      </c>
      <c r="BJ147" s="59">
        <f t="shared" si="146"/>
        <v>139.28039875117332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3.711440340972417</v>
      </c>
      <c r="BQ147" s="21">
        <f>EXP(-LN(2)/25)*BQ146+(1-EXP(-LN(2)/25))/(LN(2)/25)*Calculateur!BL147*Calculateur!BN147*VLOOKUP('Données projet'!$B$11,Paramètres!$A$1:$I$89,3,0)*0.475*44/12</f>
        <v>14.289731947554133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18.001172288526551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-8.5265128291212022E-14</v>
      </c>
      <c r="BZ147" s="13">
        <f>BY147*VLOOKUP('Données projet'!$B$12,Paramètres!$A$1:$I$89,3,0)*VLOOKUP('Données projet'!$B$12,Paramètres!$A$1:$I$89,5,0)</f>
        <v>-6.9167072069831198E-14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72.953866894533007</v>
      </c>
      <c r="CE147" s="59">
        <f t="shared" si="148"/>
        <v>60.640359826163092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0</v>
      </c>
      <c r="CL147" s="21">
        <f>EXP(-LN(2)/25)*CL146+(1-EXP(-LN(2)/25))/(LN(2)/25)*Calculateur!CG147*Calculateur!CI147*VLOOKUP('Données projet'!$B$12,Paramètres!$A$1:$I$89,3,0)*0.475*44/12</f>
        <v>3.6202267235508714</v>
      </c>
      <c r="CM147" s="21">
        <f>EXP(-LN(2)/2)*CM146+(1-EXP(-LN(2)/2))/(LN(2)/2)*CG147*CJ147*VLOOKUP('Données projet'!$B$12,Paramètres!$A$1:$I$89,3,0)*0.475*44/12</f>
        <v>1.8660028594159106E-7</v>
      </c>
      <c r="CN147" s="22">
        <f t="shared" si="120"/>
        <v>3.6202269101511573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4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469.42301213183316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-1.7053025658242404E-13</v>
      </c>
      <c r="O148" s="13">
        <f>N148*VLOOKUP('Données projet'!$B$9,Paramètres!$A$1:$I$89,3,0)*VLOOKUP('Données projet'!$B$9,Paramètres!$A$1:$I$89,5,0)</f>
        <v>-1.0197709343628959E-13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235.90365770026909</v>
      </c>
      <c r="T148" s="59">
        <f t="shared" si="142"/>
        <v>348.09952585694253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18.367186741803597</v>
      </c>
      <c r="AA148" s="21">
        <f>EXP(-LN(2)/25)*AA147+(1-EXP(-LN(2)/25))/(LN(2)/25)*Calculateur!V148*Calculateur!X148*VLOOKUP('Données projet'!$B$9,Paramètres!$A$1:$I$89,3,0)*0.475*44/12</f>
        <v>3.0450963114206075</v>
      </c>
      <c r="AB148" s="21">
        <f>EXP(-LN(2)/2)*AB147+(1-EXP(-LN(2)/2))/(LN(2)/2)*V148*Y148*VLOOKUP('Données projet'!$B$9,Paramètres!$A$1:$I$89,3,0)*0.475*44/12</f>
        <v>6.0955780199388218E-14</v>
      </c>
      <c r="AC148" s="22">
        <f t="shared" si="111"/>
        <v>21.412283053224265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9.3350000000000026</v>
      </c>
      <c r="AI148" s="13">
        <f>IF('Données projet'!$A$62&gt;35,AI147+AH148-AQ147,IF(A148&lt;'Données projet'!$A$62,$AF$205^A148,IF(A148='Données projet'!$A$62,'Données projet'!$B$62,AI147+AH148-AQ147)))</f>
        <v>462.47500000000093</v>
      </c>
      <c r="AJ148" s="13">
        <f>AI148*VLOOKUP('Données projet'!$B$10,Paramètres!$A$1:$I$89,3,0)*VLOOKUP('Données projet'!$B$10,Paramètres!$A$1:$I$89,5,0)</f>
        <v>418.44738000000081</v>
      </c>
      <c r="AK148" s="13">
        <f t="shared" si="143"/>
        <v>95.506718301246906</v>
      </c>
      <c r="AL148" s="20">
        <f t="shared" si="112"/>
        <v>895.13672120800663</v>
      </c>
      <c r="AM148" s="59">
        <f t="shared" si="113"/>
        <v>1188.47005454134</v>
      </c>
      <c r="AN148" s="59">
        <f ca="1">AVERAGE(OFFSET($AM$3,0,0,'Données projet'!$E$10+1,1))-AVERAGE(OFFSET($H$3,0,0,'Données projet'!$E$10+1,1))</f>
        <v>490.21869105612649</v>
      </c>
      <c r="AO148" s="59">
        <f t="shared" si="144"/>
        <v>207.08773997010911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49.016595297185191</v>
      </c>
      <c r="AV148" s="21">
        <f>EXP(-LN(2)/25)*AV147+(1-EXP(-LN(2)/25))/(LN(2)/25)*Calculateur!AQ148*Calculateur!AS148*VLOOKUP('Données projet'!$B$10,Paramètres!$A$1:$I$89,3,0)*0.475*44/12</f>
        <v>22.671069906216513</v>
      </c>
      <c r="AW148" s="21">
        <f>EXP(-LN(2)/2)*AW147+(1-EXP(-LN(2)/2))/(LN(2)/2)*AQ148*AT148*VLOOKUP('Données projet'!$B$10,Paramètres!$A$1:$I$89,3,0)*0.475*44/12</f>
        <v>3.5258528528016061E-3</v>
      </c>
      <c r="AX148" s="21">
        <f t="shared" si="114"/>
        <v>71.69119105625451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>
        <f>BD148*VLOOKUP('Données projet'!$B$11,Paramètres!$A$1:$I$89,3,0)*VLOOKUP('Données projet'!$B$11,Paramètres!$A$1:$I$89,5,0)</f>
        <v>0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144.01698107732989</v>
      </c>
      <c r="BJ148" s="59">
        <f t="shared" si="146"/>
        <v>139.28039875117332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3.6386612596410286</v>
      </c>
      <c r="BQ148" s="21">
        <f>EXP(-LN(2)/25)*BQ147+(1-EXP(-LN(2)/25))/(LN(2)/25)*Calculateur!BL148*Calculateur!BN148*VLOOKUP('Données projet'!$B$11,Paramètres!$A$1:$I$89,3,0)*0.475*44/12</f>
        <v>13.898978475983922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17.53763973562495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-8.5265128291212022E-14</v>
      </c>
      <c r="BZ148" s="13">
        <f>BY148*VLOOKUP('Données projet'!$B$12,Paramètres!$A$1:$I$89,3,0)*VLOOKUP('Données projet'!$B$12,Paramètres!$A$1:$I$89,5,0)</f>
        <v>-6.9167072069831198E-14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72.953866894533007</v>
      </c>
      <c r="CE148" s="59">
        <f t="shared" si="148"/>
        <v>60.640359826163092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0</v>
      </c>
      <c r="CL148" s="21">
        <f>EXP(-LN(2)/25)*CL147+(1-EXP(-LN(2)/25))/(LN(2)/25)*Calculateur!CG148*Calculateur!CI148*VLOOKUP('Données projet'!$B$12,Paramètres!$A$1:$I$89,3,0)*0.475*44/12</f>
        <v>3.5212314334159234</v>
      </c>
      <c r="CM148" s="21">
        <f>EXP(-LN(2)/2)*CM147+(1-EXP(-LN(2)/2))/(LN(2)/2)*CG148*CJ148*VLOOKUP('Données projet'!$B$12,Paramètres!$A$1:$I$89,3,0)*0.475*44/12</f>
        <v>1.3194632756064783E-7</v>
      </c>
      <c r="CN148" s="22">
        <f t="shared" si="120"/>
        <v>3.521231565362251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4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470.60666358206163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-1.7053025658242404E-13</v>
      </c>
      <c r="O149" s="13">
        <f>N149*VLOOKUP('Données projet'!$B$9,Paramètres!$A$1:$I$89,3,0)*VLOOKUP('Données projet'!$B$9,Paramètres!$A$1:$I$89,5,0)</f>
        <v>-1.0197709343628959E-13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235.90365770026909</v>
      </c>
      <c r="T149" s="59">
        <f t="shared" si="142"/>
        <v>348.09952585694253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18.00701741267455</v>
      </c>
      <c r="AA149" s="21">
        <f>EXP(-LN(2)/25)*AA148+(1-EXP(-LN(2)/25))/(LN(2)/25)*Calculateur!V149*Calculateur!X149*VLOOKUP('Données projet'!$B$9,Paramètres!$A$1:$I$89,3,0)*0.475*44/12</f>
        <v>2.9618279926501558</v>
      </c>
      <c r="AB149" s="21">
        <f>EXP(-LN(2)/2)*AB148+(1-EXP(-LN(2)/2))/(LN(2)/2)*V149*Y149*VLOOKUP('Données projet'!$B$9,Paramètres!$A$1:$I$89,3,0)*0.475*44/12</f>
        <v>4.3102245531504091E-14</v>
      </c>
      <c r="AC149" s="22">
        <f t="shared" si="111"/>
        <v>20.96884540532475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9.3350000000000026</v>
      </c>
      <c r="AI149" s="13">
        <f>IF('Données projet'!$A$62&gt;35,AI148+AH149-AQ148,IF(A149&lt;'Données projet'!$A$62,$AF$205^A149,IF(A149='Données projet'!$A$62,'Données projet'!$B$62,AI148+AH149-AQ148)))</f>
        <v>471.81000000000091</v>
      </c>
      <c r="AJ149" s="13">
        <f>AI149*VLOOKUP('Données projet'!$B$10,Paramètres!$A$1:$I$89,3,0)*VLOOKUP('Données projet'!$B$10,Paramètres!$A$1:$I$89,5,0)</f>
        <v>426.89368800000079</v>
      </c>
      <c r="AK149" s="13">
        <f t="shared" si="143"/>
        <v>97.208128358788159</v>
      </c>
      <c r="AL149" s="20">
        <f t="shared" si="112"/>
        <v>912.81066349155742</v>
      </c>
      <c r="AM149" s="59">
        <f t="shared" si="113"/>
        <v>1206.1439968248908</v>
      </c>
      <c r="AN149" s="59">
        <f ca="1">AVERAGE(OFFSET($AM$3,0,0,'Données projet'!$E$10+1,1))-AVERAGE(OFFSET($H$3,0,0,'Données projet'!$E$10+1,1))</f>
        <v>490.21869105612649</v>
      </c>
      <c r="AO149" s="59">
        <f t="shared" si="144"/>
        <v>207.08773997010911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48.055409760578421</v>
      </c>
      <c r="AV149" s="21">
        <f>EXP(-LN(2)/25)*AV148+(1-EXP(-LN(2)/25))/(LN(2)/25)*Calculateur!AQ149*Calculateur!AS149*VLOOKUP('Données projet'!$B$10,Paramètres!$A$1:$I$89,3,0)*0.475*44/12</f>
        <v>22.051128307411272</v>
      </c>
      <c r="AW149" s="21">
        <f>EXP(-LN(2)/2)*AW148+(1-EXP(-LN(2)/2))/(LN(2)/2)*AQ149*AT149*VLOOKUP('Données projet'!$B$10,Paramètres!$A$1:$I$89,3,0)*0.475*44/12</f>
        <v>2.4931544616819496E-3</v>
      </c>
      <c r="AX149" s="21">
        <f t="shared" si="114"/>
        <v>70.109031222451364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>
        <f>BD149*VLOOKUP('Données projet'!$B$11,Paramètres!$A$1:$I$89,3,0)*VLOOKUP('Données projet'!$B$11,Paramètres!$A$1:$I$89,5,0)</f>
        <v>0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144.01698107732989</v>
      </c>
      <c r="BJ149" s="59">
        <f t="shared" si="146"/>
        <v>139.28039875117332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3.5673093317036924</v>
      </c>
      <c r="BQ149" s="21">
        <f>EXP(-LN(2)/25)*BQ148+(1-EXP(-LN(2)/25))/(LN(2)/25)*Calculateur!BL149*Calculateur!BN149*VLOOKUP('Données projet'!$B$11,Paramètres!$A$1:$I$89,3,0)*0.475*44/12</f>
        <v>13.51891017864263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17.086219510346321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-8.5265128291212022E-14</v>
      </c>
      <c r="BZ149" s="13">
        <f>BY149*VLOOKUP('Données projet'!$B$12,Paramètres!$A$1:$I$89,3,0)*VLOOKUP('Données projet'!$B$12,Paramètres!$A$1:$I$89,5,0)</f>
        <v>-6.9167072069831198E-14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72.953866894533007</v>
      </c>
      <c r="CE149" s="59">
        <f t="shared" si="148"/>
        <v>60.640359826163092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0</v>
      </c>
      <c r="CL149" s="21">
        <f>EXP(-LN(2)/25)*CL148+(1-EXP(-LN(2)/25))/(LN(2)/25)*Calculateur!CG149*Calculateur!CI149*VLOOKUP('Données projet'!$B$12,Paramètres!$A$1:$I$89,3,0)*0.475*44/12</f>
        <v>3.4249431746956516</v>
      </c>
      <c r="CM149" s="21">
        <f>EXP(-LN(2)/2)*CM148+(1-EXP(-LN(2)/2))/(LN(2)/2)*CG149*CJ149*VLOOKUP('Données projet'!$B$12,Paramètres!$A$1:$I$89,3,0)*0.475*44/12</f>
        <v>9.3300142970795532E-8</v>
      </c>
      <c r="CN149" s="22">
        <f t="shared" si="120"/>
        <v>3.4249432679957947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4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471.79012958106995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-1.7053025658242404E-13</v>
      </c>
      <c r="O150" s="13">
        <f>N150*VLOOKUP('Données projet'!$B$9,Paramètres!$A$1:$I$89,3,0)*VLOOKUP('Données projet'!$B$9,Paramètres!$A$1:$I$89,5,0)</f>
        <v>-1.0197709343628959E-13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235.90365770026909</v>
      </c>
      <c r="T150" s="59">
        <f t="shared" si="142"/>
        <v>348.09952585694253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17.653910784408122</v>
      </c>
      <c r="AA150" s="21">
        <f>EXP(-LN(2)/25)*AA149+(1-EXP(-LN(2)/25))/(LN(2)/25)*Calculateur!V150*Calculateur!X150*VLOOKUP('Données projet'!$B$9,Paramètres!$A$1:$I$89,3,0)*0.475*44/12</f>
        <v>2.8808366504353726</v>
      </c>
      <c r="AB150" s="21">
        <f>EXP(-LN(2)/2)*AB149+(1-EXP(-LN(2)/2))/(LN(2)/2)*V150*Y150*VLOOKUP('Données projet'!$B$9,Paramètres!$A$1:$I$89,3,0)*0.475*44/12</f>
        <v>3.0477890099694109E-14</v>
      </c>
      <c r="AC150" s="22">
        <f t="shared" si="111"/>
        <v>20.534747434843528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9.3350000000000026</v>
      </c>
      <c r="AI150" s="13">
        <f>IF('Données projet'!$A$62&gt;35,AI149+AH150-AQ149,IF(A150&lt;'Données projet'!$A$62,$AF$205^A150,IF(A150='Données projet'!$A$62,'Données projet'!$B$62,AI149+AH150-AQ149)))</f>
        <v>481.14500000000089</v>
      </c>
      <c r="AJ150" s="13">
        <f>AI150*VLOOKUP('Données projet'!$B$10,Paramètres!$A$1:$I$89,3,0)*VLOOKUP('Données projet'!$B$10,Paramètres!$A$1:$I$89,5,0)</f>
        <v>435.33999600000078</v>
      </c>
      <c r="AK150" s="13">
        <f t="shared" si="143"/>
        <v>98.905624251508897</v>
      </c>
      <c r="AL150" s="20">
        <f t="shared" si="112"/>
        <v>930.4777886047126</v>
      </c>
      <c r="AM150" s="59">
        <f t="shared" si="113"/>
        <v>1223.811121938046</v>
      </c>
      <c r="AN150" s="59">
        <f ca="1">AVERAGE(OFFSET($AM$3,0,0,'Données projet'!$E$10+1,1))-AVERAGE(OFFSET($H$3,0,0,'Données projet'!$E$10+1,1))</f>
        <v>490.21869105612649</v>
      </c>
      <c r="AO150" s="59">
        <f t="shared" si="144"/>
        <v>207.08773997010911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47.113072486079218</v>
      </c>
      <c r="AV150" s="21">
        <f>EXP(-LN(2)/25)*AV149+(1-EXP(-LN(2)/25))/(LN(2)/25)*Calculateur!AQ150*Calculateur!AS150*VLOOKUP('Données projet'!$B$10,Paramètres!$A$1:$I$89,3,0)*0.475*44/12</f>
        <v>21.448139044226672</v>
      </c>
      <c r="AW150" s="21">
        <f>EXP(-LN(2)/2)*AW149+(1-EXP(-LN(2)/2))/(LN(2)/2)*AQ150*AT150*VLOOKUP('Données projet'!$B$10,Paramètres!$A$1:$I$89,3,0)*0.475*44/12</f>
        <v>1.7629264264008031E-3</v>
      </c>
      <c r="AX150" s="21">
        <f t="shared" si="114"/>
        <v>68.562974456732277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>
        <f>BD150*VLOOKUP('Données projet'!$B$11,Paramètres!$A$1:$I$89,3,0)*VLOOKUP('Données projet'!$B$11,Paramètres!$A$1:$I$89,5,0)</f>
        <v>0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144.01698107732989</v>
      </c>
      <c r="BJ150" s="59">
        <f t="shared" si="146"/>
        <v>139.28039875117332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3.4973565715528285</v>
      </c>
      <c r="BQ150" s="21">
        <f>EXP(-LN(2)/25)*BQ149+(1-EXP(-LN(2)/25))/(LN(2)/25)*Calculateur!BL150*Calculateur!BN150*VLOOKUP('Données projet'!$B$11,Paramètres!$A$1:$I$89,3,0)*0.475*44/12</f>
        <v>13.149234868879059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16.646591440431887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-8.5265128291212022E-14</v>
      </c>
      <c r="BZ150" s="13">
        <f>BY150*VLOOKUP('Données projet'!$B$12,Paramètres!$A$1:$I$89,3,0)*VLOOKUP('Données projet'!$B$12,Paramètres!$A$1:$I$89,5,0)</f>
        <v>-6.9167072069831198E-14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72.953866894533007</v>
      </c>
      <c r="CE150" s="59">
        <f t="shared" si="148"/>
        <v>60.640359826163092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0</v>
      </c>
      <c r="CL150" s="21">
        <f>EXP(-LN(2)/25)*CL149+(1-EXP(-LN(2)/25))/(LN(2)/25)*Calculateur!CG150*Calculateur!CI150*VLOOKUP('Données projet'!$B$12,Paramètres!$A$1:$I$89,3,0)*0.475*44/12</f>
        <v>3.3312879234736652</v>
      </c>
      <c r="CM150" s="21">
        <f>EXP(-LN(2)/2)*CM149+(1-EXP(-LN(2)/2))/(LN(2)/2)*CG150*CJ150*VLOOKUP('Données projet'!$B$12,Paramètres!$A$1:$I$89,3,0)*0.475*44/12</f>
        <v>6.5973163780323915E-8</v>
      </c>
      <c r="CN150" s="22">
        <f t="shared" si="120"/>
        <v>3.331287989446829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4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472.9734115367425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-1.7053025658242404E-13</v>
      </c>
      <c r="O151" s="13">
        <f>N151*VLOOKUP('Données projet'!$B$9,Paramètres!$A$1:$I$89,3,0)*VLOOKUP('Données projet'!$B$9,Paramètres!$A$1:$I$89,5,0)</f>
        <v>-1.0197709343628959E-13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235.90365770026909</v>
      </c>
      <c r="T151" s="59">
        <f t="shared" si="142"/>
        <v>348.09952585694253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17.307728361748222</v>
      </c>
      <c r="AA151" s="21">
        <f>EXP(-LN(2)/25)*AA150+(1-EXP(-LN(2)/25))/(LN(2)/25)*Calculateur!V151*Calculateur!X151*VLOOKUP('Données projet'!$B$9,Paramètres!$A$1:$I$89,3,0)*0.475*44/12</f>
        <v>2.8020600207326023</v>
      </c>
      <c r="AB151" s="21">
        <f>EXP(-LN(2)/2)*AB150+(1-EXP(-LN(2)/2))/(LN(2)/2)*V151*Y151*VLOOKUP('Données projet'!$B$9,Paramètres!$A$1:$I$89,3,0)*0.475*44/12</f>
        <v>2.1551122765752046E-14</v>
      </c>
      <c r="AC151" s="22">
        <f t="shared" si="111"/>
        <v>20.109788382480843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9.3350000000000026</v>
      </c>
      <c r="AI151" s="13">
        <f>IF('Données projet'!$A$62&gt;35,AI150+AH151-AQ150,IF(A151&lt;'Données projet'!$A$62,$AF$205^A151,IF(A151='Données projet'!$A$62,'Données projet'!$B$62,AI150+AH151-AQ150)))</f>
        <v>490.48000000000087</v>
      </c>
      <c r="AJ151" s="13">
        <f>AI151*VLOOKUP('Données projet'!$B$10,Paramètres!$A$1:$I$89,3,0)*VLOOKUP('Données projet'!$B$10,Paramètres!$A$1:$I$89,5,0)</f>
        <v>443.78630400000077</v>
      </c>
      <c r="AK151" s="13">
        <f t="shared" si="143"/>
        <v>100.59929067522565</v>
      </c>
      <c r="AL151" s="20">
        <f t="shared" si="112"/>
        <v>948.13824405935259</v>
      </c>
      <c r="AM151" s="59">
        <f t="shared" si="113"/>
        <v>1241.471577392686</v>
      </c>
      <c r="AN151" s="59">
        <f ca="1">AVERAGE(OFFSET($AM$3,0,0,'Données projet'!$E$10+1,1))-AVERAGE(OFFSET($H$3,0,0,'Données projet'!$E$10+1,1))</f>
        <v>490.21869105612649</v>
      </c>
      <c r="AO151" s="59">
        <f t="shared" si="144"/>
        <v>207.08773997010911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46.189213870763965</v>
      </c>
      <c r="AV151" s="21">
        <f>EXP(-LN(2)/25)*AV150+(1-EXP(-LN(2)/25))/(LN(2)/25)*Calculateur!AQ151*Calculateur!AS151*VLOOKUP('Données projet'!$B$10,Paramètres!$A$1:$I$89,3,0)*0.475*44/12</f>
        <v>20.861638554153682</v>
      </c>
      <c r="AW151" s="21">
        <f>EXP(-LN(2)/2)*AW150+(1-EXP(-LN(2)/2))/(LN(2)/2)*AQ151*AT151*VLOOKUP('Données projet'!$B$10,Paramètres!$A$1:$I$89,3,0)*0.475*44/12</f>
        <v>1.2465772308409748E-3</v>
      </c>
      <c r="AX151" s="21">
        <f t="shared" si="114"/>
        <v>67.052099002148495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>
        <f>BD151*VLOOKUP('Données projet'!$B$11,Paramètres!$A$1:$I$89,3,0)*VLOOKUP('Données projet'!$B$11,Paramètres!$A$1:$I$89,5,0)</f>
        <v>0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144.01698107732989</v>
      </c>
      <c r="BJ151" s="59">
        <f t="shared" si="146"/>
        <v>139.28039875117332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3.4287755423615525</v>
      </c>
      <c r="BQ151" s="21">
        <f>EXP(-LN(2)/25)*BQ150+(1-EXP(-LN(2)/25))/(LN(2)/25)*Calculateur!BL151*Calculateur!BN151*VLOOKUP('Données projet'!$B$11,Paramètres!$A$1:$I$89,3,0)*0.475*44/12</f>
        <v>12.789668349901353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16.218443892262904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-8.5265128291212022E-14</v>
      </c>
      <c r="BZ151" s="13">
        <f>BY151*VLOOKUP('Données projet'!$B$12,Paramètres!$A$1:$I$89,3,0)*VLOOKUP('Données projet'!$B$12,Paramètres!$A$1:$I$89,5,0)</f>
        <v>-6.9167072069831198E-14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72.953866894533007</v>
      </c>
      <c r="CE151" s="59">
        <f t="shared" si="148"/>
        <v>60.640359826163092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0</v>
      </c>
      <c r="CL151" s="21">
        <f>EXP(-LN(2)/25)*CL150+(1-EXP(-LN(2)/25))/(LN(2)/25)*Calculateur!CG151*Calculateur!CI151*VLOOKUP('Données projet'!$B$12,Paramètres!$A$1:$I$89,3,0)*0.475*44/12</f>
        <v>3.2401936800214597</v>
      </c>
      <c r="CM151" s="21">
        <f>EXP(-LN(2)/2)*CM150+(1-EXP(-LN(2)/2))/(LN(2)/2)*CG151*CJ151*VLOOKUP('Données projet'!$B$12,Paramètres!$A$1:$I$89,3,0)*0.475*44/12</f>
        <v>4.6650071485397766E-8</v>
      </c>
      <c r="CN151" s="22">
        <f t="shared" si="120"/>
        <v>3.240193726671531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4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474.15651083683827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-1.7053025658242404E-13</v>
      </c>
      <c r="O152" s="13">
        <f>N152*VLOOKUP('Données projet'!$B$9,Paramètres!$A$1:$I$89,3,0)*VLOOKUP('Données projet'!$B$9,Paramètres!$A$1:$I$89,5,0)</f>
        <v>-1.0197709343628959E-13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235.90365770026909</v>
      </c>
      <c r="T152" s="59">
        <f t="shared" si="142"/>
        <v>348.09952585694253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16.968334365246253</v>
      </c>
      <c r="AA152" s="21">
        <f>EXP(-LN(2)/25)*AA151+(1-EXP(-LN(2)/25))/(LN(2)/25)*Calculateur!V152*Calculateur!X152*VLOOKUP('Données projet'!$B$9,Paramètres!$A$1:$I$89,3,0)*0.475*44/12</f>
        <v>2.7254375421117372</v>
      </c>
      <c r="AB152" s="21">
        <f>EXP(-LN(2)/2)*AB151+(1-EXP(-LN(2)/2))/(LN(2)/2)*V152*Y152*VLOOKUP('Données projet'!$B$9,Paramètres!$A$1:$I$89,3,0)*0.475*44/12</f>
        <v>1.5238945049847055E-14</v>
      </c>
      <c r="AC152" s="22">
        <f t="shared" si="111"/>
        <v>19.693771907358006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9.3350000000000026</v>
      </c>
      <c r="AI152" s="13">
        <f>IF('Données projet'!$A$62&gt;35,AI151+AH152-AQ151,IF(A152&lt;'Données projet'!$A$62,$AF$205^A152,IF(A152='Données projet'!$A$62,'Données projet'!$B$62,AI151+AH152-AQ151)))</f>
        <v>499.81500000000085</v>
      </c>
      <c r="AJ152" s="13">
        <f>AI152*VLOOKUP('Données projet'!$B$10,Paramètres!$A$1:$I$89,3,0)*VLOOKUP('Données projet'!$B$10,Paramètres!$A$1:$I$89,5,0)</f>
        <v>452.2326120000007</v>
      </c>
      <c r="AK152" s="13">
        <f t="shared" si="143"/>
        <v>102.28920891735658</v>
      </c>
      <c r="AL152" s="20">
        <f t="shared" si="112"/>
        <v>965.79217143106382</v>
      </c>
      <c r="AM152" s="59">
        <f t="shared" si="113"/>
        <v>1259.1255047643972</v>
      </c>
      <c r="AN152" s="59">
        <f ca="1">AVERAGE(OFFSET($AM$3,0,0,'Données projet'!$E$10+1,1))-AVERAGE(OFFSET($H$3,0,0,'Données projet'!$E$10+1,1))</f>
        <v>490.21869105612649</v>
      </c>
      <c r="AO152" s="59">
        <f t="shared" si="144"/>
        <v>207.08773997010911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45.283471559396929</v>
      </c>
      <c r="AV152" s="21">
        <f>EXP(-LN(2)/25)*AV151+(1-EXP(-LN(2)/25))/(LN(2)/25)*Calculateur!AQ152*Calculateur!AS152*VLOOKUP('Données projet'!$B$10,Paramètres!$A$1:$I$89,3,0)*0.475*44/12</f>
        <v>20.291175950824456</v>
      </c>
      <c r="AW152" s="21">
        <f>EXP(-LN(2)/2)*AW151+(1-EXP(-LN(2)/2))/(LN(2)/2)*AQ152*AT152*VLOOKUP('Données projet'!$B$10,Paramètres!$A$1:$I$89,3,0)*0.475*44/12</f>
        <v>8.8146321320040153E-4</v>
      </c>
      <c r="AX152" s="21">
        <f t="shared" si="114"/>
        <v>65.575528973434587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>
        <f>BD152*VLOOKUP('Données projet'!$B$11,Paramètres!$A$1:$I$89,3,0)*VLOOKUP('Données projet'!$B$11,Paramètres!$A$1:$I$89,5,0)</f>
        <v>0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144.01698107732989</v>
      </c>
      <c r="BJ152" s="59">
        <f t="shared" si="146"/>
        <v>139.28039875117332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3.36153934532242</v>
      </c>
      <c r="BQ152" s="21">
        <f>EXP(-LN(2)/25)*BQ151+(1-EXP(-LN(2)/25))/(LN(2)/25)*Calculateur!BL152*Calculateur!BN152*VLOOKUP('Données projet'!$B$11,Paramètres!$A$1:$I$89,3,0)*0.475*44/12</f>
        <v>12.439934196293873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15.801473541616293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-8.5265128291212022E-14</v>
      </c>
      <c r="BZ152" s="13">
        <f>BY152*VLOOKUP('Données projet'!$B$12,Paramètres!$A$1:$I$89,3,0)*VLOOKUP('Données projet'!$B$12,Paramètres!$A$1:$I$89,5,0)</f>
        <v>-6.9167072069831198E-14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72.953866894533007</v>
      </c>
      <c r="CE152" s="59">
        <f t="shared" si="148"/>
        <v>60.640359826163092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0</v>
      </c>
      <c r="CL152" s="21">
        <f>EXP(-LN(2)/25)*CL151+(1-EXP(-LN(2)/25))/(LN(2)/25)*Calculateur!CG152*Calculateur!CI152*VLOOKUP('Données projet'!$B$12,Paramètres!$A$1:$I$89,3,0)*0.475*44/12</f>
        <v>3.1515904134468928</v>
      </c>
      <c r="CM152" s="21">
        <f>EXP(-LN(2)/2)*CM151+(1-EXP(-LN(2)/2))/(LN(2)/2)*CG152*CJ152*VLOOKUP('Données projet'!$B$12,Paramètres!$A$1:$I$89,3,0)*0.475*44/12</f>
        <v>3.2986581890161957E-8</v>
      </c>
      <c r="CN152" s="22">
        <f t="shared" si="120"/>
        <v>3.1515904464334747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4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475.33942884941183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-1.7053025658242404E-13</v>
      </c>
      <c r="O153" s="13">
        <f>N153*VLOOKUP('Données projet'!$B$9,Paramètres!$A$1:$I$89,3,0)*VLOOKUP('Données projet'!$B$9,Paramètres!$A$1:$I$89,5,0)</f>
        <v>-1.0197709343628959E-13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235.90365770026909</v>
      </c>
      <c r="T153" s="59">
        <f t="shared" si="142"/>
        <v>348.09952585694253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16.635595678005792</v>
      </c>
      <c r="AA153" s="21">
        <f>EXP(-LN(2)/25)*AA152+(1-EXP(-LN(2)/25))/(LN(2)/25)*Calculateur!V153*Calculateur!X153*VLOOKUP('Données projet'!$B$9,Paramètres!$A$1:$I$89,3,0)*0.475*44/12</f>
        <v>2.6509103091981605</v>
      </c>
      <c r="AB153" s="21">
        <f>EXP(-LN(2)/2)*AB152+(1-EXP(-LN(2)/2))/(LN(2)/2)*V153*Y153*VLOOKUP('Données projet'!$B$9,Paramètres!$A$1:$I$89,3,0)*0.475*44/12</f>
        <v>1.0775561382876023E-14</v>
      </c>
      <c r="AC153" s="22">
        <f t="shared" si="111"/>
        <v>19.286505987203963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9.3350000000000026</v>
      </c>
      <c r="AI153" s="13">
        <f>IF('Données projet'!$A$62&gt;35,AI152+AH153-AQ152,IF(A153&lt;'Données projet'!$A$62,$AF$205^A153,IF(A153='Données projet'!$A$62,'Données projet'!$B$62,AI152+AH153-AQ152)))</f>
        <v>509.15000000000083</v>
      </c>
      <c r="AJ153" s="13">
        <f>AI153*VLOOKUP('Données projet'!$B$10,Paramètres!$A$1:$I$89,3,0)*VLOOKUP('Données projet'!$B$10,Paramètres!$A$1:$I$89,5,0)</f>
        <v>460.67892000000074</v>
      </c>
      <c r="AK153" s="13">
        <f t="shared" si="143"/>
        <v>103.97545705513664</v>
      </c>
      <c r="AL153" s="20">
        <f t="shared" si="112"/>
        <v>983.43970670436431</v>
      </c>
      <c r="AM153" s="59">
        <f t="shared" si="113"/>
        <v>1276.7730400376977</v>
      </c>
      <c r="AN153" s="59">
        <f ca="1">AVERAGE(OFFSET($AM$3,0,0,'Données projet'!$E$10+1,1))-AVERAGE(OFFSET($H$3,0,0,'Données projet'!$E$10+1,1))</f>
        <v>490.21869105612649</v>
      </c>
      <c r="AO153" s="59">
        <f t="shared" si="144"/>
        <v>207.08773997010911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44.395490302307536</v>
      </c>
      <c r="AV153" s="21">
        <f>EXP(-LN(2)/25)*AV152+(1-EXP(-LN(2)/25))/(LN(2)/25)*Calculateur!AQ153*Calculateur!AS153*VLOOKUP('Données projet'!$B$10,Paramètres!$A$1:$I$89,3,0)*0.475*44/12</f>
        <v>19.736312677382596</v>
      </c>
      <c r="AW153" s="21">
        <f>EXP(-LN(2)/2)*AW152+(1-EXP(-LN(2)/2))/(LN(2)/2)*AQ153*AT153*VLOOKUP('Données projet'!$B$10,Paramètres!$A$1:$I$89,3,0)*0.475*44/12</f>
        <v>6.2328861542048741E-4</v>
      </c>
      <c r="AX153" s="21">
        <f t="shared" si="114"/>
        <v>64.132426268305551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>
        <f>BD153*VLOOKUP('Données projet'!$B$11,Paramètres!$A$1:$I$89,3,0)*VLOOKUP('Données projet'!$B$11,Paramètres!$A$1:$I$89,5,0)</f>
        <v>0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144.01698107732989</v>
      </c>
      <c r="BJ153" s="59">
        <f t="shared" si="146"/>
        <v>139.28039875117332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3.2956216090971941</v>
      </c>
      <c r="BQ153" s="21">
        <f>EXP(-LN(2)/25)*BQ152+(1-EXP(-LN(2)/25))/(LN(2)/25)*Calculateur!BL153*Calculateur!BN153*VLOOKUP('Données projet'!$B$11,Paramètres!$A$1:$I$89,3,0)*0.475*44/12</f>
        <v>12.099763541508509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15.395385150605703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-8.5265128291212022E-14</v>
      </c>
      <c r="BZ153" s="13">
        <f>BY153*VLOOKUP('Données projet'!$B$12,Paramètres!$A$1:$I$89,3,0)*VLOOKUP('Données projet'!$B$12,Paramètres!$A$1:$I$89,5,0)</f>
        <v>-6.9167072069831198E-14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72.953866894533007</v>
      </c>
      <c r="CE153" s="59">
        <f t="shared" si="148"/>
        <v>60.640359826163092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0</v>
      </c>
      <c r="CL153" s="21">
        <f>EXP(-LN(2)/25)*CL152+(1-EXP(-LN(2)/25))/(LN(2)/25)*Calculateur!CG153*Calculateur!CI153*VLOOKUP('Données projet'!$B$12,Paramètres!$A$1:$I$89,3,0)*0.475*44/12</f>
        <v>3.0654100078562507</v>
      </c>
      <c r="CM153" s="21">
        <f>EXP(-LN(2)/2)*CM152+(1-EXP(-LN(2)/2))/(LN(2)/2)*CG153*CJ153*VLOOKUP('Données projet'!$B$12,Paramètres!$A$1:$I$89,3,0)*0.475*44/12</f>
        <v>2.3325035742698883E-8</v>
      </c>
      <c r="CN153" s="22">
        <f t="shared" si="120"/>
        <v>3.0654100311812864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4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476.52216692322241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-1.7053025658242404E-13</v>
      </c>
      <c r="O154" s="13">
        <f>N154*VLOOKUP('Données projet'!$B$9,Paramètres!$A$1:$I$89,3,0)*VLOOKUP('Données projet'!$B$9,Paramètres!$A$1:$I$89,5,0)</f>
        <v>-1.0197709343628959E-13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235.90365770026909</v>
      </c>
      <c r="T154" s="59">
        <f t="shared" si="142"/>
        <v>348.09952585694253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16.309381793471559</v>
      </c>
      <c r="AA154" s="21">
        <f>EXP(-LN(2)/25)*AA153+(1-EXP(-LN(2)/25))/(LN(2)/25)*Calculateur!V154*Calculateur!X154*VLOOKUP('Données projet'!$B$9,Paramètres!$A$1:$I$89,3,0)*0.475*44/12</f>
        <v>2.5784210273878223</v>
      </c>
      <c r="AB154" s="21">
        <f>EXP(-LN(2)/2)*AB153+(1-EXP(-LN(2)/2))/(LN(2)/2)*V154*Y154*VLOOKUP('Données projet'!$B$9,Paramètres!$A$1:$I$89,3,0)*0.475*44/12</f>
        <v>7.6194725249235273E-15</v>
      </c>
      <c r="AC154" s="22">
        <f t="shared" ref="AC154:AC203" si="163">SUM(Z154:AB154)</f>
        <v>18.887802820859388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9.3350000000000026</v>
      </c>
      <c r="AI154" s="13">
        <f>IF('Données projet'!$A$62&gt;35,AI153+AH154-AQ153,IF(A154&lt;'Données projet'!$A$62,$AF$205^A154,IF(A154='Données projet'!$A$62,'Données projet'!$B$62,AI153+AH154-AQ153)))</f>
        <v>518.48500000000081</v>
      </c>
      <c r="AJ154" s="13">
        <f>AI154*VLOOKUP('Données projet'!$B$10,Paramètres!$A$1:$I$89,3,0)*VLOOKUP('Données projet'!$B$10,Paramètres!$A$1:$I$89,5,0)</f>
        <v>469.12522800000067</v>
      </c>
      <c r="AK154" s="13">
        <f t="shared" ref="AK154:AK203" si="164">EXP(-1.0587+0.8836*LN(AJ154)+0.284)</f>
        <v>105.65811013888603</v>
      </c>
      <c r="AL154" s="20">
        <f t="shared" ref="AL154:AL203" si="165">(AJ154+AK154)*0.475*44/12</f>
        <v>1001.0809805918944</v>
      </c>
      <c r="AM154" s="59">
        <f t="shared" si="113"/>
        <v>1294.4143139252278</v>
      </c>
      <c r="AN154" s="59">
        <f ca="1">AVERAGE(OFFSET($AM$3,0,0,'Données projet'!$E$10+1,1))-AVERAGE(OFFSET($H$3,0,0,'Données projet'!$E$10+1,1))</f>
        <v>490.21869105612649</v>
      </c>
      <c r="AO154" s="59">
        <f t="shared" si="144"/>
        <v>207.08773997010911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43.524921816054579</v>
      </c>
      <c r="AV154" s="21">
        <f>EXP(-LN(2)/25)*AV153+(1-EXP(-LN(2)/25))/(LN(2)/25)*Calculateur!AQ154*Calculateur!AS154*VLOOKUP('Données projet'!$B$10,Paramètres!$A$1:$I$89,3,0)*0.475*44/12</f>
        <v>19.196622169331992</v>
      </c>
      <c r="AW154" s="21">
        <f>EXP(-LN(2)/2)*AW153+(1-EXP(-LN(2)/2))/(LN(2)/2)*AQ154*AT154*VLOOKUP('Données projet'!$B$10,Paramètres!$A$1:$I$89,3,0)*0.475*44/12</f>
        <v>4.4073160660020077E-4</v>
      </c>
      <c r="AX154" s="21">
        <f t="shared" ref="AX154:AX203" si="166">SUM(AU154:AW154)</f>
        <v>62.721984716993177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>
        <f>BD154*VLOOKUP('Données projet'!$B$11,Paramètres!$A$1:$I$89,3,0)*VLOOKUP('Données projet'!$B$11,Paramètres!$A$1:$I$89,5,0)</f>
        <v>0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144.01698107732989</v>
      </c>
      <c r="BJ154" s="59">
        <f t="shared" si="146"/>
        <v>139.28039875117332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3.2309964794734958</v>
      </c>
      <c r="BQ154" s="21">
        <f>EXP(-LN(2)/25)*BQ153+(1-EXP(-LN(2)/25))/(LN(2)/25)*Calculateur!BL154*Calculateur!BN154*VLOOKUP('Données projet'!$B$11,Paramètres!$A$1:$I$89,3,0)*0.475*44/12</f>
        <v>11.768894871167047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14.999891350640542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-8.5265128291212022E-14</v>
      </c>
      <c r="BZ154" s="13">
        <f>BY154*VLOOKUP('Données projet'!$B$12,Paramètres!$A$1:$I$89,3,0)*VLOOKUP('Données projet'!$B$12,Paramètres!$A$1:$I$89,5,0)</f>
        <v>-6.9167072069831198E-14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72.953866894533007</v>
      </c>
      <c r="CE154" s="59">
        <f t="shared" si="148"/>
        <v>60.640359826163092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0</v>
      </c>
      <c r="CL154" s="21">
        <f>EXP(-LN(2)/25)*CL153+(1-EXP(-LN(2)/25))/(LN(2)/25)*Calculateur!CG154*Calculateur!CI154*VLOOKUP('Données projet'!$B$12,Paramètres!$A$1:$I$89,3,0)*0.475*44/12</f>
        <v>2.9815862099885155</v>
      </c>
      <c r="CM154" s="21">
        <f>EXP(-LN(2)/2)*CM153+(1-EXP(-LN(2)/2))/(LN(2)/2)*CG154*CJ154*VLOOKUP('Données projet'!$B$12,Paramètres!$A$1:$I$89,3,0)*0.475*44/12</f>
        <v>1.6493290945080979E-8</v>
      </c>
      <c r="CN154" s="22">
        <f t="shared" ref="CN154:CN203" si="172">SUM(CK154:CM154)</f>
        <v>2.9815862264818063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4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477.70472638813214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-1.7053025658242404E-13</v>
      </c>
      <c r="O155" s="13">
        <f>N155*VLOOKUP('Données projet'!$B$9,Paramètres!$A$1:$I$89,3,0)*VLOOKUP('Données projet'!$B$9,Paramètres!$A$1:$I$89,5,0)</f>
        <v>-1.0197709343628959E-13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235.90365770026909</v>
      </c>
      <c r="T155" s="59">
        <f t="shared" si="142"/>
        <v>348.09952585694253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15.989564764242218</v>
      </c>
      <c r="AA155" s="21">
        <f>EXP(-LN(2)/25)*AA154+(1-EXP(-LN(2)/25))/(LN(2)/25)*Calculateur!V155*Calculateur!X155*VLOOKUP('Données projet'!$B$9,Paramètres!$A$1:$I$89,3,0)*0.475*44/12</f>
        <v>2.5079139688006333</v>
      </c>
      <c r="AB155" s="21">
        <f>EXP(-LN(2)/2)*AB154+(1-EXP(-LN(2)/2))/(LN(2)/2)*V155*Y155*VLOOKUP('Données projet'!$B$9,Paramètres!$A$1:$I$89,3,0)*0.475*44/12</f>
        <v>5.3877806914380114E-15</v>
      </c>
      <c r="AC155" s="22">
        <f t="shared" si="163"/>
        <v>18.497478733042858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9.3350000000000026</v>
      </c>
      <c r="AI155" s="13">
        <f>IF('Données projet'!$A$62&gt;35,AI154+AH155-AQ154,IF(A155&lt;'Données projet'!$A$62,$AF$205^A155,IF(A155='Données projet'!$A$62,'Données projet'!$B$62,AI154+AH155-AQ154)))</f>
        <v>527.82000000000085</v>
      </c>
      <c r="AJ155" s="13">
        <f>AI155*VLOOKUP('Données projet'!$B$10,Paramètres!$A$1:$I$89,3,0)*VLOOKUP('Données projet'!$B$10,Paramètres!$A$1:$I$89,5,0)</f>
        <v>477.57153600000072</v>
      </c>
      <c r="AK155" s="13">
        <f t="shared" si="164"/>
        <v>107.3372403617045</v>
      </c>
      <c r="AL155" s="20">
        <f t="shared" si="165"/>
        <v>1018.71611882997</v>
      </c>
      <c r="AM155" s="59">
        <f t="shared" si="113"/>
        <v>1312.0494521633034</v>
      </c>
      <c r="AN155" s="59">
        <f ca="1">AVERAGE(OFFSET($AM$3,0,0,'Données projet'!$E$10+1,1))-AVERAGE(OFFSET($H$3,0,0,'Données projet'!$E$10+1,1))</f>
        <v>490.21869105612649</v>
      </c>
      <c r="AO155" s="59">
        <f t="shared" si="144"/>
        <v>207.08773997010911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42.6714246468227</v>
      </c>
      <c r="AV155" s="21">
        <f>EXP(-LN(2)/25)*AV154+(1-EXP(-LN(2)/25))/(LN(2)/25)*Calculateur!AQ155*Calculateur!AS155*VLOOKUP('Données projet'!$B$10,Paramètres!$A$1:$I$89,3,0)*0.475*44/12</f>
        <v>18.671689526605125</v>
      </c>
      <c r="AW155" s="21">
        <f>EXP(-LN(2)/2)*AW154+(1-EXP(-LN(2)/2))/(LN(2)/2)*AQ155*AT155*VLOOKUP('Données projet'!$B$10,Paramètres!$A$1:$I$89,3,0)*0.475*44/12</f>
        <v>3.1164430771024371E-4</v>
      </c>
      <c r="AX155" s="21">
        <f t="shared" si="166"/>
        <v>61.343425817735529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>
        <f>BD155*VLOOKUP('Données projet'!$B$11,Paramètres!$A$1:$I$89,3,0)*VLOOKUP('Données projet'!$B$11,Paramètres!$A$1:$I$89,5,0)</f>
        <v>0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144.01698107732989</v>
      </c>
      <c r="BJ155" s="59">
        <f t="shared" si="146"/>
        <v>139.28039875117332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3.1676386092242814</v>
      </c>
      <c r="BQ155" s="21">
        <f>EXP(-LN(2)/25)*BQ154+(1-EXP(-LN(2)/25))/(LN(2)/25)*Calculateur!BL155*Calculateur!BN155*VLOOKUP('Données projet'!$B$11,Paramètres!$A$1:$I$89,3,0)*0.475*44/12</f>
        <v>11.447073822015701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14.614712431239983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-8.5265128291212022E-14</v>
      </c>
      <c r="BZ155" s="13">
        <f>BY155*VLOOKUP('Données projet'!$B$12,Paramètres!$A$1:$I$89,3,0)*VLOOKUP('Données projet'!$B$12,Paramètres!$A$1:$I$89,5,0)</f>
        <v>-6.9167072069831198E-14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72.953866894533007</v>
      </c>
      <c r="CE155" s="59">
        <f t="shared" si="148"/>
        <v>60.640359826163092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0</v>
      </c>
      <c r="CL155" s="21">
        <f>EXP(-LN(2)/25)*CL154+(1-EXP(-LN(2)/25))/(LN(2)/25)*Calculateur!CG155*Calculateur!CI155*VLOOKUP('Données projet'!$B$12,Paramètres!$A$1:$I$89,3,0)*0.475*44/12</f>
        <v>2.9000545782815754</v>
      </c>
      <c r="CM155" s="21">
        <f>EXP(-LN(2)/2)*CM154+(1-EXP(-LN(2)/2))/(LN(2)/2)*CG155*CJ155*VLOOKUP('Données projet'!$B$12,Paramètres!$A$1:$I$89,3,0)*0.475*44/12</f>
        <v>1.1662517871349442E-8</v>
      </c>
      <c r="CN155" s="22">
        <f t="shared" si="172"/>
        <v>2.9000545899440935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4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478.88710855549317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-1.7053025658242404E-13</v>
      </c>
      <c r="O156" s="13">
        <f>N156*VLOOKUP('Données projet'!$B$9,Paramètres!$A$1:$I$89,3,0)*VLOOKUP('Données projet'!$B$9,Paramètres!$A$1:$I$89,5,0)</f>
        <v>-1.0197709343628959E-13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235.90365770026909</v>
      </c>
      <c r="T156" s="59">
        <f t="shared" si="142"/>
        <v>348.09952585694253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15.676019151886937</v>
      </c>
      <c r="AA156" s="21">
        <f>EXP(-LN(2)/25)*AA155+(1-EXP(-LN(2)/25))/(LN(2)/25)*Calculateur!V156*Calculateur!X156*VLOOKUP('Données projet'!$B$9,Paramètres!$A$1:$I$89,3,0)*0.475*44/12</f>
        <v>2.4393349294383162</v>
      </c>
      <c r="AB156" s="21">
        <f>EXP(-LN(2)/2)*AB155+(1-EXP(-LN(2)/2))/(LN(2)/2)*V156*Y156*VLOOKUP('Données projet'!$B$9,Paramètres!$A$1:$I$89,3,0)*0.475*44/12</f>
        <v>3.8097362624617637E-15</v>
      </c>
      <c r="AC156" s="22">
        <f t="shared" si="163"/>
        <v>18.115354081325258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9.3350000000000026</v>
      </c>
      <c r="AI156" s="13">
        <f>IF('Données projet'!$A$62&gt;35,AI155+AH156-AQ155,IF(A156&lt;'Données projet'!$A$62,$AF$205^A156,IF(A156='Données projet'!$A$62,'Données projet'!$B$62,AI155+AH156-AQ155)))</f>
        <v>537.15500000000088</v>
      </c>
      <c r="AJ156" s="13">
        <f>AI156*VLOOKUP('Données projet'!$B$10,Paramètres!$A$1:$I$89,3,0)*VLOOKUP('Données projet'!$B$10,Paramètres!$A$1:$I$89,5,0)</f>
        <v>486.01784400000076</v>
      </c>
      <c r="AK156" s="13">
        <f t="shared" si="164"/>
        <v>109.01291721682281</v>
      </c>
      <c r="AL156" s="20">
        <f t="shared" si="165"/>
        <v>1036.3452424526342</v>
      </c>
      <c r="AM156" s="59">
        <f t="shared" si="113"/>
        <v>1329.6785757859675</v>
      </c>
      <c r="AN156" s="59">
        <f ca="1">AVERAGE(OFFSET($AM$3,0,0,'Données projet'!$E$10+1,1))-AVERAGE(OFFSET($H$3,0,0,'Données projet'!$E$10+1,1))</f>
        <v>490.21869105612649</v>
      </c>
      <c r="AO156" s="59">
        <f t="shared" si="144"/>
        <v>207.08773997010911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41.834664036497585</v>
      </c>
      <c r="AV156" s="21">
        <f>EXP(-LN(2)/25)*AV155+(1-EXP(-LN(2)/25))/(LN(2)/25)*Calculateur!AQ156*Calculateur!AS156*VLOOKUP('Données projet'!$B$10,Paramètres!$A$1:$I$89,3,0)*0.475*44/12</f>
        <v>18.161111194598629</v>
      </c>
      <c r="AW156" s="21">
        <f>EXP(-LN(2)/2)*AW155+(1-EXP(-LN(2)/2))/(LN(2)/2)*AQ156*AT156*VLOOKUP('Données projet'!$B$10,Paramètres!$A$1:$I$89,3,0)*0.475*44/12</f>
        <v>2.2036580330010038E-4</v>
      </c>
      <c r="AX156" s="21">
        <f t="shared" si="166"/>
        <v>59.995995596899519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>
        <f>BD156*VLOOKUP('Données projet'!$B$11,Paramètres!$A$1:$I$89,3,0)*VLOOKUP('Données projet'!$B$11,Paramètres!$A$1:$I$89,5,0)</f>
        <v>0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144.01698107732989</v>
      </c>
      <c r="BJ156" s="59">
        <f t="shared" si="146"/>
        <v>139.28039875117332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3.1055231481661689</v>
      </c>
      <c r="BQ156" s="21">
        <f>EXP(-LN(2)/25)*BQ155+(1-EXP(-LN(2)/25))/(LN(2)/25)*Calculateur!BL156*Calculateur!BN156*VLOOKUP('Données projet'!$B$11,Paramètres!$A$1:$I$89,3,0)*0.475*44/12</f>
        <v>11.134052986377233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14.239576134543402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-8.5265128291212022E-14</v>
      </c>
      <c r="BZ156" s="13">
        <f>BY156*VLOOKUP('Données projet'!$B$12,Paramètres!$A$1:$I$89,3,0)*VLOOKUP('Données projet'!$B$12,Paramètres!$A$1:$I$89,5,0)</f>
        <v>-6.9167072069831198E-14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72.953866894533007</v>
      </c>
      <c r="CE156" s="59">
        <f t="shared" si="148"/>
        <v>60.640359826163092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0</v>
      </c>
      <c r="CL156" s="21">
        <f>EXP(-LN(2)/25)*CL155+(1-EXP(-LN(2)/25))/(LN(2)/25)*Calculateur!CG156*Calculateur!CI156*VLOOKUP('Données projet'!$B$12,Paramètres!$A$1:$I$89,3,0)*0.475*44/12</f>
        <v>2.8207524333312235</v>
      </c>
      <c r="CM156" s="21">
        <f>EXP(-LN(2)/2)*CM155+(1-EXP(-LN(2)/2))/(LN(2)/2)*CG156*CJ156*VLOOKUP('Données projet'!$B$12,Paramètres!$A$1:$I$89,3,0)*0.475*44/12</f>
        <v>8.2466454725404894E-9</v>
      </c>
      <c r="CN156" s="22">
        <f t="shared" si="172"/>
        <v>2.8207524415778691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4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480.06931471852465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-1.7053025658242404E-13</v>
      </c>
      <c r="O157" s="13">
        <f>N157*VLOOKUP('Données projet'!$B$9,Paramètres!$A$1:$I$89,3,0)*VLOOKUP('Données projet'!$B$9,Paramètres!$A$1:$I$89,5,0)</f>
        <v>-1.0197709343628959E-13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235.90365770026909</v>
      </c>
      <c r="T157" s="59">
        <f t="shared" si="142"/>
        <v>348.09952585694253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15.368621977746004</v>
      </c>
      <c r="AA157" s="21">
        <f>EXP(-LN(2)/25)*AA156+(1-EXP(-LN(2)/25))/(LN(2)/25)*Calculateur!V157*Calculateur!X157*VLOOKUP('Données projet'!$B$9,Paramètres!$A$1:$I$89,3,0)*0.475*44/12</f>
        <v>2.3726311875137767</v>
      </c>
      <c r="AB157" s="21">
        <f>EXP(-LN(2)/2)*AB156+(1-EXP(-LN(2)/2))/(LN(2)/2)*V157*Y157*VLOOKUP('Données projet'!$B$9,Paramètres!$A$1:$I$89,3,0)*0.475*44/12</f>
        <v>2.6938903457190057E-15</v>
      </c>
      <c r="AC157" s="22">
        <f t="shared" si="163"/>
        <v>17.741253165259785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>
        <f>VLOOKUP(A157,'Données projet'!$A$61:$I$81,2,0)</f>
        <v>546.49</v>
      </c>
      <c r="AG157" s="12">
        <f>VLOOKUP(A157,'Données projet'!$A$61:$I$81,9,0)</f>
        <v>9.3350000000000026</v>
      </c>
      <c r="AH157" s="12">
        <f t="array" ref="AH157">INDEX(AG:AG,MIN(IF(ISNUMBER(AG157:AG353),ROW(AG157:AG353),"")))</f>
        <v>9.3350000000000026</v>
      </c>
      <c r="AI157" s="13">
        <f>IF('Données projet'!$A$62&gt;35,AI156+AH157-AQ156,IF(A157&lt;'Données projet'!$A$62,$AF$205^A157,IF(A157='Données projet'!$A$62,'Données projet'!$B$62,AI156+AH157-AQ156)))</f>
        <v>546.49000000000092</v>
      </c>
      <c r="AJ157" s="13">
        <f>AI157*VLOOKUP('Données projet'!$B$10,Paramètres!$A$1:$I$89,3,0)*VLOOKUP('Données projet'!$B$10,Paramètres!$A$1:$I$89,5,0)</f>
        <v>494.46415200000081</v>
      </c>
      <c r="AK157" s="13">
        <f t="shared" si="164"/>
        <v>110.68520764370523</v>
      </c>
      <c r="AL157" s="20">
        <f t="shared" si="165"/>
        <v>1053.9684680461214</v>
      </c>
      <c r="AM157" s="59">
        <f t="shared" si="113"/>
        <v>1347.3018013794547</v>
      </c>
      <c r="AN157" s="59">
        <f ca="1">AVERAGE(OFFSET($AM$3,0,0,'Données projet'!$E$10+1,1))-AVERAGE(OFFSET($H$3,0,0,'Données projet'!$E$10+1,1))</f>
        <v>490.21869105612649</v>
      </c>
      <c r="AO157" s="59">
        <f t="shared" si="144"/>
        <v>207.08773997010911</v>
      </c>
      <c r="AP157" s="15">
        <f>IF(ISNA(VLOOKUP(A157,'Données projet'!$A$61:$I$81,3,0)),0,VLOOKUP(A157,'Données projet'!$A$61:$I$81,3,0))</f>
        <v>13</v>
      </c>
      <c r="AQ157" s="15">
        <f>IF(ISNA(VLOOKUP(A157,'Données projet'!$A$61:$I$81,4,0)),0,VLOOKUP(A157,'Données projet'!$A$61:$I$81,4,0))</f>
        <v>61.050000000000011</v>
      </c>
      <c r="AR157" s="16">
        <f>IF(ISNA(VLOOKUP(A157,'Données projet'!$A$61:$I$81,5,0)),0%,VLOOKUP(A157,'Données projet'!$A$61:$I$81,5,0)*VLOOKUP('Données projet'!$B$10,Paramètres!$A$1:$I$89,7,0))</f>
        <v>0.215</v>
      </c>
      <c r="AS157" s="16">
        <f>IF(ISNA(VLOOKUP(A157,'Données projet'!$A$61:$I$81,6,0)),0%,VLOOKUP(A157,'Données projet'!$A$61:$I$81,6,0)*VLOOKUP('Données projet'!$B$10,Paramètres!$A$1:$I$89,7,0))</f>
        <v>8.6000000000000007E-2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54.143075455710473</v>
      </c>
      <c r="AV157" s="21">
        <f>EXP(-LN(2)/25)*AV156+(1-EXP(-LN(2)/25))/(LN(2)/25)*Calculateur!AQ157*Calculateur!AS157*VLOOKUP('Données projet'!$B$10,Paramètres!$A$1:$I$89,3,0)*0.475*44/12</f>
        <v>22.895322941669175</v>
      </c>
      <c r="AW157" s="21">
        <f>EXP(-LN(2)/2)*AW156+(1-EXP(-LN(2)/2))/(LN(2)/2)*AQ157*AT157*VLOOKUP('Données projet'!$B$10,Paramètres!$A$1:$I$89,3,0)*0.475*44/12</f>
        <v>1.5582215385512185E-4</v>
      </c>
      <c r="AX157" s="21">
        <f t="shared" si="166"/>
        <v>77.038554219533509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>
        <f>BD157*VLOOKUP('Données projet'!$B$11,Paramètres!$A$1:$I$89,3,0)*VLOOKUP('Données projet'!$B$11,Paramètres!$A$1:$I$89,5,0)</f>
        <v>0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144.01698107732989</v>
      </c>
      <c r="BJ157" s="59">
        <f t="shared" si="146"/>
        <v>139.28039875117332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3.0446257334127158</v>
      </c>
      <c r="BQ157" s="21">
        <f>EXP(-LN(2)/25)*BQ156+(1-EXP(-LN(2)/25))/(LN(2)/25)*Calculateur!BL157*Calculateur!BN157*VLOOKUP('Données projet'!$B$11,Paramètres!$A$1:$I$89,3,0)*0.475*44/12</f>
        <v>10.829591721950347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13.874217455363063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-8.5265128291212022E-14</v>
      </c>
      <c r="BZ157" s="13">
        <f>BY157*VLOOKUP('Données projet'!$B$12,Paramètres!$A$1:$I$89,3,0)*VLOOKUP('Données projet'!$B$12,Paramètres!$A$1:$I$89,5,0)</f>
        <v>-6.9167072069831198E-14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72.953866894533007</v>
      </c>
      <c r="CE157" s="59">
        <f t="shared" si="148"/>
        <v>60.640359826163092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0</v>
      </c>
      <c r="CL157" s="21">
        <f>EXP(-LN(2)/25)*CL156+(1-EXP(-LN(2)/25))/(LN(2)/25)*Calculateur!CG157*Calculateur!CI157*VLOOKUP('Données projet'!$B$12,Paramètres!$A$1:$I$89,3,0)*0.475*44/12</f>
        <v>2.7436188097048575</v>
      </c>
      <c r="CM157" s="21">
        <f>EXP(-LN(2)/2)*CM156+(1-EXP(-LN(2)/2))/(LN(2)/2)*CG157*CJ157*VLOOKUP('Données projet'!$B$12,Paramètres!$A$1:$I$89,3,0)*0.475*44/12</f>
        <v>5.8312589356747208E-9</v>
      </c>
      <c r="CN157" s="22">
        <f t="shared" si="172"/>
        <v>2.7436188155361165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4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481.25134615267967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-1.7053025658242404E-13</v>
      </c>
      <c r="O158" s="13">
        <f>N158*VLOOKUP('Données projet'!$B$9,Paramètres!$A$1:$I$89,3,0)*VLOOKUP('Données projet'!$B$9,Paramètres!$A$1:$I$89,5,0)</f>
        <v>-1.0197709343628959E-13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235.90365770026909</v>
      </c>
      <c r="T158" s="59">
        <f t="shared" si="142"/>
        <v>348.09952585694253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15.067252674696212</v>
      </c>
      <c r="AA158" s="21">
        <f>EXP(-LN(2)/25)*AA157+(1-EXP(-LN(2)/25))/(LN(2)/25)*Calculateur!V158*Calculateur!X158*VLOOKUP('Données projet'!$B$9,Paramètres!$A$1:$I$89,3,0)*0.475*44/12</f>
        <v>2.3077514629199611</v>
      </c>
      <c r="AB158" s="21">
        <f>EXP(-LN(2)/2)*AB157+(1-EXP(-LN(2)/2))/(LN(2)/2)*V158*Y158*VLOOKUP('Données projet'!$B$9,Paramètres!$A$1:$I$89,3,0)*0.475*44/12</f>
        <v>1.9048681312308818E-15</v>
      </c>
      <c r="AC158" s="22">
        <f t="shared" si="163"/>
        <v>17.375004137616177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9.4880000000000049</v>
      </c>
      <c r="AI158" s="13">
        <f>IF('Données projet'!$A$62&gt;35,AI157+AH158-AQ157,IF(A158&lt;'Données projet'!$A$62,$AF$205^A158,IF(A158='Données projet'!$A$62,'Données projet'!$B$62,AI157+AH158-AQ157)))</f>
        <v>494.92800000000096</v>
      </c>
      <c r="AJ158" s="13">
        <f>AI158*VLOOKUP('Données projet'!$B$10,Paramètres!$A$1:$I$89,3,0)*VLOOKUP('Données projet'!$B$10,Paramètres!$A$1:$I$89,5,0)</f>
        <v>447.81085440000084</v>
      </c>
      <c r="AK158" s="13">
        <f t="shared" si="164"/>
        <v>101.40497625718913</v>
      </c>
      <c r="AL158" s="20">
        <f t="shared" si="165"/>
        <v>956.55090506127237</v>
      </c>
      <c r="AM158" s="59">
        <f t="shared" si="113"/>
        <v>1249.8842383946057</v>
      </c>
      <c r="AN158" s="59">
        <f ca="1">AVERAGE(OFFSET($AM$3,0,0,'Données projet'!$E$10+1,1))-AVERAGE(OFFSET($H$3,0,0,'Données projet'!$E$10+1,1))</f>
        <v>490.21869105612649</v>
      </c>
      <c r="AO158" s="59">
        <f t="shared" si="144"/>
        <v>207.08773997010911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53.081362770039171</v>
      </c>
      <c r="AV158" s="21">
        <f>EXP(-LN(2)/25)*AV157+(1-EXP(-LN(2)/25))/(LN(2)/25)*Calculateur!AQ158*Calculateur!AS158*VLOOKUP('Données projet'!$B$10,Paramètres!$A$1:$I$89,3,0)*0.475*44/12</f>
        <v>22.269249131816526</v>
      </c>
      <c r="AW158" s="21">
        <f>EXP(-LN(2)/2)*AW157+(1-EXP(-LN(2)/2))/(LN(2)/2)*AQ158*AT158*VLOOKUP('Données projet'!$B$10,Paramètres!$A$1:$I$89,3,0)*0.475*44/12</f>
        <v>1.1018290165005019E-4</v>
      </c>
      <c r="AX158" s="21">
        <f t="shared" si="166"/>
        <v>75.350722084757351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>
        <f>BD158*VLOOKUP('Données projet'!$B$11,Paramètres!$A$1:$I$89,3,0)*VLOOKUP('Données projet'!$B$11,Paramètres!$A$1:$I$89,5,0)</f>
        <v>0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144.01698107732989</v>
      </c>
      <c r="BJ158" s="59">
        <f t="shared" si="146"/>
        <v>139.28039875117332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2.9849224798188225</v>
      </c>
      <c r="BQ158" s="21">
        <f>EXP(-LN(2)/25)*BQ157+(1-EXP(-LN(2)/25))/(LN(2)/25)*Calculateur!BL158*Calculateur!BN158*VLOOKUP('Données projet'!$B$11,Paramètres!$A$1:$I$89,3,0)*0.475*44/12</f>
        <v>10.533455966810138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13.51837844662896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-8.5265128291212022E-14</v>
      </c>
      <c r="BZ158" s="13">
        <f>BY158*VLOOKUP('Données projet'!$B$12,Paramètres!$A$1:$I$89,3,0)*VLOOKUP('Données projet'!$B$12,Paramètres!$A$1:$I$89,5,0)</f>
        <v>-6.9167072069831198E-14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72.953866894533007</v>
      </c>
      <c r="CE158" s="59">
        <f t="shared" si="148"/>
        <v>60.640359826163092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0</v>
      </c>
      <c r="CL158" s="21">
        <f>EXP(-LN(2)/25)*CL157+(1-EXP(-LN(2)/25))/(LN(2)/25)*Calculateur!CG158*Calculateur!CI158*VLOOKUP('Données projet'!$B$12,Paramètres!$A$1:$I$89,3,0)*0.475*44/12</f>
        <v>2.6685944090728357</v>
      </c>
      <c r="CM158" s="21">
        <f>EXP(-LN(2)/2)*CM157+(1-EXP(-LN(2)/2))/(LN(2)/2)*CG158*CJ158*VLOOKUP('Données projet'!$B$12,Paramètres!$A$1:$I$89,3,0)*0.475*44/12</f>
        <v>4.1233227362702447E-9</v>
      </c>
      <c r="CN158" s="22">
        <f t="shared" si="172"/>
        <v>2.6685944131961583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4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482.433204116002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-1.7053025658242404E-13</v>
      </c>
      <c r="O159" s="13">
        <f>N159*VLOOKUP('Données projet'!$B$9,Paramètres!$A$1:$I$89,3,0)*VLOOKUP('Données projet'!$B$9,Paramètres!$A$1:$I$89,5,0)</f>
        <v>-1.0197709343628959E-13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235.90365770026909</v>
      </c>
      <c r="T159" s="59">
        <f t="shared" si="142"/>
        <v>348.09952585694253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14.771793039862102</v>
      </c>
      <c r="AA159" s="21">
        <f>EXP(-LN(2)/25)*AA158+(1-EXP(-LN(2)/25))/(LN(2)/25)*Calculateur!V159*Calculateur!X159*VLOOKUP('Données projet'!$B$9,Paramètres!$A$1:$I$89,3,0)*0.475*44/12</f>
        <v>2.2446458778070397</v>
      </c>
      <c r="AB159" s="21">
        <f>EXP(-LN(2)/2)*AB158+(1-EXP(-LN(2)/2))/(LN(2)/2)*V159*Y159*VLOOKUP('Données projet'!$B$9,Paramètres!$A$1:$I$89,3,0)*0.475*44/12</f>
        <v>1.3469451728595029E-15</v>
      </c>
      <c r="AC159" s="22">
        <f t="shared" si="163"/>
        <v>17.016438917669142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9.4880000000000049</v>
      </c>
      <c r="AI159" s="13">
        <f>IF('Données projet'!$A$62&gt;35,AI158+AH159-AQ158,IF(A159&lt;'Données projet'!$A$62,$AF$205^A159,IF(A159='Données projet'!$A$62,'Données projet'!$B$62,AI158+AH159-AQ158)))</f>
        <v>504.41600000000096</v>
      </c>
      <c r="AJ159" s="13">
        <f>AI159*VLOOKUP('Données projet'!$B$10,Paramètres!$A$1:$I$89,3,0)*VLOOKUP('Données projet'!$B$10,Paramètres!$A$1:$I$89,5,0)</f>
        <v>456.39559680000082</v>
      </c>
      <c r="AK159" s="13">
        <f t="shared" si="164"/>
        <v>103.12077454694855</v>
      </c>
      <c r="AL159" s="20">
        <f t="shared" si="165"/>
        <v>974.49101342927031</v>
      </c>
      <c r="AM159" s="59">
        <f t="shared" si="113"/>
        <v>1267.8243467626037</v>
      </c>
      <c r="AN159" s="59">
        <f ca="1">AVERAGE(OFFSET($AM$3,0,0,'Données projet'!$E$10+1,1))-AVERAGE(OFFSET($H$3,0,0,'Données projet'!$E$10+1,1))</f>
        <v>490.21869105612649</v>
      </c>
      <c r="AO159" s="59">
        <f t="shared" si="144"/>
        <v>207.08773997010911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52.040469622553083</v>
      </c>
      <c r="AV159" s="21">
        <f>EXP(-LN(2)/25)*AV158+(1-EXP(-LN(2)/25))/(LN(2)/25)*Calculateur!AQ159*Calculateur!AS159*VLOOKUP('Données projet'!$B$10,Paramètres!$A$1:$I$89,3,0)*0.475*44/12</f>
        <v>21.660295343218088</v>
      </c>
      <c r="AW159" s="21">
        <f>EXP(-LN(2)/2)*AW158+(1-EXP(-LN(2)/2))/(LN(2)/2)*AQ159*AT159*VLOOKUP('Données projet'!$B$10,Paramètres!$A$1:$I$89,3,0)*0.475*44/12</f>
        <v>7.7911076927560926E-5</v>
      </c>
      <c r="AX159" s="21">
        <f t="shared" si="166"/>
        <v>73.7008428768481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>
        <f>BD159*VLOOKUP('Données projet'!$B$11,Paramètres!$A$1:$I$89,3,0)*VLOOKUP('Données projet'!$B$11,Paramètres!$A$1:$I$89,5,0)</f>
        <v>0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144.01698107732989</v>
      </c>
      <c r="BJ159" s="59">
        <f t="shared" si="146"/>
        <v>139.28039875117332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2.9263899706125165</v>
      </c>
      <c r="BQ159" s="21">
        <f>EXP(-LN(2)/25)*BQ158+(1-EXP(-LN(2)/25))/(LN(2)/25)*Calculateur!BL159*Calculateur!BN159*VLOOKUP('Données projet'!$B$11,Paramètres!$A$1:$I$89,3,0)*0.475*44/12</f>
        <v>10.24541805946734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13.171808030079857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-8.5265128291212022E-14</v>
      </c>
      <c r="BZ159" s="13">
        <f>BY159*VLOOKUP('Données projet'!$B$12,Paramètres!$A$1:$I$89,3,0)*VLOOKUP('Données projet'!$B$12,Paramètres!$A$1:$I$89,5,0)</f>
        <v>-6.9167072069831198E-14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72.953866894533007</v>
      </c>
      <c r="CE159" s="59">
        <f t="shared" si="148"/>
        <v>60.640359826163092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0</v>
      </c>
      <c r="CL159" s="21">
        <f>EXP(-LN(2)/25)*CL158+(1-EXP(-LN(2)/25))/(LN(2)/25)*Calculateur!CG159*Calculateur!CI159*VLOOKUP('Données projet'!$B$12,Paramètres!$A$1:$I$89,3,0)*0.475*44/12</f>
        <v>2.595621554621458</v>
      </c>
      <c r="CM159" s="21">
        <f>EXP(-LN(2)/2)*CM158+(1-EXP(-LN(2)/2))/(LN(2)/2)*CG159*CJ159*VLOOKUP('Données projet'!$B$12,Paramètres!$A$1:$I$89,3,0)*0.475*44/12</f>
        <v>2.9156294678373604E-9</v>
      </c>
      <c r="CN159" s="22">
        <f t="shared" si="172"/>
        <v>2.5956215575370876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4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483.61488984947425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-1.7053025658242404E-13</v>
      </c>
      <c r="O160" s="13">
        <f>N160*VLOOKUP('Données projet'!$B$9,Paramètres!$A$1:$I$89,3,0)*VLOOKUP('Données projet'!$B$9,Paramètres!$A$1:$I$89,5,0)</f>
        <v>-1.0197709343628959E-13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235.90365770026909</v>
      </c>
      <c r="T160" s="59">
        <f t="shared" si="142"/>
        <v>348.09952585694253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14.482127188254506</v>
      </c>
      <c r="AA160" s="21">
        <f>EXP(-LN(2)/25)*AA159+(1-EXP(-LN(2)/25))/(LN(2)/25)*Calculateur!V160*Calculateur!X160*VLOOKUP('Données projet'!$B$9,Paramètres!$A$1:$I$89,3,0)*0.475*44/12</f>
        <v>2.1832659182376095</v>
      </c>
      <c r="AB160" s="21">
        <f>EXP(-LN(2)/2)*AB159+(1-EXP(-LN(2)/2))/(LN(2)/2)*V160*Y160*VLOOKUP('Données projet'!$B$9,Paramètres!$A$1:$I$89,3,0)*0.475*44/12</f>
        <v>9.5243406561544091E-16</v>
      </c>
      <c r="AC160" s="22">
        <f t="shared" si="163"/>
        <v>16.665393106492115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9.4880000000000049</v>
      </c>
      <c r="AI160" s="13">
        <f>IF('Données projet'!$A$62&gt;35,AI159+AH160-AQ159,IF(A160&lt;'Données projet'!$A$62,$AF$205^A160,IF(A160='Données projet'!$A$62,'Données projet'!$B$62,AI159+AH160-AQ159)))</f>
        <v>513.90400000000102</v>
      </c>
      <c r="AJ160" s="13">
        <f>AI160*VLOOKUP('Données projet'!$B$10,Paramètres!$A$1:$I$89,3,0)*VLOOKUP('Données projet'!$B$10,Paramètres!$A$1:$I$89,5,0)</f>
        <v>464.98033920000091</v>
      </c>
      <c r="AK160" s="13">
        <f t="shared" si="164"/>
        <v>104.83282002515982</v>
      </c>
      <c r="AL160" s="20">
        <f t="shared" si="165"/>
        <v>992.4245856504881</v>
      </c>
      <c r="AM160" s="59">
        <f t="shared" si="113"/>
        <v>1285.7579189838214</v>
      </c>
      <c r="AN160" s="59">
        <f ca="1">AVERAGE(OFFSET($AM$3,0,0,'Données projet'!$E$10+1,1))-AVERAGE(OFFSET($H$3,0,0,'Données projet'!$E$10+1,1))</f>
        <v>490.21869105612649</v>
      </c>
      <c r="AO160" s="59">
        <f t="shared" si="144"/>
        <v>207.08773997010911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51.019987754807069</v>
      </c>
      <c r="AV160" s="21">
        <f>EXP(-LN(2)/25)*AV159+(1-EXP(-LN(2)/25))/(LN(2)/25)*Calculateur!AQ160*Calculateur!AS160*VLOOKUP('Données projet'!$B$10,Paramètres!$A$1:$I$89,3,0)*0.475*44/12</f>
        <v>21.067993427992363</v>
      </c>
      <c r="AW160" s="21">
        <f>EXP(-LN(2)/2)*AW159+(1-EXP(-LN(2)/2))/(LN(2)/2)*AQ160*AT160*VLOOKUP('Données projet'!$B$10,Paramètres!$A$1:$I$89,3,0)*0.475*44/12</f>
        <v>5.5091450825025096E-5</v>
      </c>
      <c r="AX160" s="21">
        <f t="shared" si="166"/>
        <v>72.088036274250257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>
        <f>BD160*VLOOKUP('Données projet'!$B$11,Paramètres!$A$1:$I$89,3,0)*VLOOKUP('Données projet'!$B$11,Paramètres!$A$1:$I$89,5,0)</f>
        <v>0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144.01698107732989</v>
      </c>
      <c r="BJ160" s="59">
        <f t="shared" si="146"/>
        <v>139.28039875117332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2.8690052482104407</v>
      </c>
      <c r="BQ160" s="21">
        <f>EXP(-LN(2)/25)*BQ159+(1-EXP(-LN(2)/25))/(LN(2)/25)*Calculateur!BL160*Calculateur!BN160*VLOOKUP('Données projet'!$B$11,Paramètres!$A$1:$I$89,3,0)*0.475*44/12</f>
        <v>9.9652565638480866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12.834261812058527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-8.5265128291212022E-14</v>
      </c>
      <c r="BZ160" s="13">
        <f>BY160*VLOOKUP('Données projet'!$B$12,Paramètres!$A$1:$I$89,3,0)*VLOOKUP('Données projet'!$B$12,Paramètres!$A$1:$I$89,5,0)</f>
        <v>-6.9167072069831198E-14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72.953866894533007</v>
      </c>
      <c r="CE160" s="59">
        <f t="shared" si="148"/>
        <v>60.640359826163092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0</v>
      </c>
      <c r="CL160" s="21">
        <f>EXP(-LN(2)/25)*CL159+(1-EXP(-LN(2)/25))/(LN(2)/25)*Calculateur!CG160*Calculateur!CI160*VLOOKUP('Données projet'!$B$12,Paramètres!$A$1:$I$89,3,0)*0.475*44/12</f>
        <v>2.5246441467125291</v>
      </c>
      <c r="CM160" s="21">
        <f>EXP(-LN(2)/2)*CM159+(1-EXP(-LN(2)/2))/(LN(2)/2)*CG160*CJ160*VLOOKUP('Données projet'!$B$12,Paramètres!$A$1:$I$89,3,0)*0.475*44/12</f>
        <v>2.0616613681351223E-9</v>
      </c>
      <c r="CN160" s="22">
        <f t="shared" si="172"/>
        <v>2.5246441487741906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4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484.79640457735582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-1.7053025658242404E-13</v>
      </c>
      <c r="O161" s="13">
        <f>N161*VLOOKUP('Données projet'!$B$9,Paramètres!$A$1:$I$89,3,0)*VLOOKUP('Données projet'!$B$9,Paramètres!$A$1:$I$89,5,0)</f>
        <v>-1.0197709343628959E-13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235.90365770026909</v>
      </c>
      <c r="T161" s="59">
        <f t="shared" si="142"/>
        <v>348.09952585694253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14.19814150731821</v>
      </c>
      <c r="AA161" s="21">
        <f>EXP(-LN(2)/25)*AA160+(1-EXP(-LN(2)/25))/(LN(2)/25)*Calculateur!V161*Calculateur!X161*VLOOKUP('Données projet'!$B$9,Paramètres!$A$1:$I$89,3,0)*0.475*44/12</f>
        <v>2.1235643968904374</v>
      </c>
      <c r="AB161" s="21">
        <f>EXP(-LN(2)/2)*AB160+(1-EXP(-LN(2)/2))/(LN(2)/2)*V161*Y161*VLOOKUP('Données projet'!$B$9,Paramètres!$A$1:$I$89,3,0)*0.475*44/12</f>
        <v>6.7347258642975143E-16</v>
      </c>
      <c r="AC161" s="22">
        <f t="shared" si="163"/>
        <v>16.321705904208649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9.4880000000000049</v>
      </c>
      <c r="AI161" s="13">
        <f>IF('Données projet'!$A$62&gt;35,AI160+AH161-AQ160,IF(A161&lt;'Données projet'!$A$62,$AF$205^A161,IF(A161='Données projet'!$A$62,'Données projet'!$B$62,AI160+AH161-AQ160)))</f>
        <v>523.39200000000108</v>
      </c>
      <c r="AJ161" s="13">
        <f>AI161*VLOOKUP('Données projet'!$B$10,Paramètres!$A$1:$I$89,3,0)*VLOOKUP('Données projet'!$B$10,Paramètres!$A$1:$I$89,5,0)</f>
        <v>473.56508160000089</v>
      </c>
      <c r="AK161" s="13">
        <f t="shared" si="164"/>
        <v>106.54118996921356</v>
      </c>
      <c r="AL161" s="20">
        <f t="shared" si="165"/>
        <v>1010.3517563163817</v>
      </c>
      <c r="AM161" s="59">
        <f t="shared" si="113"/>
        <v>1303.6850896497151</v>
      </c>
      <c r="AN161" s="59">
        <f ca="1">AVERAGE(OFFSET($AM$3,0,0,'Données projet'!$E$10+1,1))-AVERAGE(OFFSET($H$3,0,0,'Données projet'!$E$10+1,1))</f>
        <v>490.21869105612649</v>
      </c>
      <c r="AO161" s="59">
        <f t="shared" si="144"/>
        <v>207.08773997010911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50.019516914055075</v>
      </c>
      <c r="AV161" s="21">
        <f>EXP(-LN(2)/25)*AV160+(1-EXP(-LN(2)/25))/(LN(2)/25)*Calculateur!AQ161*Calculateur!AS161*VLOOKUP('Données projet'!$B$10,Paramètres!$A$1:$I$89,3,0)*0.475*44/12</f>
        <v>20.491888039786289</v>
      </c>
      <c r="AW161" s="21">
        <f>EXP(-LN(2)/2)*AW160+(1-EXP(-LN(2)/2))/(LN(2)/2)*AQ161*AT161*VLOOKUP('Données projet'!$B$10,Paramètres!$A$1:$I$89,3,0)*0.475*44/12</f>
        <v>3.8955538463780463E-5</v>
      </c>
      <c r="AX161" s="21">
        <f t="shared" si="166"/>
        <v>70.511443909379821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>
        <f>BD161*VLOOKUP('Données projet'!$B$11,Paramètres!$A$1:$I$89,3,0)*VLOOKUP('Données projet'!$B$11,Paramètres!$A$1:$I$89,5,0)</f>
        <v>0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144.01698107732989</v>
      </c>
      <c r="BJ161" s="59">
        <f t="shared" si="146"/>
        <v>139.28039875117332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2.8127458052134449</v>
      </c>
      <c r="BQ161" s="21">
        <f>EXP(-LN(2)/25)*BQ160+(1-EXP(-LN(2)/25))/(LN(2)/25)*Calculateur!BL161*Calculateur!BN161*VLOOKUP('Données projet'!$B$11,Paramètres!$A$1:$I$89,3,0)*0.475*44/12</f>
        <v>9.6927560990595936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12.505501904273039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-8.5265128291212022E-14</v>
      </c>
      <c r="BZ161" s="13">
        <f>BY161*VLOOKUP('Données projet'!$B$12,Paramètres!$A$1:$I$89,3,0)*VLOOKUP('Données projet'!$B$12,Paramètres!$A$1:$I$89,5,0)</f>
        <v>-6.9167072069831198E-14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72.953866894533007</v>
      </c>
      <c r="CE161" s="59">
        <f t="shared" si="148"/>
        <v>60.640359826163092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0</v>
      </c>
      <c r="CL161" s="21">
        <f>EXP(-LN(2)/25)*CL160+(1-EXP(-LN(2)/25))/(LN(2)/25)*Calculateur!CG161*Calculateur!CI161*VLOOKUP('Données projet'!$B$12,Paramètres!$A$1:$I$89,3,0)*0.475*44/12</f>
        <v>2.4556076197554093</v>
      </c>
      <c r="CM161" s="21">
        <f>EXP(-LN(2)/2)*CM160+(1-EXP(-LN(2)/2))/(LN(2)/2)*CG161*CJ161*VLOOKUP('Données projet'!$B$12,Paramètres!$A$1:$I$89,3,0)*0.475*44/12</f>
        <v>1.4578147339186802E-9</v>
      </c>
      <c r="CN161" s="22">
        <f t="shared" si="172"/>
        <v>2.4556076212132241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4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485.97774950751329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-1.7053025658242404E-13</v>
      </c>
      <c r="O162" s="13">
        <f>N162*VLOOKUP('Données projet'!$B$9,Paramètres!$A$1:$I$89,3,0)*VLOOKUP('Données projet'!$B$9,Paramètres!$A$1:$I$89,5,0)</f>
        <v>-1.0197709343628959E-13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235.90365770026909</v>
      </c>
      <c r="T162" s="59">
        <f t="shared" si="142"/>
        <v>348.09952585694253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13.919724612370915</v>
      </c>
      <c r="AA162" s="21">
        <f>EXP(-LN(2)/25)*AA161+(1-EXP(-LN(2)/25))/(LN(2)/25)*Calculateur!V162*Calculateur!X162*VLOOKUP('Données projet'!$B$9,Paramètres!$A$1:$I$89,3,0)*0.475*44/12</f>
        <v>2.0654954167840702</v>
      </c>
      <c r="AB162" s="21">
        <f>EXP(-LN(2)/2)*AB161+(1-EXP(-LN(2)/2))/(LN(2)/2)*V162*Y162*VLOOKUP('Données projet'!$B$9,Paramètres!$A$1:$I$89,3,0)*0.475*44/12</f>
        <v>4.7621703280772046E-16</v>
      </c>
      <c r="AC162" s="22">
        <f t="shared" si="163"/>
        <v>15.985220029154986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9.4880000000000049</v>
      </c>
      <c r="AI162" s="13">
        <f>IF('Données projet'!$A$62&gt;35,AI161+AH162-AQ161,IF(A162&lt;'Données projet'!$A$62,$AF$205^A162,IF(A162='Données projet'!$A$62,'Données projet'!$B$62,AI161+AH162-AQ161)))</f>
        <v>532.88000000000113</v>
      </c>
      <c r="AJ162" s="13">
        <f>AI162*VLOOKUP('Données projet'!$B$10,Paramètres!$A$1:$I$89,3,0)*VLOOKUP('Données projet'!$B$10,Paramètres!$A$1:$I$89,5,0)</f>
        <v>482.14982400000099</v>
      </c>
      <c r="AK162" s="13">
        <f t="shared" si="164"/>
        <v>108.24595869432409</v>
      </c>
      <c r="AL162" s="20">
        <f t="shared" si="165"/>
        <v>1028.272654859283</v>
      </c>
      <c r="AM162" s="59">
        <f t="shared" si="113"/>
        <v>1321.6059881926162</v>
      </c>
      <c r="AN162" s="59">
        <f ca="1">AVERAGE(OFFSET($AM$3,0,0,'Données projet'!$E$10+1,1))-AVERAGE(OFFSET($H$3,0,0,'Données projet'!$E$10+1,1))</f>
        <v>490.21869105612649</v>
      </c>
      <c r="AO162" s="59">
        <f t="shared" si="144"/>
        <v>207.08773997010911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49.038664696263268</v>
      </c>
      <c r="AV162" s="21">
        <f>EXP(-LN(2)/25)*AV161+(1-EXP(-LN(2)/25))/(LN(2)/25)*Calculateur!AQ162*Calculateur!AS162*VLOOKUP('Données projet'!$B$10,Paramètres!$A$1:$I$89,3,0)*0.475*44/12</f>
        <v>19.931536283716778</v>
      </c>
      <c r="AW162" s="21">
        <f>EXP(-LN(2)/2)*AW161+(1-EXP(-LN(2)/2))/(LN(2)/2)*AQ162*AT162*VLOOKUP('Données projet'!$B$10,Paramètres!$A$1:$I$89,3,0)*0.475*44/12</f>
        <v>2.7545725412512548E-5</v>
      </c>
      <c r="AX162" s="21">
        <f t="shared" si="166"/>
        <v>68.970228525705465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>
        <f>BD162*VLOOKUP('Données projet'!$B$11,Paramètres!$A$1:$I$89,3,0)*VLOOKUP('Données projet'!$B$11,Paramètres!$A$1:$I$89,5,0)</f>
        <v>0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144.01698107732989</v>
      </c>
      <c r="BJ162" s="59">
        <f t="shared" si="146"/>
        <v>139.28039875117332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2.7575895755787485</v>
      </c>
      <c r="BQ162" s="21">
        <f>EXP(-LN(2)/25)*BQ161+(1-EXP(-LN(2)/25))/(LN(2)/25)*Calculateur!BL162*Calculateur!BN162*VLOOKUP('Données projet'!$B$11,Paramètres!$A$1:$I$89,3,0)*0.475*44/12</f>
        <v>9.4277071738109193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12.185296749389668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-8.5265128291212022E-14</v>
      </c>
      <c r="BZ162" s="13">
        <f>BY162*VLOOKUP('Données projet'!$B$12,Paramètres!$A$1:$I$89,3,0)*VLOOKUP('Données projet'!$B$12,Paramètres!$A$1:$I$89,5,0)</f>
        <v>-6.9167072069831198E-14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72.953866894533007</v>
      </c>
      <c r="CE162" s="59">
        <f t="shared" si="148"/>
        <v>60.640359826163092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0</v>
      </c>
      <c r="CL162" s="21">
        <f>EXP(-LN(2)/25)*CL161+(1-EXP(-LN(2)/25))/(LN(2)/25)*Calculateur!CG162*Calculateur!CI162*VLOOKUP('Données projet'!$B$12,Paramètres!$A$1:$I$89,3,0)*0.475*44/12</f>
        <v>2.3884589002584051</v>
      </c>
      <c r="CM162" s="21">
        <f>EXP(-LN(2)/2)*CM161+(1-EXP(-LN(2)/2))/(LN(2)/2)*CG162*CJ162*VLOOKUP('Données projet'!$B$12,Paramètres!$A$1:$I$89,3,0)*0.475*44/12</f>
        <v>1.0308306840675612E-9</v>
      </c>
      <c r="CN162" s="22">
        <f t="shared" si="172"/>
        <v>2.3884589012892357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4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487.15892583174093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-1.7053025658242404E-13</v>
      </c>
      <c r="O163" s="13">
        <f>N163*VLOOKUP('Données projet'!$B$9,Paramètres!$A$1:$I$89,3,0)*VLOOKUP('Données projet'!$B$9,Paramètres!$A$1:$I$89,5,0)</f>
        <v>-1.0197709343628959E-13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235.90365770026909</v>
      </c>
      <c r="T163" s="59">
        <f t="shared" si="142"/>
        <v>348.09952585694253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13.646767302915999</v>
      </c>
      <c r="AA163" s="21">
        <f>EXP(-LN(2)/25)*AA162+(1-EXP(-LN(2)/25))/(LN(2)/25)*Calculateur!V163*Calculateur!X163*VLOOKUP('Données projet'!$B$9,Paramètres!$A$1:$I$89,3,0)*0.475*44/12</f>
        <v>2.0090143359924264</v>
      </c>
      <c r="AB163" s="21">
        <f>EXP(-LN(2)/2)*AB162+(1-EXP(-LN(2)/2))/(LN(2)/2)*V163*Y163*VLOOKUP('Données projet'!$B$9,Paramètres!$A$1:$I$89,3,0)*0.475*44/12</f>
        <v>3.3673629321487571E-16</v>
      </c>
      <c r="AC163" s="22">
        <f t="shared" si="163"/>
        <v>15.655781638908426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9.4880000000000049</v>
      </c>
      <c r="AI163" s="13">
        <f>IF('Données projet'!$A$62&gt;35,AI162+AH163-AQ162,IF(A163&lt;'Données projet'!$A$62,$AF$205^A163,IF(A163='Données projet'!$A$62,'Données projet'!$B$62,AI162+AH163-AQ162)))</f>
        <v>542.36800000000119</v>
      </c>
      <c r="AJ163" s="13">
        <f>AI163*VLOOKUP('Données projet'!$B$10,Paramètres!$A$1:$I$89,3,0)*VLOOKUP('Données projet'!$B$10,Paramètres!$A$1:$I$89,5,0)</f>
        <v>490.73456640000109</v>
      </c>
      <c r="AK163" s="13">
        <f t="shared" si="164"/>
        <v>109.94719771775897</v>
      </c>
      <c r="AL163" s="20">
        <f t="shared" si="165"/>
        <v>1046.1874058384321</v>
      </c>
      <c r="AM163" s="59">
        <f t="shared" si="113"/>
        <v>1339.5207391717654</v>
      </c>
      <c r="AN163" s="59">
        <f ca="1">AVERAGE(OFFSET($AM$3,0,0,'Données projet'!$E$10+1,1))-AVERAGE(OFFSET($H$3,0,0,'Données projet'!$E$10+1,1))</f>
        <v>490.21869105612649</v>
      </c>
      <c r="AO163" s="59">
        <f t="shared" si="144"/>
        <v>207.08773997010911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48.077046392201581</v>
      </c>
      <c r="AV163" s="21">
        <f>EXP(-LN(2)/25)*AV162+(1-EXP(-LN(2)/25))/(LN(2)/25)*Calculateur!AQ163*Calculateur!AS163*VLOOKUP('Données projet'!$B$10,Paramètres!$A$1:$I$89,3,0)*0.475*44/12</f>
        <v>19.386507375884602</v>
      </c>
      <c r="AW163" s="21">
        <f>EXP(-LN(2)/2)*AW162+(1-EXP(-LN(2)/2))/(LN(2)/2)*AQ163*AT163*VLOOKUP('Données projet'!$B$10,Paramètres!$A$1:$I$89,3,0)*0.475*44/12</f>
        <v>1.9477769231890232E-5</v>
      </c>
      <c r="AX163" s="21">
        <f t="shared" si="166"/>
        <v>67.463573245855414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>
        <f>BD163*VLOOKUP('Données projet'!$B$11,Paramètres!$A$1:$I$89,3,0)*VLOOKUP('Données projet'!$B$11,Paramètres!$A$1:$I$89,5,0)</f>
        <v>0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144.01698107732989</v>
      </c>
      <c r="BJ163" s="59">
        <f t="shared" si="146"/>
        <v>139.28039875117332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2.70351492596521</v>
      </c>
      <c r="BQ163" s="21">
        <f>EXP(-LN(2)/25)*BQ162+(1-EXP(-LN(2)/25))/(LN(2)/25)*Calculateur!BL163*Calculateur!BN163*VLOOKUP('Données projet'!$B$11,Paramètres!$A$1:$I$89,3,0)*0.475*44/12</f>
        <v>9.1699060253614864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11.873420951326697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-8.5265128291212022E-14</v>
      </c>
      <c r="BZ163" s="13">
        <f>BY163*VLOOKUP('Données projet'!$B$12,Paramètres!$A$1:$I$89,3,0)*VLOOKUP('Données projet'!$B$12,Paramètres!$A$1:$I$89,5,0)</f>
        <v>-6.9167072069831198E-14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72.953866894533007</v>
      </c>
      <c r="CE163" s="59">
        <f t="shared" si="148"/>
        <v>60.640359826163092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0</v>
      </c>
      <c r="CL163" s="21">
        <f>EXP(-LN(2)/25)*CL162+(1-EXP(-LN(2)/25))/(LN(2)/25)*Calculateur!CG163*Calculateur!CI163*VLOOKUP('Données projet'!$B$12,Paramètres!$A$1:$I$89,3,0)*0.475*44/12</f>
        <v>2.3231463660272444</v>
      </c>
      <c r="CM163" s="21">
        <f>EXP(-LN(2)/2)*CM162+(1-EXP(-LN(2)/2))/(LN(2)/2)*CG163*CJ163*VLOOKUP('Données projet'!$B$12,Paramètres!$A$1:$I$89,3,0)*0.475*44/12</f>
        <v>7.289073669593401E-10</v>
      </c>
      <c r="CN163" s="22">
        <f t="shared" si="172"/>
        <v>2.3231463667561516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4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488.33993472607426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-1.7053025658242404E-13</v>
      </c>
      <c r="O164" s="13">
        <f>N164*VLOOKUP('Données projet'!$B$9,Paramètres!$A$1:$I$89,3,0)*VLOOKUP('Données projet'!$B$9,Paramètres!$A$1:$I$89,5,0)</f>
        <v>-1.0197709343628959E-13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235.90365770026909</v>
      </c>
      <c r="T164" s="59">
        <f t="shared" si="142"/>
        <v>348.09952585694253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13.379162519811972</v>
      </c>
      <c r="AA164" s="21">
        <f>EXP(-LN(2)/25)*AA163+(1-EXP(-LN(2)/25))/(LN(2)/25)*Calculateur!V164*Calculateur!X164*VLOOKUP('Données projet'!$B$9,Paramètres!$A$1:$I$89,3,0)*0.475*44/12</f>
        <v>1.9540777333252413</v>
      </c>
      <c r="AB164" s="21">
        <f>EXP(-LN(2)/2)*AB163+(1-EXP(-LN(2)/2))/(LN(2)/2)*V164*Y164*VLOOKUP('Données projet'!$B$9,Paramètres!$A$1:$I$89,3,0)*0.475*44/12</f>
        <v>2.3810851640386023E-16</v>
      </c>
      <c r="AC164" s="22">
        <f t="shared" si="163"/>
        <v>15.333240253137213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9.4880000000000049</v>
      </c>
      <c r="AI164" s="13">
        <f>IF('Données projet'!$A$62&gt;35,AI163+AH164-AQ163,IF(A164&lt;'Données projet'!$A$62,$AF$205^A164,IF(A164='Données projet'!$A$62,'Données projet'!$B$62,AI163+AH164-AQ163)))</f>
        <v>551.85600000000125</v>
      </c>
      <c r="AJ164" s="13">
        <f>AI164*VLOOKUP('Données projet'!$B$10,Paramètres!$A$1:$I$89,3,0)*VLOOKUP('Données projet'!$B$10,Paramètres!$A$1:$I$89,5,0)</f>
        <v>499.31930880000107</v>
      </c>
      <c r="AK164" s="13">
        <f t="shared" si="164"/>
        <v>111.64497591125094</v>
      </c>
      <c r="AL164" s="20">
        <f t="shared" si="165"/>
        <v>1064.0961292054305</v>
      </c>
      <c r="AM164" s="59">
        <f t="shared" si="113"/>
        <v>1357.4294625387638</v>
      </c>
      <c r="AN164" s="59">
        <f ca="1">AVERAGE(OFFSET($AM$3,0,0,'Données projet'!$E$10+1,1))-AVERAGE(OFFSET($H$3,0,0,'Données projet'!$E$10+1,1))</f>
        <v>490.21869105612649</v>
      </c>
      <c r="AO164" s="59">
        <f t="shared" si="144"/>
        <v>207.08773997010911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47.134284836553292</v>
      </c>
      <c r="AV164" s="21">
        <f>EXP(-LN(2)/25)*AV163+(1-EXP(-LN(2)/25))/(LN(2)/25)*Calculateur!AQ164*Calculateur!AS164*VLOOKUP('Données projet'!$B$10,Paramètres!$A$1:$I$89,3,0)*0.475*44/12</f>
        <v>18.856382312198924</v>
      </c>
      <c r="AW164" s="21">
        <f>EXP(-LN(2)/2)*AW163+(1-EXP(-LN(2)/2))/(LN(2)/2)*AQ164*AT164*VLOOKUP('Données projet'!$B$10,Paramètres!$A$1:$I$89,3,0)*0.475*44/12</f>
        <v>1.3772862706256274E-5</v>
      </c>
      <c r="AX164" s="21">
        <f t="shared" si="166"/>
        <v>65.99068092161491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>
        <f>BD164*VLOOKUP('Données projet'!$B$11,Paramètres!$A$1:$I$89,3,0)*VLOOKUP('Données projet'!$B$11,Paramètres!$A$1:$I$89,5,0)</f>
        <v>0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144.01698107732989</v>
      </c>
      <c r="BJ164" s="59">
        <f t="shared" si="146"/>
        <v>139.28039875117332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2.6505006472483137</v>
      </c>
      <c r="BQ164" s="21">
        <f>EXP(-LN(2)/25)*BQ163+(1-EXP(-LN(2)/25))/(LN(2)/25)*Calculateur!BL164*Calculateur!BN164*VLOOKUP('Données projet'!$B$11,Paramètres!$A$1:$I$89,3,0)*0.475*44/12</f>
        <v>8.9191544628735766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11.569655110121889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-8.5265128291212022E-14</v>
      </c>
      <c r="BZ164" s="13">
        <f>BY164*VLOOKUP('Données projet'!$B$12,Paramètres!$A$1:$I$89,3,0)*VLOOKUP('Données projet'!$B$12,Paramètres!$A$1:$I$89,5,0)</f>
        <v>-6.9167072069831198E-14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72.953866894533007</v>
      </c>
      <c r="CE164" s="59">
        <f t="shared" si="148"/>
        <v>60.640359826163092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0</v>
      </c>
      <c r="CL164" s="21">
        <f>EXP(-LN(2)/25)*CL163+(1-EXP(-LN(2)/25))/(LN(2)/25)*Calculateur!CG164*Calculateur!CI164*VLOOKUP('Données projet'!$B$12,Paramètres!$A$1:$I$89,3,0)*0.475*44/12</f>
        <v>2.2596198064792716</v>
      </c>
      <c r="CM164" s="21">
        <f>EXP(-LN(2)/2)*CM163+(1-EXP(-LN(2)/2))/(LN(2)/2)*CG164*CJ164*VLOOKUP('Données projet'!$B$12,Paramètres!$A$1:$I$89,3,0)*0.475*44/12</f>
        <v>5.1541534203378058E-10</v>
      </c>
      <c r="CN164" s="22">
        <f t="shared" si="172"/>
        <v>2.2596198069946869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4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489.52077735109452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-1.7053025658242404E-13</v>
      </c>
      <c r="O165" s="13">
        <f>N165*VLOOKUP('Données projet'!$B$9,Paramètres!$A$1:$I$89,3,0)*VLOOKUP('Données projet'!$B$9,Paramètres!$A$1:$I$89,5,0)</f>
        <v>-1.0197709343628959E-13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235.90365770026909</v>
      </c>
      <c r="T165" s="59">
        <f t="shared" si="142"/>
        <v>348.09952585694253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13.116805303281815</v>
      </c>
      <c r="AA165" s="21">
        <f>EXP(-LN(2)/25)*AA164+(1-EXP(-LN(2)/25))/(LN(2)/25)*Calculateur!V165*Calculateur!X165*VLOOKUP('Données projet'!$B$9,Paramètres!$A$1:$I$89,3,0)*0.475*44/12</f>
        <v>1.9006433749469807</v>
      </c>
      <c r="AB165" s="21">
        <f>EXP(-LN(2)/2)*AB164+(1-EXP(-LN(2)/2))/(LN(2)/2)*V165*Y165*VLOOKUP('Données projet'!$B$9,Paramètres!$A$1:$I$89,3,0)*0.475*44/12</f>
        <v>1.6836814660743786E-16</v>
      </c>
      <c r="AC165" s="22">
        <f t="shared" si="163"/>
        <v>15.017448678228796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9.4880000000000049</v>
      </c>
      <c r="AI165" s="13">
        <f>IF('Données projet'!$A$62&gt;35,AI164+AH165-AQ164,IF(A165&lt;'Données projet'!$A$62,$AF$205^A165,IF(A165='Données projet'!$A$62,'Données projet'!$B$62,AI164+AH165-AQ164)))</f>
        <v>561.3440000000013</v>
      </c>
      <c r="AJ165" s="13">
        <f>AI165*VLOOKUP('Données projet'!$B$10,Paramètres!$A$1:$I$89,3,0)*VLOOKUP('Données projet'!$B$10,Paramètres!$A$1:$I$89,5,0)</f>
        <v>507.90405120000116</v>
      </c>
      <c r="AK165" s="13">
        <f t="shared" si="164"/>
        <v>113.33935964263163</v>
      </c>
      <c r="AL165" s="20">
        <f t="shared" si="165"/>
        <v>1081.9989405509189</v>
      </c>
      <c r="AM165" s="59">
        <f t="shared" si="113"/>
        <v>1375.3322738842521</v>
      </c>
      <c r="AN165" s="59">
        <f ca="1">AVERAGE(OFFSET($AM$3,0,0,'Données projet'!$E$10+1,1))-AVERAGE(OFFSET($H$3,0,0,'Données projet'!$E$10+1,1))</f>
        <v>490.21869105612649</v>
      </c>
      <c r="AO165" s="59">
        <f t="shared" si="144"/>
        <v>207.08773997010911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46.210010259983498</v>
      </c>
      <c r="AV165" s="21">
        <f>EXP(-LN(2)/25)*AV164+(1-EXP(-LN(2)/25))/(LN(2)/25)*Calculateur!AQ165*Calculateur!AS165*VLOOKUP('Données projet'!$B$10,Paramètres!$A$1:$I$89,3,0)*0.475*44/12</f>
        <v>18.340753546257798</v>
      </c>
      <c r="AW165" s="21">
        <f>EXP(-LN(2)/2)*AW164+(1-EXP(-LN(2)/2))/(LN(2)/2)*AQ165*AT165*VLOOKUP('Données projet'!$B$10,Paramètres!$A$1:$I$89,3,0)*0.475*44/12</f>
        <v>9.7388846159451158E-6</v>
      </c>
      <c r="AX165" s="21">
        <f t="shared" si="166"/>
        <v>64.550773545125907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>
        <f>BD165*VLOOKUP('Données projet'!$B$11,Paramètres!$A$1:$I$89,3,0)*VLOOKUP('Données projet'!$B$11,Paramètres!$A$1:$I$89,5,0)</f>
        <v>0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144.01698107732989</v>
      </c>
      <c r="BJ165" s="59">
        <f t="shared" si="146"/>
        <v>139.28039875117332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2.5985259462015384</v>
      </c>
      <c r="BQ165" s="21">
        <f>EXP(-LN(2)/25)*BQ164+(1-EXP(-LN(2)/25))/(LN(2)/25)*Calculateur!BL165*Calculateur!BN165*VLOOKUP('Données projet'!$B$11,Paramètres!$A$1:$I$89,3,0)*0.475*44/12</f>
        <v>8.6752597150483499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11.273785661249889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-8.5265128291212022E-14</v>
      </c>
      <c r="BZ165" s="13">
        <f>BY165*VLOOKUP('Données projet'!$B$12,Paramètres!$A$1:$I$89,3,0)*VLOOKUP('Données projet'!$B$12,Paramètres!$A$1:$I$89,5,0)</f>
        <v>-6.9167072069831198E-14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72.953866894533007</v>
      </c>
      <c r="CE165" s="59">
        <f t="shared" si="148"/>
        <v>60.640359826163092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0</v>
      </c>
      <c r="CL165" s="21">
        <f>EXP(-LN(2)/25)*CL164+(1-EXP(-LN(2)/25))/(LN(2)/25)*Calculateur!CG165*Calculateur!CI165*VLOOKUP('Données projet'!$B$12,Paramètres!$A$1:$I$89,3,0)*0.475*44/12</f>
        <v>2.1978303840428546</v>
      </c>
      <c r="CM165" s="21">
        <f>EXP(-LN(2)/2)*CM164+(1-EXP(-LN(2)/2))/(LN(2)/2)*CG165*CJ165*VLOOKUP('Données projet'!$B$12,Paramètres!$A$1:$I$89,3,0)*0.475*44/12</f>
        <v>3.6445368347967005E-10</v>
      </c>
      <c r="CN165" s="22">
        <f t="shared" si="172"/>
        <v>2.1978303844073084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4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490.70145485222611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-1.7053025658242404E-13</v>
      </c>
      <c r="O166" s="13">
        <f>N166*VLOOKUP('Données projet'!$B$9,Paramètres!$A$1:$I$89,3,0)*VLOOKUP('Données projet'!$B$9,Paramètres!$A$1:$I$89,5,0)</f>
        <v>-1.0197709343628959E-13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235.90365770026909</v>
      </c>
      <c r="T166" s="59">
        <f t="shared" si="142"/>
        <v>348.09952585694253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12.859592751745714</v>
      </c>
      <c r="AA166" s="21">
        <f>EXP(-LN(2)/25)*AA165+(1-EXP(-LN(2)/25))/(LN(2)/25)*Calculateur!V166*Calculateur!X166*VLOOKUP('Données projet'!$B$9,Paramètres!$A$1:$I$89,3,0)*0.475*44/12</f>
        <v>1.8486701819085645</v>
      </c>
      <c r="AB166" s="21">
        <f>EXP(-LN(2)/2)*AB165+(1-EXP(-LN(2)/2))/(LN(2)/2)*V166*Y166*VLOOKUP('Données projet'!$B$9,Paramètres!$A$1:$I$89,3,0)*0.475*44/12</f>
        <v>1.1905425820193011E-16</v>
      </c>
      <c r="AC166" s="22">
        <f t="shared" si="163"/>
        <v>14.708262933654279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9.4880000000000049</v>
      </c>
      <c r="AI166" s="13">
        <f>IF('Données projet'!$A$62&gt;35,AI165+AH166-AQ165,IF(A166&lt;'Données projet'!$A$62,$AF$205^A166,IF(A166='Données projet'!$A$62,'Données projet'!$B$62,AI165+AH166-AQ165)))</f>
        <v>570.83200000000136</v>
      </c>
      <c r="AJ166" s="13">
        <f>AI166*VLOOKUP('Données projet'!$B$10,Paramètres!$A$1:$I$89,3,0)*VLOOKUP('Données projet'!$B$10,Paramètres!$A$1:$I$89,5,0)</f>
        <v>516.48879360000115</v>
      </c>
      <c r="AK166" s="13">
        <f t="shared" si="164"/>
        <v>115.03041290761819</v>
      </c>
      <c r="AL166" s="20">
        <f t="shared" si="165"/>
        <v>1099.8959513341035</v>
      </c>
      <c r="AM166" s="59">
        <f t="shared" si="113"/>
        <v>1393.2292846674368</v>
      </c>
      <c r="AN166" s="59">
        <f ca="1">AVERAGE(OFFSET($AM$3,0,0,'Données projet'!$E$10+1,1))-AVERAGE(OFFSET($H$3,0,0,'Données projet'!$E$10+1,1))</f>
        <v>490.21869105612649</v>
      </c>
      <c r="AO166" s="59">
        <f t="shared" si="144"/>
        <v>207.08773997010911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45.303860144108413</v>
      </c>
      <c r="AV166" s="21">
        <f>EXP(-LN(2)/25)*AV165+(1-EXP(-LN(2)/25))/(LN(2)/25)*Calculateur!AQ166*Calculateur!AS166*VLOOKUP('Données projet'!$B$10,Paramètres!$A$1:$I$89,3,0)*0.475*44/12</f>
        <v>17.839224676037066</v>
      </c>
      <c r="AW166" s="21">
        <f>EXP(-LN(2)/2)*AW165+(1-EXP(-LN(2)/2))/(LN(2)/2)*AQ166*AT166*VLOOKUP('Données projet'!$B$10,Paramètres!$A$1:$I$89,3,0)*0.475*44/12</f>
        <v>6.886431353128137E-6</v>
      </c>
      <c r="AX166" s="21">
        <f t="shared" si="166"/>
        <v>63.143091706576826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>
        <f>BD166*VLOOKUP('Données projet'!$B$11,Paramètres!$A$1:$I$89,3,0)*VLOOKUP('Données projet'!$B$11,Paramètres!$A$1:$I$89,5,0)</f>
        <v>0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144.01698107732989</v>
      </c>
      <c r="BJ166" s="59">
        <f t="shared" si="146"/>
        <v>139.28039875117332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2.5475704373408532</v>
      </c>
      <c r="BQ166" s="21">
        <f>EXP(-LN(2)/25)*BQ165+(1-EXP(-LN(2)/25))/(LN(2)/25)*Calculateur!BL166*Calculateur!BN166*VLOOKUP('Données projet'!$B$11,Paramètres!$A$1:$I$89,3,0)*0.475*44/12</f>
        <v>8.4380342819282728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10.985604719269126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-8.5265128291212022E-14</v>
      </c>
      <c r="BZ166" s="13">
        <f>BY166*VLOOKUP('Données projet'!$B$12,Paramètres!$A$1:$I$89,3,0)*VLOOKUP('Données projet'!$B$12,Paramètres!$A$1:$I$89,5,0)</f>
        <v>-6.9167072069831198E-14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72.953866894533007</v>
      </c>
      <c r="CE166" s="59">
        <f t="shared" si="148"/>
        <v>60.640359826163092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0</v>
      </c>
      <c r="CL166" s="21">
        <f>EXP(-LN(2)/25)*CL165+(1-EXP(-LN(2)/25))/(LN(2)/25)*Calculateur!CG166*Calculateur!CI166*VLOOKUP('Données projet'!$B$12,Paramètres!$A$1:$I$89,3,0)*0.475*44/12</f>
        <v>2.1377305966123261</v>
      </c>
      <c r="CM166" s="21">
        <f>EXP(-LN(2)/2)*CM165+(1-EXP(-LN(2)/2))/(LN(2)/2)*CG166*CJ166*VLOOKUP('Données projet'!$B$12,Paramètres!$A$1:$I$89,3,0)*0.475*44/12</f>
        <v>2.5770767101689029E-10</v>
      </c>
      <c r="CN166" s="22">
        <f t="shared" si="172"/>
        <v>2.1377305968700338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4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491.88196836002629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-1.7053025658242404E-13</v>
      </c>
      <c r="O167" s="13">
        <f>N167*VLOOKUP('Données projet'!$B$9,Paramètres!$A$1:$I$89,3,0)*VLOOKUP('Données projet'!$B$9,Paramètres!$A$1:$I$89,5,0)</f>
        <v>-1.0197709343628959E-13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235.90365770026909</v>
      </c>
      <c r="T167" s="59">
        <f t="shared" si="142"/>
        <v>348.09952585694253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12.60742398146107</v>
      </c>
      <c r="AA167" s="21">
        <f>EXP(-LN(2)/25)*AA166+(1-EXP(-LN(2)/25))/(LN(2)/25)*Calculateur!V167*Calculateur!X167*VLOOKUP('Données projet'!$B$9,Paramètres!$A$1:$I$89,3,0)*0.475*44/12</f>
        <v>1.798118198566935</v>
      </c>
      <c r="AB167" s="21">
        <f>EXP(-LN(2)/2)*AB166+(1-EXP(-LN(2)/2))/(LN(2)/2)*V167*Y167*VLOOKUP('Données projet'!$B$9,Paramètres!$A$1:$I$89,3,0)*0.475*44/12</f>
        <v>8.4184073303718928E-17</v>
      </c>
      <c r="AC167" s="22">
        <f t="shared" si="163"/>
        <v>14.405542180028004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>
        <f>VLOOKUP(A167,'Données projet'!$A$61:$I$81,2,0)</f>
        <v>580.32000000000005</v>
      </c>
      <c r="AG167" s="12">
        <f>VLOOKUP(A167,'Données projet'!$A$61:$I$81,9,0)</f>
        <v>9.4880000000000049</v>
      </c>
      <c r="AH167" s="12">
        <f t="array" ref="AH167">INDEX(AG:AG,MIN(IF(ISNUMBER(AG167:AG363),ROW(AG167:AG363),"")))</f>
        <v>9.4880000000000049</v>
      </c>
      <c r="AI167" s="13">
        <f>IF('Données projet'!$A$62&gt;35,AI166+AH167-AQ166,IF(A167&lt;'Données projet'!$A$62,$AF$205^A167,IF(A167='Données projet'!$A$62,'Données projet'!$B$62,AI166+AH167-AQ166)))</f>
        <v>580.32000000000141</v>
      </c>
      <c r="AJ167" s="13">
        <f>AI167*VLOOKUP('Données projet'!$B$10,Paramètres!$A$1:$I$89,3,0)*VLOOKUP('Données projet'!$B$10,Paramètres!$A$1:$I$89,5,0)</f>
        <v>525.07353600000124</v>
      </c>
      <c r="AK167" s="13">
        <f t="shared" si="164"/>
        <v>116.71819745258949</v>
      </c>
      <c r="AL167" s="20">
        <f t="shared" si="165"/>
        <v>1117.7872690965953</v>
      </c>
      <c r="AM167" s="59">
        <f t="shared" si="113"/>
        <v>1411.1206024299286</v>
      </c>
      <c r="AN167" s="59">
        <f ca="1">AVERAGE(OFFSET($AM$3,0,0,'Données projet'!$E$10+1,1))-AVERAGE(OFFSET($H$3,0,0,'Données projet'!$E$10+1,1))</f>
        <v>490.21869105612649</v>
      </c>
      <c r="AO167" s="59">
        <f t="shared" si="144"/>
        <v>207.08773997010911</v>
      </c>
      <c r="AP167" s="15">
        <f>IF(ISNA(VLOOKUP(A167,'Données projet'!$A$61:$I$81,3,0)),0,VLOOKUP(A167,'Données projet'!$A$61:$I$81,3,0))</f>
        <v>14</v>
      </c>
      <c r="AQ167" s="15">
        <f>IF(ISNA(VLOOKUP(A167,'Données projet'!$A$61:$I$81,4,0)),0,VLOOKUP(A167,'Données projet'!$A$61:$I$81,4,0))</f>
        <v>66.020000000000095</v>
      </c>
      <c r="AR167" s="16">
        <f>IF(ISNA(VLOOKUP(A167,'Données projet'!$A$61:$I$81,5,0)),0%,VLOOKUP(A167,'Données projet'!$A$61:$I$81,5,0)*VLOOKUP('Données projet'!$B$10,Paramètres!$A$1:$I$89,7,0))</f>
        <v>0.215</v>
      </c>
      <c r="AS167" s="16">
        <f>IF(ISNA(VLOOKUP(A167,'Données projet'!$A$61:$I$81,6,0)),0%,VLOOKUP(A167,'Données projet'!$A$61:$I$81,6,0)*VLOOKUP('Données projet'!$B$10,Paramètres!$A$1:$I$89,7,0))</f>
        <v>8.6000000000000007E-2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58.613038082092139</v>
      </c>
      <c r="AV167" s="21">
        <f>EXP(-LN(2)/25)*AV166+(1-EXP(-LN(2)/25))/(LN(2)/25)*Calculateur!AQ167*Calculateur!AS167*VLOOKUP('Données projet'!$B$10,Paramètres!$A$1:$I$89,3,0)*0.475*44/12</f>
        <v>23.008073260464958</v>
      </c>
      <c r="AW167" s="21">
        <f>EXP(-LN(2)/2)*AW166+(1-EXP(-LN(2)/2))/(LN(2)/2)*AQ167*AT167*VLOOKUP('Données projet'!$B$10,Paramètres!$A$1:$I$89,3,0)*0.475*44/12</f>
        <v>4.8694423079725579E-6</v>
      </c>
      <c r="AX167" s="21">
        <f t="shared" si="166"/>
        <v>81.621116211999407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>
        <f>BD167*VLOOKUP('Données projet'!$B$11,Paramètres!$A$1:$I$89,3,0)*VLOOKUP('Données projet'!$B$11,Paramètres!$A$1:$I$89,5,0)</f>
        <v>0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144.01698107732989</v>
      </c>
      <c r="BJ167" s="59">
        <f t="shared" si="146"/>
        <v>139.28039875117332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2.4976141349291345</v>
      </c>
      <c r="BQ167" s="21">
        <f>EXP(-LN(2)/25)*BQ166+(1-EXP(-LN(2)/25))/(LN(2)/25)*Calculateur!BL167*Calculateur!BN167*VLOOKUP('Données projet'!$B$11,Paramètres!$A$1:$I$89,3,0)*0.475*44/12</f>
        <v>8.2072957907520063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10.704909925681141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-8.5265128291212022E-14</v>
      </c>
      <c r="BZ167" s="13">
        <f>BY167*VLOOKUP('Données projet'!$B$12,Paramètres!$A$1:$I$89,3,0)*VLOOKUP('Données projet'!$B$12,Paramètres!$A$1:$I$89,5,0)</f>
        <v>-6.9167072069831198E-14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72.953866894533007</v>
      </c>
      <c r="CE167" s="59">
        <f t="shared" si="148"/>
        <v>60.640359826163092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0</v>
      </c>
      <c r="CL167" s="21">
        <f>EXP(-LN(2)/25)*CL166+(1-EXP(-LN(2)/25))/(LN(2)/25)*Calculateur!CG167*Calculateur!CI167*VLOOKUP('Données projet'!$B$12,Paramètres!$A$1:$I$89,3,0)*0.475*44/12</f>
        <v>2.0792742410295957</v>
      </c>
      <c r="CM167" s="21">
        <f>EXP(-LN(2)/2)*CM166+(1-EXP(-LN(2)/2))/(LN(2)/2)*CG167*CJ167*VLOOKUP('Données projet'!$B$12,Paramètres!$A$1:$I$89,3,0)*0.475*44/12</f>
        <v>1.8222684173983502E-10</v>
      </c>
      <c r="CN167" s="22">
        <f t="shared" si="172"/>
        <v>2.0792742412118224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4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493.06231899046742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-1.7053025658242404E-13</v>
      </c>
      <c r="O168" s="13">
        <f>N168*VLOOKUP('Données projet'!$B$9,Paramètres!$A$1:$I$89,3,0)*VLOOKUP('Données projet'!$B$9,Paramètres!$A$1:$I$89,5,0)</f>
        <v>-1.0197709343628959E-13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235.90365770026909</v>
      </c>
      <c r="T168" s="59">
        <f t="shared" si="142"/>
        <v>348.09952585694253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12.360200086953945</v>
      </c>
      <c r="AA168" s="21">
        <f>EXP(-LN(2)/25)*AA167+(1-EXP(-LN(2)/25))/(LN(2)/25)*Calculateur!V168*Calculateur!X168*VLOOKUP('Données projet'!$B$9,Paramètres!$A$1:$I$89,3,0)*0.475*44/12</f>
        <v>1.7489485618681957</v>
      </c>
      <c r="AB168" s="21">
        <f>EXP(-LN(2)/2)*AB167+(1-EXP(-LN(2)/2))/(LN(2)/2)*V168*Y168*VLOOKUP('Données projet'!$B$9,Paramètres!$A$1:$I$89,3,0)*0.475*44/12</f>
        <v>5.9527129100965057E-17</v>
      </c>
      <c r="AC168" s="22">
        <f t="shared" si="163"/>
        <v>14.10914864882214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9.6220000000000034</v>
      </c>
      <c r="AI168" s="13">
        <f>IF('Données projet'!$A$62&gt;35,AI167+AH168-AQ167,IF(A168&lt;'Données projet'!$A$62,$AF$205^A168,IF(A168='Données projet'!$A$62,'Données projet'!$B$62,AI167+AH168-AQ167)))</f>
        <v>523.92200000000128</v>
      </c>
      <c r="AJ168" s="13">
        <f>AI168*VLOOKUP('Données projet'!$B$10,Paramètres!$A$1:$I$89,3,0)*VLOOKUP('Données projet'!$B$10,Paramètres!$A$1:$I$89,5,0)</f>
        <v>474.04462560000115</v>
      </c>
      <c r="AK168" s="13">
        <f t="shared" si="164"/>
        <v>106.63651269520395</v>
      </c>
      <c r="AL168" s="20">
        <f t="shared" si="165"/>
        <v>1011.3529825308154</v>
      </c>
      <c r="AM168" s="59">
        <f t="shared" si="113"/>
        <v>1304.6863158641488</v>
      </c>
      <c r="AN168" s="59">
        <f ca="1">AVERAGE(OFFSET($AM$3,0,0,'Données projet'!$E$10+1,1))-AVERAGE(OFFSET($H$3,0,0,'Données projet'!$E$10+1,1))</f>
        <v>490.21869105612649</v>
      </c>
      <c r="AO168" s="59">
        <f t="shared" si="144"/>
        <v>207.08773997010911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57.463672155725483</v>
      </c>
      <c r="AV168" s="21">
        <f>EXP(-LN(2)/25)*AV167+(1-EXP(-LN(2)/25))/(LN(2)/25)*Calculateur!AQ168*Calculateur!AS168*VLOOKUP('Données projet'!$B$10,Paramètres!$A$1:$I$89,3,0)*0.475*44/12</f>
        <v>22.378916287215556</v>
      </c>
      <c r="AW168" s="21">
        <f>EXP(-LN(2)/2)*AW167+(1-EXP(-LN(2)/2))/(LN(2)/2)*AQ168*AT168*VLOOKUP('Données projet'!$B$10,Paramètres!$A$1:$I$89,3,0)*0.475*44/12</f>
        <v>3.4432156765640685E-6</v>
      </c>
      <c r="AX168" s="21">
        <f t="shared" si="166"/>
        <v>79.842591886156711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>
        <f>BD168*VLOOKUP('Données projet'!$B$11,Paramètres!$A$1:$I$89,3,0)*VLOOKUP('Données projet'!$B$11,Paramètres!$A$1:$I$89,5,0)</f>
        <v>0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144.01698107732989</v>
      </c>
      <c r="BJ168" s="59">
        <f t="shared" si="146"/>
        <v>139.28039875117332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2.4486374451373738</v>
      </c>
      <c r="BQ168" s="21">
        <f>EXP(-LN(2)/25)*BQ167+(1-EXP(-LN(2)/25))/(LN(2)/25)*Calculateur!BL168*Calculateur!BN168*VLOOKUP('Données projet'!$B$11,Paramètres!$A$1:$I$89,3,0)*0.475*44/12</f>
        <v>7.9828668557509648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10.431504300888339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-8.5265128291212022E-14</v>
      </c>
      <c r="BZ168" s="13">
        <f>BY168*VLOOKUP('Données projet'!$B$12,Paramètres!$A$1:$I$89,3,0)*VLOOKUP('Données projet'!$B$12,Paramètres!$A$1:$I$89,5,0)</f>
        <v>-6.9167072069831198E-14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72.953866894533007</v>
      </c>
      <c r="CE168" s="59">
        <f t="shared" si="148"/>
        <v>60.640359826163092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0</v>
      </c>
      <c r="CL168" s="21">
        <f>EXP(-LN(2)/25)*CL167+(1-EXP(-LN(2)/25))/(LN(2)/25)*Calculateur!CG168*Calculateur!CI168*VLOOKUP('Données projet'!$B$12,Paramètres!$A$1:$I$89,3,0)*0.475*44/12</f>
        <v>2.0224163775643613</v>
      </c>
      <c r="CM168" s="21">
        <f>EXP(-LN(2)/2)*CM167+(1-EXP(-LN(2)/2))/(LN(2)/2)*CG168*CJ168*VLOOKUP('Données projet'!$B$12,Paramètres!$A$1:$I$89,3,0)*0.475*44/12</f>
        <v>1.2885383550844515E-10</v>
      </c>
      <c r="CN168" s="22">
        <f t="shared" si="172"/>
        <v>2.0224163776932151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4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494.24250784521246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-1.7053025658242404E-13</v>
      </c>
      <c r="O169" s="13">
        <f>N169*VLOOKUP('Données projet'!$B$9,Paramètres!$A$1:$I$89,3,0)*VLOOKUP('Données projet'!$B$9,Paramètres!$A$1:$I$89,5,0)</f>
        <v>-1.0197709343628959E-13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235.90365770026909</v>
      </c>
      <c r="T169" s="59">
        <f t="shared" si="142"/>
        <v>348.09952585694253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12.11782410222642</v>
      </c>
      <c r="AA169" s="21">
        <f>EXP(-LN(2)/25)*AA168+(1-EXP(-LN(2)/25))/(LN(2)/25)*Calculateur!V169*Calculateur!X169*VLOOKUP('Données projet'!$B$9,Paramètres!$A$1:$I$89,3,0)*0.475*44/12</f>
        <v>1.7011234714707022</v>
      </c>
      <c r="AB169" s="21">
        <f>EXP(-LN(2)/2)*AB168+(1-EXP(-LN(2)/2))/(LN(2)/2)*V169*Y169*VLOOKUP('Données projet'!$B$9,Paramètres!$A$1:$I$89,3,0)*0.475*44/12</f>
        <v>4.2092036651859464E-17</v>
      </c>
      <c r="AC169" s="22">
        <f t="shared" si="163"/>
        <v>13.818947573697121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9.6220000000000034</v>
      </c>
      <c r="AI169" s="13">
        <f>IF('Données projet'!$A$62&gt;35,AI168+AH169-AQ168,IF(A169&lt;'Données projet'!$A$62,$AF$205^A169,IF(A169='Données projet'!$A$62,'Données projet'!$B$62,AI168+AH169-AQ168)))</f>
        <v>533.54400000000123</v>
      </c>
      <c r="AJ169" s="13">
        <f>AI169*VLOOKUP('Données projet'!$B$10,Paramètres!$A$1:$I$89,3,0)*VLOOKUP('Données projet'!$B$10,Paramètres!$A$1:$I$89,5,0)</f>
        <v>482.75061120000112</v>
      </c>
      <c r="AK169" s="13">
        <f t="shared" si="164"/>
        <v>108.36513078962237</v>
      </c>
      <c r="AL169" s="20">
        <f t="shared" si="165"/>
        <v>1029.5265839652609</v>
      </c>
      <c r="AM169" s="59">
        <f t="shared" si="113"/>
        <v>1322.8599172985942</v>
      </c>
      <c r="AN169" s="59">
        <f ca="1">AVERAGE(OFFSET($AM$3,0,0,'Données projet'!$E$10+1,1))-AVERAGE(OFFSET($H$3,0,0,'Données projet'!$E$10+1,1))</f>
        <v>490.21869105612649</v>
      </c>
      <c r="AO169" s="59">
        <f t="shared" si="144"/>
        <v>207.08773997010911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56.336844594130881</v>
      </c>
      <c r="AV169" s="21">
        <f>EXP(-LN(2)/25)*AV168+(1-EXP(-LN(2)/25))/(LN(2)/25)*Calculateur!AQ169*Calculateur!AS169*VLOOKUP('Données projet'!$B$10,Paramètres!$A$1:$I$89,3,0)*0.475*44/12</f>
        <v>21.766963644485589</v>
      </c>
      <c r="AW169" s="21">
        <f>EXP(-LN(2)/2)*AW168+(1-EXP(-LN(2)/2))/(LN(2)/2)*AQ169*AT169*VLOOKUP('Données projet'!$B$10,Paramètres!$A$1:$I$89,3,0)*0.475*44/12</f>
        <v>2.434721153986279E-6</v>
      </c>
      <c r="AX169" s="21">
        <f t="shared" si="166"/>
        <v>78.10381067333762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>
        <f>BD169*VLOOKUP('Données projet'!$B$11,Paramètres!$A$1:$I$89,3,0)*VLOOKUP('Données projet'!$B$11,Paramètres!$A$1:$I$89,5,0)</f>
        <v>0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144.01698107732989</v>
      </c>
      <c r="BJ169" s="59">
        <f t="shared" si="146"/>
        <v>139.28039875117332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2.4006211583595984</v>
      </c>
      <c r="BQ169" s="21">
        <f>EXP(-LN(2)/25)*BQ168+(1-EXP(-LN(2)/25))/(LN(2)/25)*Calculateur!BL169*Calculateur!BN169*VLOOKUP('Données projet'!$B$11,Paramètres!$A$1:$I$89,3,0)*0.475*44/12</f>
        <v>7.7645749417797321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10.16519610013933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-8.5265128291212022E-14</v>
      </c>
      <c r="BZ169" s="13">
        <f>BY169*VLOOKUP('Données projet'!$B$12,Paramètres!$A$1:$I$89,3,0)*VLOOKUP('Données projet'!$B$12,Paramètres!$A$1:$I$89,5,0)</f>
        <v>-6.9167072069831198E-14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72.953866894533007</v>
      </c>
      <c r="CE169" s="59">
        <f t="shared" si="148"/>
        <v>60.640359826163092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0</v>
      </c>
      <c r="CL169" s="21">
        <f>EXP(-LN(2)/25)*CL168+(1-EXP(-LN(2)/25))/(LN(2)/25)*Calculateur!CG169*Calculateur!CI169*VLOOKUP('Données projet'!$B$12,Paramètres!$A$1:$I$89,3,0)*0.475*44/12</f>
        <v>1.967113295365609</v>
      </c>
      <c r="CM169" s="21">
        <f>EXP(-LN(2)/2)*CM168+(1-EXP(-LN(2)/2))/(LN(2)/2)*CG169*CJ169*VLOOKUP('Données projet'!$B$12,Paramètres!$A$1:$I$89,3,0)*0.475*44/12</f>
        <v>9.1113420869917512E-11</v>
      </c>
      <c r="CN169" s="22">
        <f t="shared" si="172"/>
        <v>1.9671132954567223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4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495.42253601188349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-1.7053025658242404E-13</v>
      </c>
      <c r="O170" s="13">
        <f>N170*VLOOKUP('Données projet'!$B$9,Paramètres!$A$1:$I$89,3,0)*VLOOKUP('Données projet'!$B$9,Paramètres!$A$1:$I$89,5,0)</f>
        <v>-1.0197709343628959E-13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235.90365770026909</v>
      </c>
      <c r="T170" s="59">
        <f t="shared" si="142"/>
        <v>348.09952585694253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11.880200962724647</v>
      </c>
      <c r="AA170" s="21">
        <f>EXP(-LN(2)/25)*AA169+(1-EXP(-LN(2)/25))/(LN(2)/25)*Calculateur!V170*Calculateur!X170*VLOOKUP('Données projet'!$B$9,Paramètres!$A$1:$I$89,3,0)*0.475*44/12</f>
        <v>1.6546061606851405</v>
      </c>
      <c r="AB170" s="21">
        <f>EXP(-LN(2)/2)*AB169+(1-EXP(-LN(2)/2))/(LN(2)/2)*V170*Y170*VLOOKUP('Données projet'!$B$9,Paramètres!$A$1:$I$89,3,0)*0.475*44/12</f>
        <v>2.9763564550482529E-17</v>
      </c>
      <c r="AC170" s="22">
        <f t="shared" si="163"/>
        <v>13.534807123409788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9.6220000000000034</v>
      </c>
      <c r="AI170" s="13">
        <f>IF('Données projet'!$A$62&gt;35,AI169+AH170-AQ169,IF(A170&lt;'Données projet'!$A$62,$AF$205^A170,IF(A170='Données projet'!$A$62,'Données projet'!$B$62,AI169+AH170-AQ169)))</f>
        <v>543.16600000000119</v>
      </c>
      <c r="AJ170" s="13">
        <f>AI170*VLOOKUP('Données projet'!$B$10,Paramètres!$A$1:$I$89,3,0)*VLOOKUP('Données projet'!$B$10,Paramètres!$A$1:$I$89,5,0)</f>
        <v>491.45659680000102</v>
      </c>
      <c r="AK170" s="13">
        <f t="shared" si="164"/>
        <v>110.09012381497753</v>
      </c>
      <c r="AL170" s="20">
        <f t="shared" si="165"/>
        <v>1047.6938717377543</v>
      </c>
      <c r="AM170" s="59">
        <f t="shared" si="113"/>
        <v>1341.0272050710876</v>
      </c>
      <c r="AN170" s="59">
        <f ca="1">AVERAGE(OFFSET($AM$3,0,0,'Données projet'!$E$10+1,1))-AVERAGE(OFFSET($H$3,0,0,'Données projet'!$E$10+1,1))</f>
        <v>490.21869105612649</v>
      </c>
      <c r="AO170" s="59">
        <f t="shared" si="144"/>
        <v>207.08773997010911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55.232113433722205</v>
      </c>
      <c r="AV170" s="21">
        <f>EXP(-LN(2)/25)*AV169+(1-EXP(-LN(2)/25))/(LN(2)/25)*Calculateur!AQ170*Calculateur!AS170*VLOOKUP('Données projet'!$B$10,Paramètres!$A$1:$I$89,3,0)*0.475*44/12</f>
        <v>21.171744878952261</v>
      </c>
      <c r="AW170" s="21">
        <f>EXP(-LN(2)/2)*AW169+(1-EXP(-LN(2)/2))/(LN(2)/2)*AQ170*AT170*VLOOKUP('Données projet'!$B$10,Paramètres!$A$1:$I$89,3,0)*0.475*44/12</f>
        <v>1.7216078382820342E-6</v>
      </c>
      <c r="AX170" s="21">
        <f t="shared" si="166"/>
        <v>76.403860034282303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>
        <f>BD170*VLOOKUP('Données projet'!$B$11,Paramètres!$A$1:$I$89,3,0)*VLOOKUP('Données projet'!$B$11,Paramètres!$A$1:$I$89,5,0)</f>
        <v>0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144.01698107732989</v>
      </c>
      <c r="BJ170" s="59">
        <f t="shared" si="146"/>
        <v>139.28039875117332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2.3535464416784921</v>
      </c>
      <c r="BQ170" s="21">
        <f>EXP(-LN(2)/25)*BQ169+(1-EXP(-LN(2)/25))/(LN(2)/25)*Calculateur!BL170*Calculateur!BN170*VLOOKUP('Données projet'!$B$11,Paramètres!$A$1:$I$89,3,0)*0.475*44/12</f>
        <v>7.5522522316755154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9.905798673354008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-8.5265128291212022E-14</v>
      </c>
      <c r="BZ170" s="13">
        <f>BY170*VLOOKUP('Données projet'!$B$12,Paramètres!$A$1:$I$89,3,0)*VLOOKUP('Données projet'!$B$12,Paramètres!$A$1:$I$89,5,0)</f>
        <v>-6.9167072069831198E-14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72.953866894533007</v>
      </c>
      <c r="CE170" s="59">
        <f t="shared" si="148"/>
        <v>60.640359826163092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0</v>
      </c>
      <c r="CL170" s="21">
        <f>EXP(-LN(2)/25)*CL169+(1-EXP(-LN(2)/25))/(LN(2)/25)*Calculateur!CG170*Calculateur!CI170*VLOOKUP('Données projet'!$B$12,Paramètres!$A$1:$I$89,3,0)*0.475*44/12</f>
        <v>1.913322478857844</v>
      </c>
      <c r="CM170" s="21">
        <f>EXP(-LN(2)/2)*CM169+(1-EXP(-LN(2)/2))/(LN(2)/2)*CG170*CJ170*VLOOKUP('Données projet'!$B$12,Paramètres!$A$1:$I$89,3,0)*0.475*44/12</f>
        <v>6.4426917754222573E-11</v>
      </c>
      <c r="CN170" s="22">
        <f t="shared" si="172"/>
        <v>1.9133224789222709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4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496.60240456432382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-1.7053025658242404E-13</v>
      </c>
      <c r="O171" s="13">
        <f>N171*VLOOKUP('Données projet'!$B$9,Paramètres!$A$1:$I$89,3,0)*VLOOKUP('Données projet'!$B$9,Paramètres!$A$1:$I$89,5,0)</f>
        <v>-1.0197709343628959E-13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235.90365770026909</v>
      </c>
      <c r="T171" s="59">
        <f t="shared" si="142"/>
        <v>348.09952585694253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11.647237468052701</v>
      </c>
      <c r="AA171" s="21">
        <f>EXP(-LN(2)/25)*AA170+(1-EXP(-LN(2)/25))/(LN(2)/25)*Calculateur!V171*Calculateur!X171*VLOOKUP('Données projet'!$B$9,Paramètres!$A$1:$I$89,3,0)*0.475*44/12</f>
        <v>1.6093608682092491</v>
      </c>
      <c r="AB171" s="21">
        <f>EXP(-LN(2)/2)*AB170+(1-EXP(-LN(2)/2))/(LN(2)/2)*V171*Y171*VLOOKUP('Données projet'!$B$9,Paramètres!$A$1:$I$89,3,0)*0.475*44/12</f>
        <v>2.1046018325929732E-17</v>
      </c>
      <c r="AC171" s="22">
        <f t="shared" si="163"/>
        <v>13.25659833626195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9.6220000000000034</v>
      </c>
      <c r="AI171" s="13">
        <f>IF('Données projet'!$A$62&gt;35,AI170+AH171-AQ170,IF(A171&lt;'Données projet'!$A$62,$AF$205^A171,IF(A171='Données projet'!$A$62,'Données projet'!$B$62,AI170+AH171-AQ170)))</f>
        <v>552.78800000000115</v>
      </c>
      <c r="AJ171" s="13">
        <f>AI171*VLOOKUP('Données projet'!$B$10,Paramètres!$A$1:$I$89,3,0)*VLOOKUP('Données projet'!$B$10,Paramètres!$A$1:$I$89,5,0)</f>
        <v>500.16258240000104</v>
      </c>
      <c r="AK171" s="13">
        <f t="shared" si="164"/>
        <v>111.81156339666074</v>
      </c>
      <c r="AL171" s="20">
        <f t="shared" si="165"/>
        <v>1065.8549705958526</v>
      </c>
      <c r="AM171" s="59">
        <f t="shared" si="113"/>
        <v>1359.1883039291858</v>
      </c>
      <c r="AN171" s="59">
        <f ca="1">AVERAGE(OFFSET($AM$3,0,0,'Données projet'!$E$10+1,1))-AVERAGE(OFFSET($H$3,0,0,'Données projet'!$E$10+1,1))</f>
        <v>490.21869105612649</v>
      </c>
      <c r="AO171" s="59">
        <f t="shared" si="144"/>
        <v>207.08773997010911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54.149045377549669</v>
      </c>
      <c r="AV171" s="21">
        <f>EXP(-LN(2)/25)*AV170+(1-EXP(-LN(2)/25))/(LN(2)/25)*Calculateur!AQ171*Calculateur!AS171*VLOOKUP('Données projet'!$B$10,Paramètres!$A$1:$I$89,3,0)*0.475*44/12</f>
        <v>20.592802401863636</v>
      </c>
      <c r="AW171" s="21">
        <f>EXP(-LN(2)/2)*AW170+(1-EXP(-LN(2)/2))/(LN(2)/2)*AQ171*AT171*VLOOKUP('Données projet'!$B$10,Paramètres!$A$1:$I$89,3,0)*0.475*44/12</f>
        <v>1.2173605769931395E-6</v>
      </c>
      <c r="AX171" s="21">
        <f t="shared" si="166"/>
        <v>74.741848996773882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>
        <f>BD171*VLOOKUP('Données projet'!$B$11,Paramètres!$A$1:$I$89,3,0)*VLOOKUP('Données projet'!$B$11,Paramètres!$A$1:$I$89,5,0)</f>
        <v>0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144.01698107732989</v>
      </c>
      <c r="BJ171" s="59">
        <f t="shared" si="146"/>
        <v>139.28039875117332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2.3073948314787605</v>
      </c>
      <c r="BQ171" s="21">
        <f>EXP(-LN(2)/25)*BQ170+(1-EXP(-LN(2)/25))/(LN(2)/25)*Calculateur!BL171*Calculateur!BN171*VLOOKUP('Données projet'!$B$11,Paramètres!$A$1:$I$89,3,0)*0.475*44/12</f>
        <v>7.3457354972446645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9.6531303287234245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-8.5265128291212022E-14</v>
      </c>
      <c r="BZ171" s="13">
        <f>BY171*VLOOKUP('Données projet'!$B$12,Paramètres!$A$1:$I$89,3,0)*VLOOKUP('Données projet'!$B$12,Paramètres!$A$1:$I$89,5,0)</f>
        <v>-6.9167072069831198E-14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72.953866894533007</v>
      </c>
      <c r="CE171" s="59">
        <f t="shared" si="148"/>
        <v>60.640359826163092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0</v>
      </c>
      <c r="CL171" s="21">
        <f>EXP(-LN(2)/25)*CL170+(1-EXP(-LN(2)/25))/(LN(2)/25)*Calculateur!CG171*Calculateur!CI171*VLOOKUP('Données projet'!$B$12,Paramètres!$A$1:$I$89,3,0)*0.475*44/12</f>
        <v>1.86100257505622</v>
      </c>
      <c r="CM171" s="21">
        <f>EXP(-LN(2)/2)*CM170+(1-EXP(-LN(2)/2))/(LN(2)/2)*CG171*CJ171*VLOOKUP('Données projet'!$B$12,Paramètres!$A$1:$I$89,3,0)*0.475*44/12</f>
        <v>4.5556710434958756E-11</v>
      </c>
      <c r="CN171" s="22">
        <f t="shared" si="172"/>
        <v>1.8610025751017767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4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497.78211456285305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-1.7053025658242404E-13</v>
      </c>
      <c r="O172" s="13">
        <f>N172*VLOOKUP('Données projet'!$B$9,Paramètres!$A$1:$I$89,3,0)*VLOOKUP('Données projet'!$B$9,Paramètres!$A$1:$I$89,5,0)</f>
        <v>-1.0197709343628959E-13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235.90365770026909</v>
      </c>
      <c r="T172" s="59">
        <f t="shared" si="142"/>
        <v>348.09952585694253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11.41884224541757</v>
      </c>
      <c r="AA172" s="21">
        <f>EXP(-LN(2)/25)*AA171+(1-EXP(-LN(2)/25))/(LN(2)/25)*Calculateur!V172*Calculateur!X172*VLOOKUP('Données projet'!$B$9,Paramètres!$A$1:$I$89,3,0)*0.475*44/12</f>
        <v>1.5653528106354573</v>
      </c>
      <c r="AB172" s="21">
        <f>EXP(-LN(2)/2)*AB171+(1-EXP(-LN(2)/2))/(LN(2)/2)*V172*Y172*VLOOKUP('Données projet'!$B$9,Paramètres!$A$1:$I$89,3,0)*0.475*44/12</f>
        <v>1.4881782275241264E-17</v>
      </c>
      <c r="AC172" s="22">
        <f t="shared" si="163"/>
        <v>12.984195056053029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9.6220000000000034</v>
      </c>
      <c r="AI172" s="13">
        <f>IF('Données projet'!$A$62&gt;35,AI171+AH172-AQ171,IF(A172&lt;'Données projet'!$A$62,$AF$205^A172,IF(A172='Données projet'!$A$62,'Données projet'!$B$62,AI171+AH172-AQ171)))</f>
        <v>562.41000000000111</v>
      </c>
      <c r="AJ172" s="13">
        <f>AI172*VLOOKUP('Données projet'!$B$10,Paramètres!$A$1:$I$89,3,0)*VLOOKUP('Données projet'!$B$10,Paramètres!$A$1:$I$89,5,0)</f>
        <v>508.86856800000095</v>
      </c>
      <c r="AK172" s="13">
        <f t="shared" si="164"/>
        <v>113.52951852374844</v>
      </c>
      <c r="AL172" s="20">
        <f t="shared" si="165"/>
        <v>1084.0100006955302</v>
      </c>
      <c r="AM172" s="59">
        <f t="shared" si="113"/>
        <v>1377.3433340288634</v>
      </c>
      <c r="AN172" s="59">
        <f ca="1">AVERAGE(OFFSET($AM$3,0,0,'Données projet'!$E$10+1,1))-AVERAGE(OFFSET($H$3,0,0,'Données projet'!$E$10+1,1))</f>
        <v>490.21869105612649</v>
      </c>
      <c r="AO172" s="59">
        <f t="shared" si="144"/>
        <v>207.08773997010911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53.087215625352393</v>
      </c>
      <c r="AV172" s="21">
        <f>EXP(-LN(2)/25)*AV171+(1-EXP(-LN(2)/25))/(LN(2)/25)*Calculateur!AQ172*Calculateur!AS172*VLOOKUP('Données projet'!$B$10,Paramètres!$A$1:$I$89,3,0)*0.475*44/12</f>
        <v>20.029691137256261</v>
      </c>
      <c r="AW172" s="21">
        <f>EXP(-LN(2)/2)*AW171+(1-EXP(-LN(2)/2))/(LN(2)/2)*AQ172*AT172*VLOOKUP('Données projet'!$B$10,Paramètres!$A$1:$I$89,3,0)*0.475*44/12</f>
        <v>8.6080391914101712E-7</v>
      </c>
      <c r="AX172" s="21">
        <f t="shared" si="166"/>
        <v>73.116907623412573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>
        <f>BD172*VLOOKUP('Données projet'!$B$11,Paramètres!$A$1:$I$89,3,0)*VLOOKUP('Données projet'!$B$11,Paramètres!$A$1:$I$89,5,0)</f>
        <v>0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144.01698107732989</v>
      </c>
      <c r="BJ172" s="59">
        <f t="shared" si="146"/>
        <v>139.28039875117332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2.2621482262053427</v>
      </c>
      <c r="BQ172" s="21">
        <f>EXP(-LN(2)/25)*BQ171+(1-EXP(-LN(2)/25))/(LN(2)/25)*Calculateur!BL172*Calculateur!BN172*VLOOKUP('Données projet'!$B$11,Paramètres!$A$1:$I$89,3,0)*0.475*44/12</f>
        <v>7.1448659737770681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9.4070141999824113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-8.5265128291212022E-14</v>
      </c>
      <c r="BZ172" s="13">
        <f>BY172*VLOOKUP('Données projet'!$B$12,Paramètres!$A$1:$I$89,3,0)*VLOOKUP('Données projet'!$B$12,Paramètres!$A$1:$I$89,5,0)</f>
        <v>-6.9167072069831198E-14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72.953866894533007</v>
      </c>
      <c r="CE172" s="59">
        <f t="shared" si="148"/>
        <v>60.640359826163092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0</v>
      </c>
      <c r="CL172" s="21">
        <f>EXP(-LN(2)/25)*CL171+(1-EXP(-LN(2)/25))/(LN(2)/25)*Calculateur!CG172*Calculateur!CI172*VLOOKUP('Données projet'!$B$12,Paramètres!$A$1:$I$89,3,0)*0.475*44/12</f>
        <v>1.8101133617754357</v>
      </c>
      <c r="CM172" s="21">
        <f>EXP(-LN(2)/2)*CM171+(1-EXP(-LN(2)/2))/(LN(2)/2)*CG172*CJ172*VLOOKUP('Données projet'!$B$12,Paramètres!$A$1:$I$89,3,0)*0.475*44/12</f>
        <v>3.2213458877111287E-11</v>
      </c>
      <c r="CN172" s="22">
        <f t="shared" si="172"/>
        <v>1.8101133618076493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4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498.96166705451697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-1.7053025658242404E-13</v>
      </c>
      <c r="O173" s="13">
        <f>N173*VLOOKUP('Données projet'!$B$9,Paramètres!$A$1:$I$89,3,0)*VLOOKUP('Données projet'!$B$9,Paramètres!$A$1:$I$89,5,0)</f>
        <v>-1.0197709343628959E-13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235.90365770026909</v>
      </c>
      <c r="T173" s="59">
        <f t="shared" si="142"/>
        <v>348.09952585694253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11.194925713790983</v>
      </c>
      <c r="AA173" s="21">
        <f>EXP(-LN(2)/25)*AA172+(1-EXP(-LN(2)/25))/(LN(2)/25)*Calculateur!V173*Calculateur!X173*VLOOKUP('Données projet'!$B$9,Paramètres!$A$1:$I$89,3,0)*0.475*44/12</f>
        <v>1.522548155710304</v>
      </c>
      <c r="AB173" s="21">
        <f>EXP(-LN(2)/2)*AB172+(1-EXP(-LN(2)/2))/(LN(2)/2)*V173*Y173*VLOOKUP('Données projet'!$B$9,Paramètres!$A$1:$I$89,3,0)*0.475*44/12</f>
        <v>1.0523009162964866E-17</v>
      </c>
      <c r="AC173" s="22">
        <f t="shared" si="163"/>
        <v>12.717473869501287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9.6220000000000034</v>
      </c>
      <c r="AI173" s="13">
        <f>IF('Données projet'!$A$62&gt;35,AI172+AH173-AQ172,IF(A173&lt;'Données projet'!$A$62,$AF$205^A173,IF(A173='Données projet'!$A$62,'Données projet'!$B$62,AI172+AH173-AQ172)))</f>
        <v>572.03200000000106</v>
      </c>
      <c r="AJ173" s="13">
        <f>AI173*VLOOKUP('Données projet'!$B$10,Paramètres!$A$1:$I$89,3,0)*VLOOKUP('Données projet'!$B$10,Paramètres!$A$1:$I$89,5,0)</f>
        <v>517.57455360000097</v>
      </c>
      <c r="AK173" s="13">
        <f t="shared" si="164"/>
        <v>115.24405568945055</v>
      </c>
      <c r="AL173" s="20">
        <f t="shared" si="165"/>
        <v>1102.1590778457946</v>
      </c>
      <c r="AM173" s="59">
        <f t="shared" si="113"/>
        <v>1395.4924111791279</v>
      </c>
      <c r="AN173" s="59">
        <f ca="1">AVERAGE(OFFSET($AM$3,0,0,'Données projet'!$E$10+1,1))-AVERAGE(OFFSET($H$3,0,0,'Données projet'!$E$10+1,1))</f>
        <v>490.21869105612649</v>
      </c>
      <c r="AO173" s="59">
        <f t="shared" si="144"/>
        <v>207.08773997010911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52.046207706943505</v>
      </c>
      <c r="AV173" s="21">
        <f>EXP(-LN(2)/25)*AV172+(1-EXP(-LN(2)/25))/(LN(2)/25)*Calculateur!AQ173*Calculateur!AS173*VLOOKUP('Données projet'!$B$10,Paramètres!$A$1:$I$89,3,0)*0.475*44/12</f>
        <v>19.481978179792311</v>
      </c>
      <c r="AW173" s="21">
        <f>EXP(-LN(2)/2)*AW172+(1-EXP(-LN(2)/2))/(LN(2)/2)*AQ173*AT173*VLOOKUP('Données projet'!$B$10,Paramètres!$A$1:$I$89,3,0)*0.475*44/12</f>
        <v>6.0868028849656974E-7</v>
      </c>
      <c r="AX173" s="21">
        <f t="shared" si="166"/>
        <v>71.528186495416108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>
        <f>BD173*VLOOKUP('Données projet'!$B$11,Paramètres!$A$1:$I$89,3,0)*VLOOKUP('Données projet'!$B$11,Paramètres!$A$1:$I$89,5,0)</f>
        <v>0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144.01698107732989</v>
      </c>
      <c r="BJ173" s="59">
        <f t="shared" si="146"/>
        <v>139.28039875117332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2.2177888792636327</v>
      </c>
      <c r="BQ173" s="21">
        <f>EXP(-LN(2)/25)*BQ172+(1-EXP(-LN(2)/25))/(LN(2)/25)*Calculateur!BL173*Calculateur!BN173*VLOOKUP('Données projet'!$B$11,Paramètres!$A$1:$I$89,3,0)*0.475*44/12</f>
        <v>6.9494892379919628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9.167278117255595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-8.5265128291212022E-14</v>
      </c>
      <c r="BZ173" s="13">
        <f>BY173*VLOOKUP('Données projet'!$B$12,Paramètres!$A$1:$I$89,3,0)*VLOOKUP('Données projet'!$B$12,Paramètres!$A$1:$I$89,5,0)</f>
        <v>-6.9167072069831198E-14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72.953866894533007</v>
      </c>
      <c r="CE173" s="59">
        <f t="shared" si="148"/>
        <v>60.640359826163092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0</v>
      </c>
      <c r="CL173" s="21">
        <f>EXP(-LN(2)/25)*CL172+(1-EXP(-LN(2)/25))/(LN(2)/25)*Calculateur!CG173*Calculateur!CI173*VLOOKUP('Données projet'!$B$12,Paramètres!$A$1:$I$89,3,0)*0.475*44/12</f>
        <v>1.7606157167079617</v>
      </c>
      <c r="CM173" s="21">
        <f>EXP(-LN(2)/2)*CM172+(1-EXP(-LN(2)/2))/(LN(2)/2)*CG173*CJ173*VLOOKUP('Données projet'!$B$12,Paramètres!$A$1:$I$89,3,0)*0.475*44/12</f>
        <v>2.2778355217479378E-11</v>
      </c>
      <c r="CN173" s="22">
        <f t="shared" si="172"/>
        <v>1.7606157167307401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4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500.1410630733302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-1.7053025658242404E-13</v>
      </c>
      <c r="O174" s="13">
        <f>N174*VLOOKUP('Données projet'!$B$9,Paramètres!$A$1:$I$89,3,0)*VLOOKUP('Données projet'!$B$9,Paramètres!$A$1:$I$89,5,0)</f>
        <v>-1.0197709343628959E-13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235.90365770026909</v>
      </c>
      <c r="T174" s="59">
        <f t="shared" si="142"/>
        <v>348.09952585694253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10.975400048773995</v>
      </c>
      <c r="AA174" s="21">
        <f>EXP(-LN(2)/25)*AA173+(1-EXP(-LN(2)/25))/(LN(2)/25)*Calculateur!V174*Calculateur!X174*VLOOKUP('Données projet'!$B$9,Paramètres!$A$1:$I$89,3,0)*0.475*44/12</f>
        <v>1.4809139963250781</v>
      </c>
      <c r="AB174" s="21">
        <f>EXP(-LN(2)/2)*AB173+(1-EXP(-LN(2)/2))/(LN(2)/2)*V174*Y174*VLOOKUP('Données projet'!$B$9,Paramètres!$A$1:$I$89,3,0)*0.475*44/12</f>
        <v>7.4408911376206321E-18</v>
      </c>
      <c r="AC174" s="22">
        <f t="shared" si="163"/>
        <v>12.456314045099074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9.6220000000000034</v>
      </c>
      <c r="AI174" s="13">
        <f>IF('Données projet'!$A$62&gt;35,AI173+AH174-AQ173,IF(A174&lt;'Données projet'!$A$62,$AF$205^A174,IF(A174='Données projet'!$A$62,'Données projet'!$B$62,AI173+AH174-AQ173)))</f>
        <v>581.65400000000102</v>
      </c>
      <c r="AJ174" s="13">
        <f>AI174*VLOOKUP('Données projet'!$B$10,Paramètres!$A$1:$I$89,3,0)*VLOOKUP('Données projet'!$B$10,Paramètres!$A$1:$I$89,5,0)</f>
        <v>526.28053920000093</v>
      </c>
      <c r="AK174" s="13">
        <f t="shared" si="164"/>
        <v>116.95523902184036</v>
      </c>
      <c r="AL174" s="20">
        <f t="shared" si="165"/>
        <v>1120.3023137363737</v>
      </c>
      <c r="AM174" s="59">
        <f t="shared" si="113"/>
        <v>1413.6356470697069</v>
      </c>
      <c r="AN174" s="59">
        <f ca="1">AVERAGE(OFFSET($AM$3,0,0,'Données projet'!$E$10+1,1))-AVERAGE(OFFSET($H$3,0,0,'Données projet'!$E$10+1,1))</f>
        <v>490.21869105612649</v>
      </c>
      <c r="AO174" s="59">
        <f t="shared" si="144"/>
        <v>207.08773997010911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51.025613318862483</v>
      </c>
      <c r="AV174" s="21">
        <f>EXP(-LN(2)/25)*AV173+(1-EXP(-LN(2)/25))/(LN(2)/25)*Calculateur!AQ174*Calculateur!AS174*VLOOKUP('Données projet'!$B$10,Paramètres!$A$1:$I$89,3,0)*0.475*44/12</f>
        <v>18.949242461953183</v>
      </c>
      <c r="AW174" s="21">
        <f>EXP(-LN(2)/2)*AW173+(1-EXP(-LN(2)/2))/(LN(2)/2)*AQ174*AT174*VLOOKUP('Données projet'!$B$10,Paramètres!$A$1:$I$89,3,0)*0.475*44/12</f>
        <v>4.3040195957050856E-7</v>
      </c>
      <c r="AX174" s="21">
        <f t="shared" si="166"/>
        <v>69.974856211217613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>
        <f>BD174*VLOOKUP('Données projet'!$B$11,Paramètres!$A$1:$I$89,3,0)*VLOOKUP('Données projet'!$B$11,Paramètres!$A$1:$I$89,5,0)</f>
        <v>0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144.01698107732989</v>
      </c>
      <c r="BJ174" s="59">
        <f t="shared" si="146"/>
        <v>139.28039875117332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2.1742993920589195</v>
      </c>
      <c r="BQ174" s="21">
        <f>EXP(-LN(2)/25)*BQ173+(1-EXP(-LN(2)/25))/(LN(2)/25)*Calculateur!BL174*Calculateur!BN174*VLOOKUP('Données projet'!$B$11,Paramètres!$A$1:$I$89,3,0)*0.475*44/12</f>
        <v>6.7594550893213166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8.9337544813802356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-8.5265128291212022E-14</v>
      </c>
      <c r="BZ174" s="13">
        <f>BY174*VLOOKUP('Données projet'!$B$12,Paramètres!$A$1:$I$89,3,0)*VLOOKUP('Données projet'!$B$12,Paramètres!$A$1:$I$89,5,0)</f>
        <v>-6.9167072069831198E-14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72.953866894533007</v>
      </c>
      <c r="CE174" s="59">
        <f t="shared" si="148"/>
        <v>60.640359826163092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0</v>
      </c>
      <c r="CL174" s="21">
        <f>EXP(-LN(2)/25)*CL173+(1-EXP(-LN(2)/25))/(LN(2)/25)*Calculateur!CG174*Calculateur!CI174*VLOOKUP('Données projet'!$B$12,Paramètres!$A$1:$I$89,3,0)*0.475*44/12</f>
        <v>1.7124715873478258</v>
      </c>
      <c r="CM174" s="21">
        <f>EXP(-LN(2)/2)*CM173+(1-EXP(-LN(2)/2))/(LN(2)/2)*CG174*CJ174*VLOOKUP('Données projet'!$B$12,Paramètres!$A$1:$I$89,3,0)*0.475*44/12</f>
        <v>1.6106729438555643E-11</v>
      </c>
      <c r="CN174" s="22">
        <f t="shared" si="172"/>
        <v>1.7124715873639325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4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501.32030364051411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-1.7053025658242404E-13</v>
      </c>
      <c r="O175" s="13">
        <f>N175*VLOOKUP('Données projet'!$B$9,Paramètres!$A$1:$I$89,3,0)*VLOOKUP('Données projet'!$B$9,Paramètres!$A$1:$I$89,5,0)</f>
        <v>-1.0197709343628959E-13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235.90365770026909</v>
      </c>
      <c r="T175" s="59">
        <f t="shared" si="142"/>
        <v>348.09952585694253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10.760179148150556</v>
      </c>
      <c r="AA175" s="21">
        <f>EXP(-LN(2)/25)*AA174+(1-EXP(-LN(2)/25))/(LN(2)/25)*Calculateur!V175*Calculateur!X175*VLOOKUP('Données projet'!$B$9,Paramètres!$A$1:$I$89,3,0)*0.475*44/12</f>
        <v>1.4404183252176865</v>
      </c>
      <c r="AB175" s="21">
        <f>EXP(-LN(2)/2)*AB174+(1-EXP(-LN(2)/2))/(LN(2)/2)*V175*Y175*VLOOKUP('Données projet'!$B$9,Paramètres!$A$1:$I$89,3,0)*0.475*44/12</f>
        <v>5.261504581482433E-18</v>
      </c>
      <c r="AC175" s="22">
        <f t="shared" si="163"/>
        <v>12.200597473368243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9.6220000000000034</v>
      </c>
      <c r="AI175" s="13">
        <f>IF('Données projet'!$A$62&gt;35,AI174+AH175-AQ174,IF(A175&lt;'Données projet'!$A$62,$AF$205^A175,IF(A175='Données projet'!$A$62,'Données projet'!$B$62,AI174+AH175-AQ174)))</f>
        <v>591.27600000000098</v>
      </c>
      <c r="AJ175" s="13">
        <f>AI175*VLOOKUP('Données projet'!$B$10,Paramètres!$A$1:$I$89,3,0)*VLOOKUP('Données projet'!$B$10,Paramètres!$A$1:$I$89,5,0)</f>
        <v>534.98652480000089</v>
      </c>
      <c r="AK175" s="13">
        <f t="shared" si="164"/>
        <v>118.66313040568902</v>
      </c>
      <c r="AL175" s="20">
        <f t="shared" si="165"/>
        <v>1138.4398161499098</v>
      </c>
      <c r="AM175" s="59">
        <f t="shared" si="113"/>
        <v>1431.7731494832431</v>
      </c>
      <c r="AN175" s="59">
        <f ca="1">AVERAGE(OFFSET($AM$3,0,0,'Données projet'!$E$10+1,1))-AVERAGE(OFFSET($H$3,0,0,'Données projet'!$E$10+1,1))</f>
        <v>490.21869105612649</v>
      </c>
      <c r="AO175" s="59">
        <f t="shared" si="144"/>
        <v>207.08773997010911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50.025032164230616</v>
      </c>
      <c r="AV175" s="21">
        <f>EXP(-LN(2)/25)*AV174+(1-EXP(-LN(2)/25))/(LN(2)/25)*Calculateur!AQ175*Calculateur!AS175*VLOOKUP('Données projet'!$B$10,Paramètres!$A$1:$I$89,3,0)*0.475*44/12</f>
        <v>18.431074430333723</v>
      </c>
      <c r="AW175" s="21">
        <f>EXP(-LN(2)/2)*AW174+(1-EXP(-LN(2)/2))/(LN(2)/2)*AQ175*AT175*VLOOKUP('Données projet'!$B$10,Paramètres!$A$1:$I$89,3,0)*0.475*44/12</f>
        <v>3.0434014424828487E-7</v>
      </c>
      <c r="AX175" s="21">
        <f t="shared" si="166"/>
        <v>68.456106898904494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>
        <f>BD175*VLOOKUP('Données projet'!$B$11,Paramètres!$A$1:$I$89,3,0)*VLOOKUP('Données projet'!$B$11,Paramètres!$A$1:$I$89,5,0)</f>
        <v>0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144.01698107732989</v>
      </c>
      <c r="BJ175" s="59">
        <f t="shared" si="146"/>
        <v>139.28039875117332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2.1316627071723229</v>
      </c>
      <c r="BQ175" s="21">
        <f>EXP(-LN(2)/25)*BQ174+(1-EXP(-LN(2)/25))/(LN(2)/25)*Calculateur!BL175*Calculateur!BN175*VLOOKUP('Données projet'!$B$11,Paramètres!$A$1:$I$89,3,0)*0.475*44/12</f>
        <v>6.5746174344395314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8.7062801416118543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-8.5265128291212022E-14</v>
      </c>
      <c r="BZ175" s="13">
        <f>BY175*VLOOKUP('Données projet'!$B$12,Paramètres!$A$1:$I$89,3,0)*VLOOKUP('Données projet'!$B$12,Paramètres!$A$1:$I$89,5,0)</f>
        <v>-6.9167072069831198E-14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72.953866894533007</v>
      </c>
      <c r="CE175" s="59">
        <f t="shared" si="148"/>
        <v>60.640359826163092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0</v>
      </c>
      <c r="CL175" s="21">
        <f>EXP(-LN(2)/25)*CL174+(1-EXP(-LN(2)/25))/(LN(2)/25)*Calculateur!CG175*Calculateur!CI175*VLOOKUP('Données projet'!$B$12,Paramètres!$A$1:$I$89,3,0)*0.475*44/12</f>
        <v>1.6656439617368326</v>
      </c>
      <c r="CM175" s="21">
        <f>EXP(-LN(2)/2)*CM174+(1-EXP(-LN(2)/2))/(LN(2)/2)*CG175*CJ175*VLOOKUP('Données projet'!$B$12,Paramètres!$A$1:$I$89,3,0)*0.475*44/12</f>
        <v>1.1389177608739689E-11</v>
      </c>
      <c r="CN175" s="22">
        <f t="shared" si="172"/>
        <v>1.6656439617482217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4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502.49938976472833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-1.7053025658242404E-13</v>
      </c>
      <c r="O176" s="13">
        <f>N176*VLOOKUP('Données projet'!$B$9,Paramètres!$A$1:$I$89,3,0)*VLOOKUP('Données projet'!$B$9,Paramètres!$A$1:$I$89,5,0)</f>
        <v>-1.0197709343628959E-13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235.90365770026909</v>
      </c>
      <c r="T176" s="59">
        <f t="shared" si="142"/>
        <v>348.09952585694253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10.549178598116555</v>
      </c>
      <c r="AA176" s="21">
        <f>EXP(-LN(2)/25)*AA175+(1-EXP(-LN(2)/25))/(LN(2)/25)*Calculateur!V176*Calculateur!X176*VLOOKUP('Données projet'!$B$9,Paramètres!$A$1:$I$89,3,0)*0.475*44/12</f>
        <v>1.4010300103663014</v>
      </c>
      <c r="AB176" s="21">
        <f>EXP(-LN(2)/2)*AB175+(1-EXP(-LN(2)/2))/(LN(2)/2)*V176*Y176*VLOOKUP('Données projet'!$B$9,Paramètres!$A$1:$I$89,3,0)*0.475*44/12</f>
        <v>3.7204455688103161E-18</v>
      </c>
      <c r="AC176" s="22">
        <f t="shared" si="163"/>
        <v>11.950208608482857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9.6220000000000034</v>
      </c>
      <c r="AI176" s="13">
        <f>IF('Données projet'!$A$62&gt;35,AI175+AH176-AQ175,IF(A176&lt;'Données projet'!$A$62,$AF$205^A176,IF(A176='Données projet'!$A$62,'Données projet'!$B$62,AI175+AH176-AQ175)))</f>
        <v>600.89800000000093</v>
      </c>
      <c r="AJ176" s="13">
        <f>AI176*VLOOKUP('Données projet'!$B$10,Paramètres!$A$1:$I$89,3,0)*VLOOKUP('Données projet'!$B$10,Paramètres!$A$1:$I$89,5,0)</f>
        <v>543.69251040000086</v>
      </c>
      <c r="AK176" s="13">
        <f t="shared" si="164"/>
        <v>120.36778959614513</v>
      </c>
      <c r="AL176" s="20">
        <f t="shared" si="165"/>
        <v>1156.5716891599543</v>
      </c>
      <c r="AM176" s="59">
        <f t="shared" si="113"/>
        <v>1449.9050224932876</v>
      </c>
      <c r="AN176" s="59">
        <f ca="1">AVERAGE(OFFSET($AM$3,0,0,'Données projet'!$E$10+1,1))-AVERAGE(OFFSET($H$3,0,0,'Données projet'!$E$10+1,1))</f>
        <v>490.21869105612649</v>
      </c>
      <c r="AO176" s="59">
        <f t="shared" si="144"/>
        <v>207.08773997010911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49.044071795746838</v>
      </c>
      <c r="AV176" s="21">
        <f>EXP(-LN(2)/25)*AV175+(1-EXP(-LN(2)/25))/(LN(2)/25)*Calculateur!AQ176*Calculateur!AS176*VLOOKUP('Données projet'!$B$10,Paramètres!$A$1:$I$89,3,0)*0.475*44/12</f>
        <v>17.927075730788168</v>
      </c>
      <c r="AW176" s="21">
        <f>EXP(-LN(2)/2)*AW175+(1-EXP(-LN(2)/2))/(LN(2)/2)*AQ176*AT176*VLOOKUP('Données projet'!$B$10,Paramètres!$A$1:$I$89,3,0)*0.475*44/12</f>
        <v>2.1520097978525428E-7</v>
      </c>
      <c r="AX176" s="21">
        <f t="shared" si="166"/>
        <v>66.97114774173599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>
        <f>BD176*VLOOKUP('Données projet'!$B$11,Paramètres!$A$1:$I$89,3,0)*VLOOKUP('Données projet'!$B$11,Paramètres!$A$1:$I$89,5,0)</f>
        <v>0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144.01698107732989</v>
      </c>
      <c r="BJ176" s="59">
        <f t="shared" si="146"/>
        <v>139.28039875117332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2.0898621016705423</v>
      </c>
      <c r="BQ176" s="21">
        <f>EXP(-LN(2)/25)*BQ175+(1-EXP(-LN(2)/25))/(LN(2)/25)*Calculateur!BL176*Calculateur!BN176*VLOOKUP('Données projet'!$B$11,Paramètres!$A$1:$I$89,3,0)*0.475*44/12</f>
        <v>6.3948341749506783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8.4846962766212215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-8.5265128291212022E-14</v>
      </c>
      <c r="BZ176" s="13">
        <f>BY176*VLOOKUP('Données projet'!$B$12,Paramètres!$A$1:$I$89,3,0)*VLOOKUP('Données projet'!$B$12,Paramètres!$A$1:$I$89,5,0)</f>
        <v>-6.9167072069831198E-14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72.953866894533007</v>
      </c>
      <c r="CE176" s="59">
        <f t="shared" si="148"/>
        <v>60.640359826163092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0</v>
      </c>
      <c r="CL176" s="21">
        <f>EXP(-LN(2)/25)*CL175+(1-EXP(-LN(2)/25))/(LN(2)/25)*Calculateur!CG176*Calculateur!CI176*VLOOKUP('Données projet'!$B$12,Paramètres!$A$1:$I$89,3,0)*0.475*44/12</f>
        <v>1.6200968400107298</v>
      </c>
      <c r="CM176" s="21">
        <f>EXP(-LN(2)/2)*CM175+(1-EXP(-LN(2)/2))/(LN(2)/2)*CG176*CJ176*VLOOKUP('Données projet'!$B$12,Paramètres!$A$1:$I$89,3,0)*0.475*44/12</f>
        <v>8.0533647192778216E-12</v>
      </c>
      <c r="CN176" s="22">
        <f t="shared" si="172"/>
        <v>1.6200968400187832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4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503.67832244229692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-1.7053025658242404E-13</v>
      </c>
      <c r="O177" s="13">
        <f>N177*VLOOKUP('Données projet'!$B$9,Paramètres!$A$1:$I$89,3,0)*VLOOKUP('Données projet'!$B$9,Paramètres!$A$1:$I$89,5,0)</f>
        <v>-1.0197709343628959E-13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235.90365770026909</v>
      </c>
      <c r="T177" s="59">
        <f t="shared" si="142"/>
        <v>348.09952585694253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10.342315640171094</v>
      </c>
      <c r="AA177" s="21">
        <f>EXP(-LN(2)/25)*AA176+(1-EXP(-LN(2)/25))/(LN(2)/25)*Calculateur!V177*Calculateur!X177*VLOOKUP('Données projet'!$B$9,Paramètres!$A$1:$I$89,3,0)*0.475*44/12</f>
        <v>1.3627187710558688</v>
      </c>
      <c r="AB177" s="21">
        <f>EXP(-LN(2)/2)*AB176+(1-EXP(-LN(2)/2))/(LN(2)/2)*V177*Y177*VLOOKUP('Données projet'!$B$9,Paramètres!$A$1:$I$89,3,0)*0.475*44/12</f>
        <v>2.6307522907412165E-18</v>
      </c>
      <c r="AC177" s="22">
        <f t="shared" si="163"/>
        <v>11.705034411226963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>
        <f>VLOOKUP(A177,'Données projet'!$A$61:$I$81,2,0)</f>
        <v>610.52</v>
      </c>
      <c r="AG177" s="12">
        <f>VLOOKUP(A177,'Données projet'!$A$61:$I$81,9,0)</f>
        <v>9.6220000000000034</v>
      </c>
      <c r="AH177" s="12">
        <f t="array" ref="AH177">INDEX(AG:AG,MIN(IF(ISNUMBER(AG177:AG373),ROW(AG177:AG373),"")))</f>
        <v>9.6220000000000034</v>
      </c>
      <c r="AI177" s="13">
        <f>IF('Données projet'!$A$62&gt;35,AI176+AH177-AQ176,IF(A177&lt;'Données projet'!$A$62,$AF$205^A177,IF(A177='Données projet'!$A$62,'Données projet'!$B$62,AI176+AH177-AQ176)))</f>
        <v>610.52000000000089</v>
      </c>
      <c r="AJ177" s="13">
        <f>AI177*VLOOKUP('Données projet'!$B$10,Paramètres!$A$1:$I$89,3,0)*VLOOKUP('Données projet'!$B$10,Paramètres!$A$1:$I$89,5,0)</f>
        <v>552.3984960000007</v>
      </c>
      <c r="AK177" s="13">
        <f t="shared" si="164"/>
        <v>122.06927432492597</v>
      </c>
      <c r="AL177" s="20">
        <f t="shared" si="165"/>
        <v>1174.698033315914</v>
      </c>
      <c r="AM177" s="59">
        <f t="shared" si="113"/>
        <v>1468.0313666492473</v>
      </c>
      <c r="AN177" s="59">
        <f ca="1">AVERAGE(OFFSET($AM$3,0,0,'Données projet'!$E$10+1,1))-AVERAGE(OFFSET($H$3,0,0,'Données projet'!$E$10+1,1))</f>
        <v>490.21869105612649</v>
      </c>
      <c r="AO177" s="59">
        <f t="shared" si="144"/>
        <v>207.08773997010911</v>
      </c>
      <c r="AP177" s="15">
        <f>IF(ISNA(VLOOKUP(A177,'Données projet'!$A$61:$I$81,3,0)),0,VLOOKUP(A177,'Données projet'!$A$61:$I$81,3,0))</f>
        <v>15</v>
      </c>
      <c r="AQ177" s="15">
        <f>IF(ISNA(VLOOKUP(A177,'Données projet'!$A$61:$I$81,4,0)),0,VLOOKUP(A177,'Données projet'!$A$61:$I$81,4,0))</f>
        <v>240</v>
      </c>
      <c r="AR177" s="16">
        <f>IF(ISNA(VLOOKUP(A177,'Données projet'!$A$61:$I$81,5,0)),0%,VLOOKUP(A177,'Données projet'!$A$61:$I$81,5,0)*VLOOKUP('Données projet'!$B$10,Paramètres!$A$1:$I$89,7,0))</f>
        <v>0.19350000000000001</v>
      </c>
      <c r="AS177" s="16">
        <f>IF(ISNA(VLOOKUP(A177,'Données projet'!$A$61:$I$81,6,0)),0%,VLOOKUP(A177,'Données projet'!$A$61:$I$81,6,0)*VLOOKUP('Données projet'!$B$10,Paramètres!$A$1:$I$89,7,0))</f>
        <v>2.1500000000000002E-2</v>
      </c>
      <c r="AT177" s="16">
        <f>IF(ISNA(VLOOKUP(A177,'Données projet'!$A$61:$I$81,7,0)),0%,VLOOKUP(A177,'Données projet'!$A$61:$I$81,7,0))</f>
        <v>0.05</v>
      </c>
      <c r="AU177" s="21">
        <f>EXP(-LN(2)/35)*AU176+(1-EXP(-LN(2)/35))/(LN(2)/35)*AQ177*AR177*VLOOKUP('Données projet'!$B$10,Paramètres!$A$1:$I$89,3,0)*0.475*44/12</f>
        <v>94.533010057963907</v>
      </c>
      <c r="AV177" s="21">
        <f>EXP(-LN(2)/25)*AV176+(1-EXP(-LN(2)/25))/(LN(2)/25)*Calculateur!AQ177*Calculateur!AS177*VLOOKUP('Données projet'!$B$10,Paramètres!$A$1:$I$89,3,0)*0.475*44/12</f>
        <v>22.577722084238086</v>
      </c>
      <c r="AW177" s="21">
        <f>EXP(-LN(2)/2)*AW176+(1-EXP(-LN(2)/2))/(LN(2)/2)*AQ177*AT177*VLOOKUP('Données projet'!$B$10,Paramètres!$A$1:$I$89,3,0)*0.475*44/12</f>
        <v>10.244437980189536</v>
      </c>
      <c r="AX177" s="21">
        <f t="shared" si="166"/>
        <v>127.35517012239153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>
        <f>BD177*VLOOKUP('Données projet'!$B$11,Paramètres!$A$1:$I$89,3,0)*VLOOKUP('Données projet'!$B$11,Paramètres!$A$1:$I$89,5,0)</f>
        <v>0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144.01698107732989</v>
      </c>
      <c r="BJ177" s="59">
        <f t="shared" si="146"/>
        <v>139.28039875117332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2.0488811805467999</v>
      </c>
      <c r="BQ177" s="21">
        <f>EXP(-LN(2)/25)*BQ176+(1-EXP(-LN(2)/25))/(LN(2)/25)*Calculateur!BL177*Calculateur!BN177*VLOOKUP('Données projet'!$B$11,Paramètres!$A$1:$I$89,3,0)*0.475*44/12</f>
        <v>6.2199670981469382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8.2688482786937385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-8.5265128291212022E-14</v>
      </c>
      <c r="BZ177" s="13">
        <f>BY177*VLOOKUP('Données projet'!$B$12,Paramètres!$A$1:$I$89,3,0)*VLOOKUP('Données projet'!$B$12,Paramètres!$A$1:$I$89,5,0)</f>
        <v>-6.9167072069831198E-14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72.953866894533007</v>
      </c>
      <c r="CE177" s="59">
        <f t="shared" si="148"/>
        <v>60.640359826163092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0</v>
      </c>
      <c r="CL177" s="21">
        <f>EXP(-LN(2)/25)*CL176+(1-EXP(-LN(2)/25))/(LN(2)/25)*Calculateur!CG177*Calculateur!CI177*VLOOKUP('Données projet'!$B$12,Paramètres!$A$1:$I$89,3,0)*0.475*44/12</f>
        <v>1.5757952067234464</v>
      </c>
      <c r="CM177" s="21">
        <f>EXP(-LN(2)/2)*CM176+(1-EXP(-LN(2)/2))/(LN(2)/2)*CG177*CJ177*VLOOKUP('Données projet'!$B$12,Paramètres!$A$1:$I$89,3,0)*0.475*44/12</f>
        <v>5.6945888043698445E-12</v>
      </c>
      <c r="CN177" s="22">
        <f t="shared" si="172"/>
        <v>1.575795206729141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4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504.85710265742932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-1.7053025658242404E-13</v>
      </c>
      <c r="O178" s="13">
        <f>N178*VLOOKUP('Données projet'!$B$9,Paramètres!$A$1:$I$89,3,0)*VLOOKUP('Données projet'!$B$9,Paramètres!$A$1:$I$89,5,0)</f>
        <v>-1.0197709343628959E-13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235.90365770026909</v>
      </c>
      <c r="T178" s="59">
        <f t="shared" si="142"/>
        <v>348.09952585694253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10.139509138656997</v>
      </c>
      <c r="AA178" s="21">
        <f>EXP(-LN(2)/25)*AA177+(1-EXP(-LN(2)/25))/(LN(2)/25)*Calculateur!V178*Calculateur!X178*VLOOKUP('Données projet'!$B$9,Paramètres!$A$1:$I$89,3,0)*0.475*44/12</f>
        <v>1.3254551545990805</v>
      </c>
      <c r="AB178" s="21">
        <f>EXP(-LN(2)/2)*AB177+(1-EXP(-LN(2)/2))/(LN(2)/2)*V178*Y178*VLOOKUP('Données projet'!$B$9,Paramètres!$A$1:$I$89,3,0)*0.475*44/12</f>
        <v>1.860222784405158E-18</v>
      </c>
      <c r="AC178" s="22">
        <f t="shared" si="163"/>
        <v>11.464964293256077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6.140000000000005</v>
      </c>
      <c r="AI178" s="13">
        <f>IF('Données projet'!$A$62&gt;35,AI177+AH178-AQ177,IF(A178&lt;'Données projet'!$A$62,$AF$205^A178,IF(A178='Données projet'!$A$62,'Données projet'!$B$62,AI177+AH178-AQ177)))</f>
        <v>376.66000000000088</v>
      </c>
      <c r="AJ178" s="13">
        <f>AI178*VLOOKUP('Données projet'!$B$10,Paramètres!$A$1:$I$89,3,0)*VLOOKUP('Données projet'!$B$10,Paramètres!$A$1:$I$89,5,0)</f>
        <v>340.80196800000078</v>
      </c>
      <c r="AK178" s="13">
        <f t="shared" si="164"/>
        <v>79.665615362245418</v>
      </c>
      <c r="AL178" s="20">
        <f t="shared" si="165"/>
        <v>732.31437435591215</v>
      </c>
      <c r="AM178" s="59">
        <f t="shared" si="113"/>
        <v>1025.6477076892454</v>
      </c>
      <c r="AN178" s="59">
        <f ca="1">AVERAGE(OFFSET($AM$3,0,0,'Données projet'!$E$10+1,1))-AVERAGE(OFFSET($H$3,0,0,'Données projet'!$E$10+1,1))</f>
        <v>490.21869105612649</v>
      </c>
      <c r="AO178" s="59">
        <f t="shared" si="144"/>
        <v>207.08773997010911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92.679275390169977</v>
      </c>
      <c r="AV178" s="21">
        <f>EXP(-LN(2)/25)*AV177+(1-EXP(-LN(2)/25))/(LN(2)/25)*Calculateur!AQ178*Calculateur!AS178*VLOOKUP('Données projet'!$B$10,Paramètres!$A$1:$I$89,3,0)*0.475*44/12</f>
        <v>21.960333086533794</v>
      </c>
      <c r="AW178" s="21">
        <f>EXP(-LN(2)/2)*AW177+(1-EXP(-LN(2)/2))/(LN(2)/2)*AQ178*AT178*VLOOKUP('Données projet'!$B$10,Paramètres!$A$1:$I$89,3,0)*0.475*44/12</f>
        <v>7.2439115652370401</v>
      </c>
      <c r="AX178" s="21">
        <f t="shared" si="166"/>
        <v>121.88352004194081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>
        <f>BD178*VLOOKUP('Données projet'!$B$11,Paramètres!$A$1:$I$89,3,0)*VLOOKUP('Données projet'!$B$11,Paramètres!$A$1:$I$89,5,0)</f>
        <v>0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144.01698107732989</v>
      </c>
      <c r="BJ178" s="59">
        <f t="shared" si="146"/>
        <v>139.28039875117332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2.0087038702904003</v>
      </c>
      <c r="BQ178" s="21">
        <f>EXP(-LN(2)/25)*BQ177+(1-EXP(-LN(2)/25))/(LN(2)/25)*Calculateur!BL178*Calculateur!BN178*VLOOKUP('Données projet'!$B$11,Paramètres!$A$1:$I$89,3,0)*0.475*44/12</f>
        <v>6.049881770754256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8.0585856410446564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-8.5265128291212022E-14</v>
      </c>
      <c r="BZ178" s="13">
        <f>BY178*VLOOKUP('Données projet'!$B$12,Paramètres!$A$1:$I$89,3,0)*VLOOKUP('Données projet'!$B$12,Paramètres!$A$1:$I$89,5,0)</f>
        <v>-6.9167072069831198E-14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72.953866894533007</v>
      </c>
      <c r="CE178" s="59">
        <f t="shared" si="148"/>
        <v>60.640359826163092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0</v>
      </c>
      <c r="CL178" s="21">
        <f>EXP(-LN(2)/25)*CL177+(1-EXP(-LN(2)/25))/(LN(2)/25)*Calculateur!CG178*Calculateur!CI178*VLOOKUP('Données projet'!$B$12,Paramètres!$A$1:$I$89,3,0)*0.475*44/12</f>
        <v>1.5327050039281254</v>
      </c>
      <c r="CM178" s="21">
        <f>EXP(-LN(2)/2)*CM177+(1-EXP(-LN(2)/2))/(LN(2)/2)*CG178*CJ178*VLOOKUP('Données projet'!$B$12,Paramètres!$A$1:$I$89,3,0)*0.475*44/12</f>
        <v>4.0266823596389108E-12</v>
      </c>
      <c r="CN178" s="22">
        <f t="shared" si="172"/>
        <v>1.5327050039321521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4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506.03573138243593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-1.7053025658242404E-13</v>
      </c>
      <c r="O179" s="13">
        <f>N179*VLOOKUP('Données projet'!$B$9,Paramètres!$A$1:$I$89,3,0)*VLOOKUP('Données projet'!$B$9,Paramètres!$A$1:$I$89,5,0)</f>
        <v>-1.0197709343628959E-13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235.90365770026909</v>
      </c>
      <c r="T179" s="59">
        <f t="shared" si="142"/>
        <v>348.09952585694253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9.9406795489378403</v>
      </c>
      <c r="AA179" s="21">
        <f>EXP(-LN(2)/25)*AA178+(1-EXP(-LN(2)/25))/(LN(2)/25)*Calculateur!V179*Calculateur!X179*VLOOKUP('Données projet'!$B$9,Paramètres!$A$1:$I$89,3,0)*0.475*44/12</f>
        <v>1.2892105136939114</v>
      </c>
      <c r="AB179" s="21">
        <f>EXP(-LN(2)/2)*AB178+(1-EXP(-LN(2)/2))/(LN(2)/2)*V179*Y179*VLOOKUP('Données projet'!$B$9,Paramètres!$A$1:$I$89,3,0)*0.475*44/12</f>
        <v>1.3153761453706083E-18</v>
      </c>
      <c r="AC179" s="22">
        <f t="shared" si="163"/>
        <v>11.229890062631751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6.140000000000005</v>
      </c>
      <c r="AI179" s="13">
        <f>IF('Données projet'!$A$62&gt;35,AI178+AH179-AQ178,IF(A179&lt;'Données projet'!$A$62,$AF$205^A179,IF(A179='Données projet'!$A$62,'Données projet'!$B$62,AI178+AH179-AQ178)))</f>
        <v>382.80000000000086</v>
      </c>
      <c r="AJ179" s="13">
        <f>AI179*VLOOKUP('Données projet'!$B$10,Paramètres!$A$1:$I$89,3,0)*VLOOKUP('Données projet'!$B$10,Paramètres!$A$1:$I$89,5,0)</f>
        <v>346.35744000000079</v>
      </c>
      <c r="AK179" s="13">
        <f t="shared" si="164"/>
        <v>80.812014230904367</v>
      </c>
      <c r="AL179" s="20">
        <f t="shared" si="165"/>
        <v>743.98679945215974</v>
      </c>
      <c r="AM179" s="59">
        <f t="shared" si="113"/>
        <v>1037.3201327854931</v>
      </c>
      <c r="AN179" s="59">
        <f ca="1">AVERAGE(OFFSET($AM$3,0,0,'Données projet'!$E$10+1,1))-AVERAGE(OFFSET($H$3,0,0,'Données projet'!$E$10+1,1))</f>
        <v>490.21869105612649</v>
      </c>
      <c r="AO179" s="59">
        <f t="shared" si="144"/>
        <v>207.08773997010911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90.861891328544985</v>
      </c>
      <c r="AV179" s="21">
        <f>EXP(-LN(2)/25)*AV178+(1-EXP(-LN(2)/25))/(LN(2)/25)*Calculateur!AQ179*Calculateur!AS179*VLOOKUP('Données projet'!$B$10,Paramètres!$A$1:$I$89,3,0)*0.475*44/12</f>
        <v>21.359826623438803</v>
      </c>
      <c r="AW179" s="21">
        <f>EXP(-LN(2)/2)*AW178+(1-EXP(-LN(2)/2))/(LN(2)/2)*AQ179*AT179*VLOOKUP('Données projet'!$B$10,Paramètres!$A$1:$I$89,3,0)*0.475*44/12</f>
        <v>5.122218990094769</v>
      </c>
      <c r="AX179" s="21">
        <f t="shared" si="166"/>
        <v>117.34393694207856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>
        <f>BD179*VLOOKUP('Données projet'!$B$11,Paramètres!$A$1:$I$89,3,0)*VLOOKUP('Données projet'!$B$11,Paramètres!$A$1:$I$89,5,0)</f>
        <v>0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144.01698107732989</v>
      </c>
      <c r="BJ179" s="59">
        <f t="shared" si="146"/>
        <v>139.28039875117332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1.9693144125823892</v>
      </c>
      <c r="BQ179" s="21">
        <f>EXP(-LN(2)/25)*BQ178+(1-EXP(-LN(2)/25))/(LN(2)/25)*Calculateur!BL179*Calculateur!BN179*VLOOKUP('Données projet'!$B$11,Paramètres!$A$1:$I$89,3,0)*0.475*44/12</f>
        <v>5.8844474355835255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7.8537618481659148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-8.5265128291212022E-14</v>
      </c>
      <c r="BZ179" s="13">
        <f>BY179*VLOOKUP('Données projet'!$B$12,Paramètres!$A$1:$I$89,3,0)*VLOOKUP('Données projet'!$B$12,Paramètres!$A$1:$I$89,5,0)</f>
        <v>-6.9167072069831198E-14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72.953866894533007</v>
      </c>
      <c r="CE179" s="59">
        <f t="shared" si="148"/>
        <v>60.640359826163092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0</v>
      </c>
      <c r="CL179" s="21">
        <f>EXP(-LN(2)/25)*CL178+(1-EXP(-LN(2)/25))/(LN(2)/25)*Calculateur!CG179*Calculateur!CI179*VLOOKUP('Données projet'!$B$12,Paramètres!$A$1:$I$89,3,0)*0.475*44/12</f>
        <v>1.4907931049942578</v>
      </c>
      <c r="CM179" s="21">
        <f>EXP(-LN(2)/2)*CM178+(1-EXP(-LN(2)/2))/(LN(2)/2)*CG179*CJ179*VLOOKUP('Données projet'!$B$12,Paramètres!$A$1:$I$89,3,0)*0.475*44/12</f>
        <v>2.8472944021849223E-12</v>
      </c>
      <c r="CN179" s="22">
        <f t="shared" si="172"/>
        <v>1.490793104997105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4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507.21420957793879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-1.7053025658242404E-13</v>
      </c>
      <c r="O180" s="13">
        <f>N180*VLOOKUP('Données projet'!$B$9,Paramètres!$A$1:$I$89,3,0)*VLOOKUP('Données projet'!$B$9,Paramètres!$A$1:$I$89,5,0)</f>
        <v>-1.0197709343628959E-13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235.90365770026909</v>
      </c>
      <c r="T180" s="59">
        <f t="shared" si="142"/>
        <v>348.09952585694253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9.7457488861990011</v>
      </c>
      <c r="AA180" s="21">
        <f>EXP(-LN(2)/25)*AA179+(1-EXP(-LN(2)/25))/(LN(2)/25)*Calculateur!V180*Calculateur!X180*VLOOKUP('Données projet'!$B$9,Paramètres!$A$1:$I$89,3,0)*0.475*44/12</f>
        <v>1.2539569844003169</v>
      </c>
      <c r="AB180" s="21">
        <f>EXP(-LN(2)/2)*AB179+(1-EXP(-LN(2)/2))/(LN(2)/2)*V180*Y180*VLOOKUP('Données projet'!$B$9,Paramètres!$A$1:$I$89,3,0)*0.475*44/12</f>
        <v>9.3011139220257902E-19</v>
      </c>
      <c r="AC180" s="22">
        <f t="shared" si="163"/>
        <v>10.999705870599318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>
        <f>VLOOKUP(A180,'Données projet'!$A$61:$I$81,2,0)</f>
        <v>388.94</v>
      </c>
      <c r="AG180" s="12">
        <f>VLOOKUP(A180,'Données projet'!$A$61:$I$81,9,0)</f>
        <v>6.140000000000005</v>
      </c>
      <c r="AH180" s="12">
        <f t="array" ref="AH180">INDEX(AG:AG,MIN(IF(ISNUMBER(AG180:AG376),ROW(AG180:AG376),"")))</f>
        <v>6.140000000000005</v>
      </c>
      <c r="AI180" s="13">
        <f>IF('Données projet'!$A$62&gt;35,AI179+AH180-AQ179,IF(A180&lt;'Données projet'!$A$62,$AF$205^A180,IF(A180='Données projet'!$A$62,'Données projet'!$B$62,AI179+AH180-AQ179)))</f>
        <v>388.94000000000085</v>
      </c>
      <c r="AJ180" s="13">
        <f>AI180*VLOOKUP('Données projet'!$B$10,Paramètres!$A$1:$I$89,3,0)*VLOOKUP('Données projet'!$B$10,Paramètres!$A$1:$I$89,5,0)</f>
        <v>351.91291200000074</v>
      </c>
      <c r="AK180" s="13">
        <f t="shared" si="164"/>
        <v>81.956274647572329</v>
      </c>
      <c r="AL180" s="20">
        <f t="shared" si="165"/>
        <v>755.65550007785635</v>
      </c>
      <c r="AM180" s="59">
        <f t="shared" si="113"/>
        <v>1048.9888334111897</v>
      </c>
      <c r="AN180" s="59">
        <f ca="1">AVERAGE(OFFSET($AM$3,0,0,'Données projet'!$E$10+1,1))-AVERAGE(OFFSET($H$3,0,0,'Données projet'!$E$10+1,1))</f>
        <v>490.21869105612649</v>
      </c>
      <c r="AO180" s="59">
        <f t="shared" si="144"/>
        <v>207.08773997010911</v>
      </c>
      <c r="AP180" s="15">
        <f>IF(ISNA(VLOOKUP(A180,'Données projet'!$A$61:$I$81,3,0)),0,VLOOKUP(A180,'Données projet'!$A$61:$I$81,3,0))</f>
        <v>16</v>
      </c>
      <c r="AQ180" s="15">
        <f>IF(ISNA(VLOOKUP(A180,'Données projet'!$A$61:$I$81,4,0)),0,VLOOKUP(A180,'Données projet'!$A$61:$I$81,4,0))</f>
        <v>128.66000000000003</v>
      </c>
      <c r="AR180" s="16">
        <f>IF(ISNA(VLOOKUP(A180,'Données projet'!$A$61:$I$81,5,0)),0%,VLOOKUP(A180,'Données projet'!$A$61:$I$81,5,0)*VLOOKUP('Données projet'!$B$10,Paramètres!$A$1:$I$89,7,0))</f>
        <v>0.19350000000000001</v>
      </c>
      <c r="AS180" s="16">
        <f>IF(ISNA(VLOOKUP(A180,'Données projet'!$A$61:$I$81,6,0)),0%,VLOOKUP(A180,'Données projet'!$A$61:$I$81,6,0)*VLOOKUP('Données projet'!$B$10,Paramètres!$A$1:$I$89,7,0))</f>
        <v>2.1500000000000002E-2</v>
      </c>
      <c r="AT180" s="16">
        <f>IF(ISNA(VLOOKUP(A180,'Données projet'!$A$61:$I$81,7,0)),0%,VLOOKUP(A180,'Données projet'!$A$61:$I$81,7,0))</f>
        <v>0.05</v>
      </c>
      <c r="AU180" s="21">
        <f>EXP(-LN(2)/35)*AU179+(1-EXP(-LN(2)/35))/(LN(2)/35)*AQ180*AR180*VLOOKUP('Données projet'!$B$10,Paramètres!$A$1:$I$89,3,0)*0.475*44/12</f>
        <v>113.98157109998739</v>
      </c>
      <c r="AV180" s="21">
        <f>EXP(-LN(2)/25)*AV179+(1-EXP(-LN(2)/25))/(LN(2)/25)*Calculateur!AQ180*Calculateur!AS180*VLOOKUP('Données projet'!$B$10,Paramètres!$A$1:$I$89,3,0)*0.475*44/12</f>
        <v>23.531672112001587</v>
      </c>
      <c r="AW180" s="21">
        <f>EXP(-LN(2)/2)*AW179+(1-EXP(-LN(2)/2))/(LN(2)/2)*AQ180*AT180*VLOOKUP('Données projet'!$B$10,Paramètres!$A$1:$I$89,3,0)*0.475*44/12</f>
        <v>9.1138281615892875</v>
      </c>
      <c r="AX180" s="21">
        <f t="shared" si="166"/>
        <v>146.62707137357827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>
        <f>BD180*VLOOKUP('Données projet'!$B$11,Paramètres!$A$1:$I$89,3,0)*VLOOKUP('Données projet'!$B$11,Paramètres!$A$1:$I$89,5,0)</f>
        <v>0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144.01698107732989</v>
      </c>
      <c r="BJ180" s="59">
        <f t="shared" si="146"/>
        <v>139.28039875117332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1.9306973581148352</v>
      </c>
      <c r="BQ180" s="21">
        <f>EXP(-LN(2)/25)*BQ179+(1-EXP(-LN(2)/25))/(LN(2)/25)*Calculateur!BL180*Calculateur!BN180*VLOOKUP('Données projet'!$B$11,Paramètres!$A$1:$I$89,3,0)*0.475*44/12</f>
        <v>5.7235369110078524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7.6542342691226875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-8.5265128291212022E-14</v>
      </c>
      <c r="BZ180" s="13">
        <f>BY180*VLOOKUP('Données projet'!$B$12,Paramètres!$A$1:$I$89,3,0)*VLOOKUP('Données projet'!$B$12,Paramètres!$A$1:$I$89,5,0)</f>
        <v>-6.9167072069831198E-14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72.953866894533007</v>
      </c>
      <c r="CE180" s="59">
        <f t="shared" si="148"/>
        <v>60.640359826163092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0</v>
      </c>
      <c r="CL180" s="21">
        <f>EXP(-LN(2)/25)*CL179+(1-EXP(-LN(2)/25))/(LN(2)/25)*Calculateur!CG180*Calculateur!CI180*VLOOKUP('Données projet'!$B$12,Paramètres!$A$1:$I$89,3,0)*0.475*44/12</f>
        <v>1.4500272891407877</v>
      </c>
      <c r="CM180" s="21">
        <f>EXP(-LN(2)/2)*CM179+(1-EXP(-LN(2)/2))/(LN(2)/2)*CG180*CJ180*VLOOKUP('Données projet'!$B$12,Paramètres!$A$1:$I$89,3,0)*0.475*44/12</f>
        <v>2.0133411798194554E-12</v>
      </c>
      <c r="CN180" s="22">
        <f t="shared" si="172"/>
        <v>1.450027289142801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4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508.39253819307743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-1.7053025658242404E-13</v>
      </c>
      <c r="O181" s="13">
        <f>N181*VLOOKUP('Données projet'!$B$9,Paramètres!$A$1:$I$89,3,0)*VLOOKUP('Données projet'!$B$9,Paramètres!$A$1:$I$89,5,0)</f>
        <v>-1.0197709343628959E-13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235.90365770026909</v>
      </c>
      <c r="T181" s="59">
        <f t="shared" si="142"/>
        <v>348.09952585694253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9.554640694860506</v>
      </c>
      <c r="AA181" s="21">
        <f>EXP(-LN(2)/25)*AA180+(1-EXP(-LN(2)/25))/(LN(2)/25)*Calculateur!V181*Calculateur!X181*VLOOKUP('Données projet'!$B$9,Paramètres!$A$1:$I$89,3,0)*0.475*44/12</f>
        <v>1.2196674647191583</v>
      </c>
      <c r="AB181" s="21">
        <f>EXP(-LN(2)/2)*AB180+(1-EXP(-LN(2)/2))/(LN(2)/2)*V181*Y181*VLOOKUP('Données projet'!$B$9,Paramètres!$A$1:$I$89,3,0)*0.475*44/12</f>
        <v>6.5768807268530413E-19</v>
      </c>
      <c r="AC181" s="22">
        <f t="shared" si="163"/>
        <v>10.774308159579665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3.76000000000001</v>
      </c>
      <c r="AI181" s="13">
        <f>IF('Données projet'!$A$62&gt;35,AI180+AH181-AQ180,IF(A181&lt;'Données projet'!$A$62,$AF$205^A181,IF(A181='Données projet'!$A$62,'Données projet'!$B$62,AI180+AH181-AQ180)))</f>
        <v>264.04000000000082</v>
      </c>
      <c r="AJ181" s="13">
        <f>AI181*VLOOKUP('Données projet'!$B$10,Paramètres!$A$1:$I$89,3,0)*VLOOKUP('Données projet'!$B$10,Paramètres!$A$1:$I$89,5,0)</f>
        <v>238.90339200000074</v>
      </c>
      <c r="AK181" s="13">
        <f t="shared" si="164"/>
        <v>58.203527078995975</v>
      </c>
      <c r="AL181" s="20">
        <f t="shared" si="165"/>
        <v>517.46121739591933</v>
      </c>
      <c r="AM181" s="59">
        <f t="shared" si="113"/>
        <v>810.79455072925271</v>
      </c>
      <c r="AN181" s="59">
        <f ca="1">AVERAGE(OFFSET($AM$3,0,0,'Données projet'!$E$10+1,1))-AVERAGE(OFFSET($H$3,0,0,'Données projet'!$E$10+1,1))</f>
        <v>490.21869105612649</v>
      </c>
      <c r="AO181" s="59">
        <f t="shared" si="144"/>
        <v>207.08773997010911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111.74646201261029</v>
      </c>
      <c r="AV181" s="21">
        <f>EXP(-LN(2)/25)*AV180+(1-EXP(-LN(2)/25))/(LN(2)/25)*Calculateur!AQ181*Calculateur!AS181*VLOOKUP('Données projet'!$B$10,Paramètres!$A$1:$I$89,3,0)*0.475*44/12</f>
        <v>22.88819730062205</v>
      </c>
      <c r="AW181" s="21">
        <f>EXP(-LN(2)/2)*AW180+(1-EXP(-LN(2)/2))/(LN(2)/2)*AQ181*AT181*VLOOKUP('Données projet'!$B$10,Paramètres!$A$1:$I$89,3,0)*0.475*44/12</f>
        <v>6.4444496956287116</v>
      </c>
      <c r="AX181" s="21">
        <f t="shared" si="166"/>
        <v>141.07910900886105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>
        <f>BD181*VLOOKUP('Données projet'!$B$11,Paramètres!$A$1:$I$89,3,0)*VLOOKUP('Données projet'!$B$11,Paramètres!$A$1:$I$89,5,0)</f>
        <v>0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144.01698107732989</v>
      </c>
      <c r="BJ181" s="59">
        <f t="shared" si="146"/>
        <v>139.28039875117332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1.8928375605313126</v>
      </c>
      <c r="BQ181" s="21">
        <f>EXP(-LN(2)/25)*BQ180+(1-EXP(-LN(2)/25))/(LN(2)/25)*Calculateur!BL181*Calculateur!BN181*VLOOKUP('Données projet'!$B$11,Paramètres!$A$1:$I$89,3,0)*0.475*44/12</f>
        <v>5.5670264931886182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7.4598640537199312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-8.5265128291212022E-14</v>
      </c>
      <c r="BZ181" s="13">
        <f>BY181*VLOOKUP('Données projet'!$B$12,Paramètres!$A$1:$I$89,3,0)*VLOOKUP('Données projet'!$B$12,Paramètres!$A$1:$I$89,5,0)</f>
        <v>-6.9167072069831198E-14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72.953866894533007</v>
      </c>
      <c r="CE181" s="59">
        <f t="shared" si="148"/>
        <v>60.640359826163092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0</v>
      </c>
      <c r="CL181" s="21">
        <f>EXP(-LN(2)/25)*CL180+(1-EXP(-LN(2)/25))/(LN(2)/25)*Calculateur!CG181*Calculateur!CI181*VLOOKUP('Données projet'!$B$12,Paramètres!$A$1:$I$89,3,0)*0.475*44/12</f>
        <v>1.4103762166656117</v>
      </c>
      <c r="CM181" s="21">
        <f>EXP(-LN(2)/2)*CM180+(1-EXP(-LN(2)/2))/(LN(2)/2)*CG181*CJ181*VLOOKUP('Données projet'!$B$12,Paramètres!$A$1:$I$89,3,0)*0.475*44/12</f>
        <v>1.4236472010924611E-12</v>
      </c>
      <c r="CN181" s="22">
        <f t="shared" si="172"/>
        <v>1.4103762166670355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4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509.57071816570965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-1.7053025658242404E-13</v>
      </c>
      <c r="O182" s="13">
        <f>N182*VLOOKUP('Données projet'!$B$9,Paramètres!$A$1:$I$89,3,0)*VLOOKUP('Données projet'!$B$9,Paramètres!$A$1:$I$89,5,0)</f>
        <v>-1.0197709343628959E-13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235.90365770026909</v>
      </c>
      <c r="T182" s="59">
        <f t="shared" si="142"/>
        <v>348.09952585694253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9.367280018589673</v>
      </c>
      <c r="AA182" s="21">
        <f>EXP(-LN(2)/25)*AA181+(1-EXP(-LN(2)/25))/(LN(2)/25)*Calculateur!V182*Calculateur!X182*VLOOKUP('Données projet'!$B$9,Paramètres!$A$1:$I$89,3,0)*0.475*44/12</f>
        <v>1.1863155937568886</v>
      </c>
      <c r="AB182" s="21">
        <f>EXP(-LN(2)/2)*AB181+(1-EXP(-LN(2)/2))/(LN(2)/2)*V182*Y182*VLOOKUP('Données projet'!$B$9,Paramètres!$A$1:$I$89,3,0)*0.475*44/12</f>
        <v>4.6505569610128951E-19</v>
      </c>
      <c r="AC182" s="22">
        <f t="shared" si="163"/>
        <v>10.553595612346562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3.76000000000001</v>
      </c>
      <c r="AI182" s="13">
        <f>IF('Données projet'!$A$62&gt;35,AI181+AH182-AQ181,IF(A182&lt;'Données projet'!$A$62,$AF$205^A182,IF(A182='Données projet'!$A$62,'Données projet'!$B$62,AI181+AH182-AQ181)))</f>
        <v>267.80000000000081</v>
      </c>
      <c r="AJ182" s="13">
        <f>AI182*VLOOKUP('Données projet'!$B$10,Paramètres!$A$1:$I$89,3,0)*VLOOKUP('Données projet'!$B$10,Paramètres!$A$1:$I$89,5,0)</f>
        <v>242.30544000000074</v>
      </c>
      <c r="AK182" s="13">
        <f t="shared" si="164"/>
        <v>58.935280802002858</v>
      </c>
      <c r="AL182" s="20">
        <f t="shared" si="165"/>
        <v>524.66092206348958</v>
      </c>
      <c r="AM182" s="59">
        <f t="shared" si="113"/>
        <v>817.99425539682284</v>
      </c>
      <c r="AN182" s="59">
        <f ca="1">AVERAGE(OFFSET($AM$3,0,0,'Données projet'!$E$10+1,1))-AVERAGE(OFFSET($H$3,0,0,'Données projet'!$E$10+1,1))</f>
        <v>490.21869105612649</v>
      </c>
      <c r="AO182" s="59">
        <f t="shared" si="144"/>
        <v>207.08773997010911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109.55518205115473</v>
      </c>
      <c r="AV182" s="21">
        <f>EXP(-LN(2)/25)*AV181+(1-EXP(-LN(2)/25))/(LN(2)/25)*Calculateur!AQ182*Calculateur!AS182*VLOOKUP('Données projet'!$B$10,Paramètres!$A$1:$I$89,3,0)*0.475*44/12</f>
        <v>22.262318341798554</v>
      </c>
      <c r="AW182" s="21">
        <f>EXP(-LN(2)/2)*AW181+(1-EXP(-LN(2)/2))/(LN(2)/2)*AQ182*AT182*VLOOKUP('Données projet'!$B$10,Paramètres!$A$1:$I$89,3,0)*0.475*44/12</f>
        <v>4.5569140807946447</v>
      </c>
      <c r="AX182" s="21">
        <f t="shared" si="166"/>
        <v>136.37441447374795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>
        <f>BD182*VLOOKUP('Données projet'!$B$11,Paramètres!$A$1:$I$89,3,0)*VLOOKUP('Données projet'!$B$11,Paramètres!$A$1:$I$89,5,0)</f>
        <v>0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144.01698107732989</v>
      </c>
      <c r="BJ182" s="59">
        <f t="shared" si="146"/>
        <v>139.28039875117332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1.8557201704862063</v>
      </c>
      <c r="BQ182" s="21">
        <f>EXP(-LN(2)/25)*BQ181+(1-EXP(-LN(2)/25))/(LN(2)/25)*Calculateur!BL182*Calculateur!BN182*VLOOKUP('Données projet'!$B$11,Paramètres!$A$1:$I$89,3,0)*0.475*44/12</f>
        <v>5.4147958609751754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7.2705160314613817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-8.5265128291212022E-14</v>
      </c>
      <c r="BZ182" s="13">
        <f>BY182*VLOOKUP('Données projet'!$B$12,Paramètres!$A$1:$I$89,3,0)*VLOOKUP('Données projet'!$B$12,Paramètres!$A$1:$I$89,5,0)</f>
        <v>-6.9167072069831198E-14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72.953866894533007</v>
      </c>
      <c r="CE182" s="59">
        <f t="shared" si="148"/>
        <v>60.640359826163092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0</v>
      </c>
      <c r="CL182" s="21">
        <f>EXP(-LN(2)/25)*CL181+(1-EXP(-LN(2)/25))/(LN(2)/25)*Calculateur!CG182*Calculateur!CI182*VLOOKUP('Données projet'!$B$12,Paramètres!$A$1:$I$89,3,0)*0.475*44/12</f>
        <v>1.3718094048524287</v>
      </c>
      <c r="CM182" s="21">
        <f>EXP(-LN(2)/2)*CM181+(1-EXP(-LN(2)/2))/(LN(2)/2)*CG182*CJ182*VLOOKUP('Données projet'!$B$12,Paramètres!$A$1:$I$89,3,0)*0.475*44/12</f>
        <v>1.0066705899097277E-12</v>
      </c>
      <c r="CN182" s="22">
        <f t="shared" si="172"/>
        <v>1.3718094048534355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4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510.74875042260788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-1.7053025658242404E-13</v>
      </c>
      <c r="O183" s="13">
        <f>N183*VLOOKUP('Données projet'!$B$9,Paramètres!$A$1:$I$89,3,0)*VLOOKUP('Données projet'!$B$9,Paramètres!$A$1:$I$89,5,0)</f>
        <v>-1.0197709343628959E-13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235.90365770026909</v>
      </c>
      <c r="T183" s="59">
        <f t="shared" si="142"/>
        <v>348.09952585694253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9.1835933709017823</v>
      </c>
      <c r="AA183" s="21">
        <f>EXP(-LN(2)/25)*AA182+(1-EXP(-LN(2)/25))/(LN(2)/25)*Calculateur!V183*Calculateur!X183*VLOOKUP('Données projet'!$B$9,Paramètres!$A$1:$I$89,3,0)*0.475*44/12</f>
        <v>1.1538757314599808</v>
      </c>
      <c r="AB183" s="21">
        <f>EXP(-LN(2)/2)*AB182+(1-EXP(-LN(2)/2))/(LN(2)/2)*V183*Y183*VLOOKUP('Données projet'!$B$9,Paramètres!$A$1:$I$89,3,0)*0.475*44/12</f>
        <v>3.2884403634265206E-19</v>
      </c>
      <c r="AC183" s="22">
        <f t="shared" si="163"/>
        <v>10.337469102361762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>
        <f>VLOOKUP(A183,'Données projet'!$A$61:$I$81,2,0)</f>
        <v>271.56</v>
      </c>
      <c r="AG183" s="12">
        <f>VLOOKUP(A183,'Données projet'!$A$61:$I$81,9,0)</f>
        <v>3.76000000000001</v>
      </c>
      <c r="AH183" s="12">
        <f t="array" ref="AH183">INDEX(AG:AG,MIN(IF(ISNUMBER(AG183:AG379),ROW(AG183:AG379),"")))</f>
        <v>3.76000000000001</v>
      </c>
      <c r="AI183" s="13">
        <f>IF('Données projet'!$A$62&gt;35,AI182+AH183-AQ182,IF(A183&lt;'Données projet'!$A$62,$AF$205^A183,IF(A183='Données projet'!$A$62,'Données projet'!$B$62,AI182+AH183-AQ182)))</f>
        <v>271.5600000000008</v>
      </c>
      <c r="AJ183" s="13">
        <f>AI183*VLOOKUP('Données projet'!$B$10,Paramètres!$A$1:$I$89,3,0)*VLOOKUP('Données projet'!$B$10,Paramètres!$A$1:$I$89,5,0)</f>
        <v>245.70748800000069</v>
      </c>
      <c r="AK183" s="13">
        <f t="shared" si="164"/>
        <v>59.665839559289225</v>
      </c>
      <c r="AL183" s="20">
        <f t="shared" si="165"/>
        <v>531.85854549909652</v>
      </c>
      <c r="AM183" s="59">
        <f t="shared" si="113"/>
        <v>825.19187883242989</v>
      </c>
      <c r="AN183" s="59">
        <f ca="1">AVERAGE(OFFSET($AM$3,0,0,'Données projet'!$E$10+1,1))-AVERAGE(OFFSET($H$3,0,0,'Données projet'!$E$10+1,1))</f>
        <v>490.21869105612649</v>
      </c>
      <c r="AO183" s="59">
        <f t="shared" si="144"/>
        <v>207.08773997010911</v>
      </c>
      <c r="AP183" s="15">
        <f>IF(ISNA(VLOOKUP(A183,'Données projet'!$A$61:$I$81,3,0)),0,VLOOKUP(A183,'Données projet'!$A$61:$I$81,3,0))</f>
        <v>17</v>
      </c>
      <c r="AQ183" s="15">
        <f>IF(ISNA(VLOOKUP(A183,'Données projet'!$A$61:$I$81,4,0)),0,VLOOKUP(A183,'Données projet'!$A$61:$I$81,4,0))</f>
        <v>86.97</v>
      </c>
      <c r="AR183" s="16">
        <f>IF(ISNA(VLOOKUP(A183,'Données projet'!$A$61:$I$81,5,0)),0%,VLOOKUP(A183,'Données projet'!$A$61:$I$81,5,0)*VLOOKUP('Données projet'!$B$10,Paramètres!$A$1:$I$89,7,0))</f>
        <v>0.19350000000000001</v>
      </c>
      <c r="AS183" s="16">
        <f>IF(ISNA(VLOOKUP(A183,'Données projet'!$A$61:$I$81,6,0)),0%,VLOOKUP(A183,'Données projet'!$A$61:$I$81,6,0)*VLOOKUP('Données projet'!$B$10,Paramètres!$A$1:$I$89,7,0))</f>
        <v>2.1500000000000002E-2</v>
      </c>
      <c r="AT183" s="16">
        <f>IF(ISNA(VLOOKUP(A183,'Données projet'!$A$61:$I$81,7,0)),0%,VLOOKUP(A183,'Données projet'!$A$61:$I$81,7,0))</f>
        <v>0.05</v>
      </c>
      <c r="AU183" s="21">
        <f>EXP(-LN(2)/35)*AU182+(1-EXP(-LN(2)/35))/(LN(2)/35)*AQ183*AR183*VLOOKUP('Données projet'!$B$10,Paramètres!$A$1:$I$89,3,0)*0.475*44/12</f>
        <v>124.23943061149308</v>
      </c>
      <c r="AV183" s="21">
        <f>EXP(-LN(2)/25)*AV182+(1-EXP(-LN(2)/25))/(LN(2)/25)*Calculateur!AQ183*Calculateur!AS183*VLOOKUP('Données projet'!$B$10,Paramètres!$A$1:$I$89,3,0)*0.475*44/12</f>
        <v>23.516474371613818</v>
      </c>
      <c r="AW183" s="21">
        <f>EXP(-LN(2)/2)*AW182+(1-EXP(-LN(2)/2))/(LN(2)/2)*AQ183*AT183*VLOOKUP('Données projet'!$B$10,Paramètres!$A$1:$I$89,3,0)*0.475*44/12</f>
        <v>6.9345530057429094</v>
      </c>
      <c r="AX183" s="21">
        <f t="shared" si="166"/>
        <v>154.6904579888498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>
        <f>BD183*VLOOKUP('Données projet'!$B$11,Paramètres!$A$1:$I$89,3,0)*VLOOKUP('Données projet'!$B$11,Paramètres!$A$1:$I$89,5,0)</f>
        <v>0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144.01698107732989</v>
      </c>
      <c r="BJ183" s="59">
        <f t="shared" si="146"/>
        <v>139.28039875117332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1.8193306298205121</v>
      </c>
      <c r="BQ183" s="21">
        <f>EXP(-LN(2)/25)*BQ182+(1-EXP(-LN(2)/25))/(LN(2)/25)*Calculateur!BL183*Calculateur!BN183*VLOOKUP('Données projet'!$B$11,Paramètres!$A$1:$I$89,3,0)*0.475*44/12</f>
        <v>5.2667279834050706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7.0860586132255827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-8.5265128291212022E-14</v>
      </c>
      <c r="BZ183" s="13">
        <f>BY183*VLOOKUP('Données projet'!$B$12,Paramètres!$A$1:$I$89,3,0)*VLOOKUP('Données projet'!$B$12,Paramètres!$A$1:$I$89,5,0)</f>
        <v>-6.9167072069831198E-14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72.953866894533007</v>
      </c>
      <c r="CE183" s="59">
        <f t="shared" si="148"/>
        <v>60.640359826163092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0</v>
      </c>
      <c r="CL183" s="21">
        <f>EXP(-LN(2)/25)*CL182+(1-EXP(-LN(2)/25))/(LN(2)/25)*Calculateur!CG183*Calculateur!CI183*VLOOKUP('Données projet'!$B$12,Paramètres!$A$1:$I$89,3,0)*0.475*44/12</f>
        <v>1.3342972045364179</v>
      </c>
      <c r="CM183" s="21">
        <f>EXP(-LN(2)/2)*CM182+(1-EXP(-LN(2)/2))/(LN(2)/2)*CG183*CJ183*VLOOKUP('Données projet'!$B$12,Paramètres!$A$1:$I$89,3,0)*0.475*44/12</f>
        <v>7.1182360054623056E-13</v>
      </c>
      <c r="CN183" s="22">
        <f t="shared" si="172"/>
        <v>1.3342972045371297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4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511.92663587965137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-1.7053025658242404E-13</v>
      </c>
      <c r="O184" s="13">
        <f>N184*VLOOKUP('Données projet'!$B$9,Paramètres!$A$1:$I$89,3,0)*VLOOKUP('Données projet'!$B$9,Paramètres!$A$1:$I$89,5,0)</f>
        <v>-1.0197709343628959E-13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235.90365770026909</v>
      </c>
      <c r="T184" s="59">
        <f t="shared" si="142"/>
        <v>348.09952585694253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9.003508706337259</v>
      </c>
      <c r="AA184" s="21">
        <f>EXP(-LN(2)/25)*AA183+(1-EXP(-LN(2)/25))/(LN(2)/25)*Calculateur!V184*Calculateur!X184*VLOOKUP('Données projet'!$B$9,Paramètres!$A$1:$I$89,3,0)*0.475*44/12</f>
        <v>1.1223229389035201</v>
      </c>
      <c r="AB184" s="21">
        <f>EXP(-LN(2)/2)*AB183+(1-EXP(-LN(2)/2))/(LN(2)/2)*V184*Y184*VLOOKUP('Données projet'!$B$9,Paramètres!$A$1:$I$89,3,0)*0.475*44/12</f>
        <v>2.3252784805064475E-19</v>
      </c>
      <c r="AC184" s="22">
        <f t="shared" si="163"/>
        <v>10.12583164524078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2.2933333333333317</v>
      </c>
      <c r="AI184" s="13">
        <f>IF('Données projet'!$A$62&gt;35,AI183+AH184-AQ183,IF(A184&lt;'Données projet'!$A$62,$AF$205^A184,IF(A184='Données projet'!$A$62,'Données projet'!$B$62,AI183+AH184-AQ183)))</f>
        <v>186.88333333333415</v>
      </c>
      <c r="AJ184" s="13">
        <f>AI184*VLOOKUP('Données projet'!$B$10,Paramètres!$A$1:$I$89,3,0)*VLOOKUP('Données projet'!$B$10,Paramètres!$A$1:$I$89,5,0)</f>
        <v>169.09204000000074</v>
      </c>
      <c r="AK184" s="13">
        <f t="shared" si="164"/>
        <v>42.886607412438856</v>
      </c>
      <c r="AL184" s="20">
        <f t="shared" si="165"/>
        <v>369.1961442433323</v>
      </c>
      <c r="AM184" s="59">
        <f t="shared" si="113"/>
        <v>662.52947757666561</v>
      </c>
      <c r="AN184" s="59">
        <f ca="1">AVERAGE(OFFSET($AM$3,0,0,'Données projet'!$E$10+1,1))-AVERAGE(OFFSET($H$3,0,0,'Données projet'!$E$10+1,1))</f>
        <v>490.21869105612649</v>
      </c>
      <c r="AO184" s="59">
        <f t="shared" si="144"/>
        <v>207.08773997010911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121.80317115577186</v>
      </c>
      <c r="AV184" s="21">
        <f>EXP(-LN(2)/25)*AV183+(1-EXP(-LN(2)/25))/(LN(2)/25)*Calculateur!AQ184*Calculateur!AS184*VLOOKUP('Données projet'!$B$10,Paramètres!$A$1:$I$89,3,0)*0.475*44/12</f>
        <v>22.873415143244397</v>
      </c>
      <c r="AW184" s="21">
        <f>EXP(-LN(2)/2)*AW183+(1-EXP(-LN(2)/2))/(LN(2)/2)*AQ184*AT184*VLOOKUP('Données projet'!$B$10,Paramètres!$A$1:$I$89,3,0)*0.475*44/12</f>
        <v>4.9034694548583673</v>
      </c>
      <c r="AX184" s="21">
        <f t="shared" si="166"/>
        <v>149.58005575387463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>
        <f>BD184*VLOOKUP('Données projet'!$B$11,Paramètres!$A$1:$I$89,3,0)*VLOOKUP('Données projet'!$B$11,Paramètres!$A$1:$I$89,5,0)</f>
        <v>0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144.01698107732989</v>
      </c>
      <c r="BJ184" s="59">
        <f t="shared" si="146"/>
        <v>139.28039875117332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1.783654665851844</v>
      </c>
      <c r="BQ184" s="21">
        <f>EXP(-LN(2)/25)*BQ183+(1-EXP(-LN(2)/25))/(LN(2)/25)*Calculateur!BL184*Calculateur!BN184*VLOOKUP('Données projet'!$B$11,Paramètres!$A$1:$I$89,3,0)*0.475*44/12</f>
        <v>5.1227090297336719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6.9063636955855161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-8.5265128291212022E-14</v>
      </c>
      <c r="BZ184" s="13">
        <f>BY184*VLOOKUP('Données projet'!$B$12,Paramètres!$A$1:$I$89,3,0)*VLOOKUP('Données projet'!$B$12,Paramètres!$A$1:$I$89,5,0)</f>
        <v>-6.9167072069831198E-14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72.953866894533007</v>
      </c>
      <c r="CE184" s="59">
        <f t="shared" si="148"/>
        <v>60.640359826163092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0</v>
      </c>
      <c r="CL184" s="21">
        <f>EXP(-LN(2)/25)*CL183+(1-EXP(-LN(2)/25))/(LN(2)/25)*Calculateur!CG184*Calculateur!CI184*VLOOKUP('Données projet'!$B$12,Paramètres!$A$1:$I$89,3,0)*0.475*44/12</f>
        <v>1.297810777310729</v>
      </c>
      <c r="CM184" s="21">
        <f>EXP(-LN(2)/2)*CM183+(1-EXP(-LN(2)/2))/(LN(2)/2)*CG184*CJ184*VLOOKUP('Données projet'!$B$12,Paramètres!$A$1:$I$89,3,0)*0.475*44/12</f>
        <v>5.0333529495486385E-13</v>
      </c>
      <c r="CN184" s="22">
        <f t="shared" si="172"/>
        <v>1.2978107773112324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4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513.10437544201318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-1.7053025658242404E-13</v>
      </c>
      <c r="O185" s="13">
        <f>N185*VLOOKUP('Données projet'!$B$9,Paramètres!$A$1:$I$89,3,0)*VLOOKUP('Données projet'!$B$9,Paramètres!$A$1:$I$89,5,0)</f>
        <v>-1.0197709343628959E-13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235.90365770026909</v>
      </c>
      <c r="T185" s="59">
        <f t="shared" si="142"/>
        <v>348.09952585694253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8.8269553922040451</v>
      </c>
      <c r="AA185" s="21">
        <f>EXP(-LN(2)/25)*AA184+(1-EXP(-LN(2)/25))/(LN(2)/25)*Calculateur!V185*Calculateur!X185*VLOOKUP('Données projet'!$B$9,Paramètres!$A$1:$I$89,3,0)*0.475*44/12</f>
        <v>1.091632959118805</v>
      </c>
      <c r="AB185" s="21">
        <f>EXP(-LN(2)/2)*AB184+(1-EXP(-LN(2)/2))/(LN(2)/2)*V185*Y185*VLOOKUP('Données projet'!$B$9,Paramètres!$A$1:$I$89,3,0)*0.475*44/12</f>
        <v>1.6442201817132603E-19</v>
      </c>
      <c r="AC185" s="22">
        <f t="shared" si="163"/>
        <v>9.9185883513228497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2.2933333333333317</v>
      </c>
      <c r="AI185" s="13">
        <f>IF('Données projet'!$A$62&gt;35,AI184+AH185-AQ184,IF(A185&lt;'Données projet'!$A$62,$AF$205^A185,IF(A185='Données projet'!$A$62,'Données projet'!$B$62,AI184+AH185-AQ184)))</f>
        <v>189.17666666666747</v>
      </c>
      <c r="AJ185" s="13">
        <f>AI185*VLOOKUP('Données projet'!$B$10,Paramètres!$A$1:$I$89,3,0)*VLOOKUP('Données projet'!$B$10,Paramètres!$A$1:$I$89,5,0)</f>
        <v>171.16704800000073</v>
      </c>
      <c r="AK185" s="13">
        <f t="shared" si="164"/>
        <v>43.351299348190551</v>
      </c>
      <c r="AL185" s="20">
        <f t="shared" si="165"/>
        <v>373.61945496476648</v>
      </c>
      <c r="AM185" s="59">
        <f t="shared" si="113"/>
        <v>666.95278829809979</v>
      </c>
      <c r="AN185" s="59">
        <f ca="1">AVERAGE(OFFSET($AM$3,0,0,'Données projet'!$E$10+1,1))-AVERAGE(OFFSET($H$3,0,0,'Données projet'!$E$10+1,1))</f>
        <v>490.21869105612649</v>
      </c>
      <c r="AO185" s="59">
        <f t="shared" si="144"/>
        <v>207.08773997010911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119.4146852620058</v>
      </c>
      <c r="AV185" s="21">
        <f>EXP(-LN(2)/25)*AV184+(1-EXP(-LN(2)/25))/(LN(2)/25)*Calculateur!AQ185*Calculateur!AS185*VLOOKUP('Données projet'!$B$10,Paramètres!$A$1:$I$89,3,0)*0.475*44/12</f>
        <v>22.247940403291754</v>
      </c>
      <c r="AW185" s="21">
        <f>EXP(-LN(2)/2)*AW184+(1-EXP(-LN(2)/2))/(LN(2)/2)*AQ185*AT185*VLOOKUP('Données projet'!$B$10,Paramètres!$A$1:$I$89,3,0)*0.475*44/12</f>
        <v>3.4672765028714552</v>
      </c>
      <c r="AX185" s="21">
        <f t="shared" si="166"/>
        <v>145.129902168169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>
        <f>BD185*VLOOKUP('Données projet'!$B$11,Paramètres!$A$1:$I$89,3,0)*VLOOKUP('Données projet'!$B$11,Paramètres!$A$1:$I$89,5,0)</f>
        <v>0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144.01698107732989</v>
      </c>
      <c r="BJ185" s="59">
        <f t="shared" si="146"/>
        <v>139.28039875117332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1.748678285776412</v>
      </c>
      <c r="BQ185" s="21">
        <f>EXP(-LN(2)/25)*BQ184+(1-EXP(-LN(2)/25))/(LN(2)/25)*Calculateur!BL185*Calculateur!BN185*VLOOKUP('Données projet'!$B$11,Paramètres!$A$1:$I$89,3,0)*0.475*44/12</f>
        <v>4.9826282819240451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6.7313065677004573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-8.5265128291212022E-14</v>
      </c>
      <c r="BZ185" s="13">
        <f>BY185*VLOOKUP('Données projet'!$B$12,Paramètres!$A$1:$I$89,3,0)*VLOOKUP('Données projet'!$B$12,Paramètres!$A$1:$I$89,5,0)</f>
        <v>-6.9167072069831198E-14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72.953866894533007</v>
      </c>
      <c r="CE185" s="59">
        <f t="shared" si="148"/>
        <v>60.640359826163092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0</v>
      </c>
      <c r="CL185" s="21">
        <f>EXP(-LN(2)/25)*CL184+(1-EXP(-LN(2)/25))/(LN(2)/25)*Calculateur!CG185*Calculateur!CI185*VLOOKUP('Données projet'!$B$12,Paramètres!$A$1:$I$89,3,0)*0.475*44/12</f>
        <v>1.2623220733562646</v>
      </c>
      <c r="CM185" s="21">
        <f>EXP(-LN(2)/2)*CM184+(1-EXP(-LN(2)/2))/(LN(2)/2)*CG185*CJ185*VLOOKUP('Données projet'!$B$12,Paramètres!$A$1:$I$89,3,0)*0.475*44/12</f>
        <v>3.5591180027311528E-13</v>
      </c>
      <c r="CN185" s="22">
        <f t="shared" si="172"/>
        <v>1.2623220733566205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4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514.28197000434375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-1.7053025658242404E-13</v>
      </c>
      <c r="O186" s="13">
        <f>N186*VLOOKUP('Données projet'!$B$9,Paramètres!$A$1:$I$89,3,0)*VLOOKUP('Données projet'!$B$9,Paramètres!$A$1:$I$89,5,0)</f>
        <v>-1.0197709343628959E-13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235.90365770026909</v>
      </c>
      <c r="T186" s="59">
        <f t="shared" si="142"/>
        <v>348.09952585694253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8.6538641808740966</v>
      </c>
      <c r="AA186" s="21">
        <f>EXP(-LN(2)/25)*AA185+(1-EXP(-LN(2)/25))/(LN(2)/25)*Calculateur!V186*Calculateur!X186*VLOOKUP('Données projet'!$B$9,Paramètres!$A$1:$I$89,3,0)*0.475*44/12</f>
        <v>1.0617821984452189</v>
      </c>
      <c r="AB186" s="21">
        <f>EXP(-LN(2)/2)*AB185+(1-EXP(-LN(2)/2))/(LN(2)/2)*V186*Y186*VLOOKUP('Données projet'!$B$9,Paramètres!$A$1:$I$89,3,0)*0.475*44/12</f>
        <v>1.1626392402532238E-19</v>
      </c>
      <c r="AC186" s="22">
        <f t="shared" si="163"/>
        <v>9.7156463793193151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>
        <f>VLOOKUP(A186,'Données projet'!$A$61:$I$81,2,0)</f>
        <v>191.47</v>
      </c>
      <c r="AG186" s="12">
        <f>VLOOKUP(A186,'Données projet'!$A$61:$I$81,9,0)</f>
        <v>2.2933333333333317</v>
      </c>
      <c r="AH186" s="12">
        <f t="array" ref="AH186">INDEX(AG:AG,MIN(IF(ISNUMBER(AG186:AG382),ROW(AG186:AG382),"")))</f>
        <v>2.2933333333333317</v>
      </c>
      <c r="AI186" s="13">
        <f>IF('Données projet'!$A$62&gt;35,AI185+AH186-AQ185,IF(A186&lt;'Données projet'!$A$62,$AF$205^A186,IF(A186='Données projet'!$A$62,'Données projet'!$B$62,AI185+AH186-AQ185)))</f>
        <v>191.47000000000079</v>
      </c>
      <c r="AJ186" s="13">
        <f>AI186*VLOOKUP('Données projet'!$B$10,Paramètres!$A$1:$I$89,3,0)*VLOOKUP('Données projet'!$B$10,Paramètres!$A$1:$I$89,5,0)</f>
        <v>173.2420560000007</v>
      </c>
      <c r="AK186" s="13">
        <f t="shared" si="164"/>
        <v>43.815336010445158</v>
      </c>
      <c r="AL186" s="20">
        <f t="shared" si="165"/>
        <v>378.04162441819318</v>
      </c>
      <c r="AM186" s="59">
        <f t="shared" si="113"/>
        <v>671.37495775152649</v>
      </c>
      <c r="AN186" s="59">
        <f ca="1">AVERAGE(OFFSET($AM$3,0,0,'Données projet'!$E$10+1,1))-AVERAGE(OFFSET($H$3,0,0,'Données projet'!$E$10+1,1))</f>
        <v>490.21869105612649</v>
      </c>
      <c r="AO186" s="59">
        <f t="shared" si="144"/>
        <v>207.08773997010911</v>
      </c>
      <c r="AP186" s="15">
        <f>IF(ISNA(VLOOKUP(A186,'Données projet'!$A$61:$I$81,3,0)),0,VLOOKUP(A186,'Données projet'!$A$61:$I$81,3,0))</f>
        <v>18</v>
      </c>
      <c r="AQ186" s="15">
        <f>IF(ISNA(VLOOKUP(A186,'Données projet'!$A$61:$I$81,4,0)),0,VLOOKUP(A186,'Données projet'!$A$61:$I$81,4,0))</f>
        <v>191.47</v>
      </c>
      <c r="AR186" s="16">
        <f>IF(ISNA(VLOOKUP(A186,'Données projet'!$A$61:$I$81,5,0)),0%,VLOOKUP(A186,'Données projet'!$A$61:$I$81,5,0)*VLOOKUP('Données projet'!$B$10,Paramètres!$A$1:$I$89,7,0))</f>
        <v>0.19350000000000001</v>
      </c>
      <c r="AS186" s="16">
        <f>IF(ISNA(VLOOKUP(A186,'Données projet'!$A$61:$I$81,6,0)),0%,VLOOKUP(A186,'Données projet'!$A$61:$I$81,6,0)*VLOOKUP('Données projet'!$B$10,Paramètres!$A$1:$I$89,7,0))</f>
        <v>2.1500000000000002E-2</v>
      </c>
      <c r="AT186" s="16">
        <f>IF(ISNA(VLOOKUP(A186,'Données projet'!$A$61:$I$81,7,0)),0%,VLOOKUP(A186,'Données projet'!$A$61:$I$81,7,0))</f>
        <v>0.05</v>
      </c>
      <c r="AU186" s="21">
        <f>EXP(-LN(2)/35)*AU185+(1-EXP(-LN(2)/35))/(LN(2)/35)*AQ186*AR186*VLOOKUP('Données projet'!$B$10,Paramètres!$A$1:$I$89,3,0)*0.475*44/12</f>
        <v>154.13098765017864</v>
      </c>
      <c r="AV186" s="21">
        <f>EXP(-LN(2)/25)*AV185+(1-EXP(-LN(2)/25))/(LN(2)/25)*Calculateur!AQ186*Calculateur!AS186*VLOOKUP('Données projet'!$B$10,Paramètres!$A$1:$I$89,3,0)*0.475*44/12</f>
        <v>25.740907109110182</v>
      </c>
      <c r="AW186" s="21">
        <f>EXP(-LN(2)/2)*AW185+(1-EXP(-LN(2)/2))/(LN(2)/2)*AQ186*AT186*VLOOKUP('Données projet'!$B$10,Paramètres!$A$1:$I$89,3,0)*0.475*44/12</f>
        <v>10.624661856307879</v>
      </c>
      <c r="AX186" s="21">
        <f t="shared" si="166"/>
        <v>190.49655661559669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>
        <f>BD186*VLOOKUP('Données projet'!$B$11,Paramètres!$A$1:$I$89,3,0)*VLOOKUP('Données projet'!$B$11,Paramètres!$A$1:$I$89,5,0)</f>
        <v>0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144.01698107732989</v>
      </c>
      <c r="BJ186" s="59">
        <f t="shared" si="146"/>
        <v>139.28039875117332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1.714387771180774</v>
      </c>
      <c r="BQ186" s="21">
        <f>EXP(-LN(2)/25)*BQ185+(1-EXP(-LN(2)/25))/(LN(2)/25)*Calculateur!BL186*Calculateur!BN186*VLOOKUP('Données projet'!$B$11,Paramètres!$A$1:$I$89,3,0)*0.475*44/12</f>
        <v>4.8463780495297986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6.5607658207105723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-8.5265128291212022E-14</v>
      </c>
      <c r="BZ186" s="13">
        <f>BY186*VLOOKUP('Données projet'!$B$12,Paramètres!$A$1:$I$89,3,0)*VLOOKUP('Données projet'!$B$12,Paramètres!$A$1:$I$89,5,0)</f>
        <v>-6.9167072069831198E-14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72.953866894533007</v>
      </c>
      <c r="CE186" s="59">
        <f t="shared" si="148"/>
        <v>60.640359826163092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0</v>
      </c>
      <c r="CL186" s="21">
        <f>EXP(-LN(2)/25)*CL185+(1-EXP(-LN(2)/25))/(LN(2)/25)*Calculateur!CG186*Calculateur!CI186*VLOOKUP('Données projet'!$B$12,Paramètres!$A$1:$I$89,3,0)*0.475*44/12</f>
        <v>1.2278038098777047</v>
      </c>
      <c r="CM186" s="21">
        <f>EXP(-LN(2)/2)*CM185+(1-EXP(-LN(2)/2))/(LN(2)/2)*CG186*CJ186*VLOOKUP('Données projet'!$B$12,Paramètres!$A$1:$I$89,3,0)*0.475*44/12</f>
        <v>2.5166764747743193E-13</v>
      </c>
      <c r="CN186" s="22">
        <f t="shared" si="172"/>
        <v>1.2278038098779562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4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515.45942045095035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-1.7053025658242404E-13</v>
      </c>
      <c r="O187" s="13">
        <f>N187*VLOOKUP('Données projet'!$B$9,Paramètres!$A$1:$I$89,3,0)*VLOOKUP('Données projet'!$B$9,Paramètres!$A$1:$I$89,5,0)</f>
        <v>-1.0197709343628959E-13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235.90365770026909</v>
      </c>
      <c r="T187" s="59">
        <f t="shared" si="142"/>
        <v>348.09952585694253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8.4841671826231142</v>
      </c>
      <c r="AA187" s="21">
        <f>EXP(-LN(2)/25)*AA186+(1-EXP(-LN(2)/25))/(LN(2)/25)*Calculateur!V187*Calculateur!X187*VLOOKUP('Données projet'!$B$9,Paramètres!$A$1:$I$89,3,0)*0.475*44/12</f>
        <v>1.0327477083920353</v>
      </c>
      <c r="AB187" s="21">
        <f>EXP(-LN(2)/2)*AB186+(1-EXP(-LN(2)/2))/(LN(2)/2)*V187*Y187*VLOOKUP('Données projet'!$B$9,Paramètres!$A$1:$I$89,3,0)*0.475*44/12</f>
        <v>8.2211009085663016E-20</v>
      </c>
      <c r="AC187" s="22">
        <f t="shared" si="163"/>
        <v>9.5169148910151495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7.9580786405131221E-13</v>
      </c>
      <c r="AJ187" s="13">
        <f>AI187*VLOOKUP('Données projet'!$B$10,Paramètres!$A$1:$I$89,3,0)*VLOOKUP('Données projet'!$B$10,Paramètres!$A$1:$I$89,5,0)</f>
        <v>7.2004695539362725E-13</v>
      </c>
      <c r="AK187" s="13">
        <f t="shared" si="164"/>
        <v>8.5963894794935589E-12</v>
      </c>
      <c r="AL187" s="20">
        <f t="shared" si="165"/>
        <v>1.6226126790761848E-11</v>
      </c>
      <c r="AM187" s="59">
        <f t="shared" si="113"/>
        <v>293.33333333334951</v>
      </c>
      <c r="AN187" s="59">
        <f ca="1">AVERAGE(OFFSET($AM$3,0,0,'Données projet'!$E$10+1,1))-AVERAGE(OFFSET($H$3,0,0,'Données projet'!$E$10+1,1))</f>
        <v>490.21869105612649</v>
      </c>
      <c r="AO187" s="59">
        <f t="shared" si="144"/>
        <v>207.08773997010911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151.10857299297834</v>
      </c>
      <c r="AV187" s="21">
        <f>EXP(-LN(2)/25)*AV186+(1-EXP(-LN(2)/25))/(LN(2)/25)*Calculateur!AQ187*Calculateur!AS187*VLOOKUP('Données projet'!$B$10,Paramètres!$A$1:$I$89,3,0)*0.475*44/12</f>
        <v>25.037020650556091</v>
      </c>
      <c r="AW187" s="21">
        <f>EXP(-LN(2)/2)*AW186+(1-EXP(-LN(2)/2))/(LN(2)/2)*AQ187*AT187*VLOOKUP('Données projet'!$B$10,Paramètres!$A$1:$I$89,3,0)*0.475*44/12</f>
        <v>7.5127704464093537</v>
      </c>
      <c r="AX187" s="21">
        <f t="shared" si="166"/>
        <v>183.65836408994377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>
        <f>BD187*VLOOKUP('Données projet'!$B$11,Paramètres!$A$1:$I$89,3,0)*VLOOKUP('Données projet'!$B$11,Paramètres!$A$1:$I$89,5,0)</f>
        <v>0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144.01698107732989</v>
      </c>
      <c r="BJ187" s="59">
        <f t="shared" si="146"/>
        <v>139.28039875117332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1.6807696726612078</v>
      </c>
      <c r="BQ187" s="21">
        <f>EXP(-LN(2)/25)*BQ186+(1-EXP(-LN(2)/25))/(LN(2)/25)*Calculateur!BL187*Calculateur!BN187*VLOOKUP('Données projet'!$B$11,Paramètres!$A$1:$I$89,3,0)*0.475*44/12</f>
        <v>4.7138535869054614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6.3946232595666697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-8.5265128291212022E-14</v>
      </c>
      <c r="BZ187" s="13">
        <f>BY187*VLOOKUP('Données projet'!$B$12,Paramètres!$A$1:$I$89,3,0)*VLOOKUP('Données projet'!$B$12,Paramètres!$A$1:$I$89,5,0)</f>
        <v>-6.9167072069831198E-14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72.953866894533007</v>
      </c>
      <c r="CE187" s="59">
        <f t="shared" si="148"/>
        <v>60.640359826163092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0</v>
      </c>
      <c r="CL187" s="21">
        <f>EXP(-LN(2)/25)*CL186+(1-EXP(-LN(2)/25))/(LN(2)/25)*Calculateur!CG187*Calculateur!CI187*VLOOKUP('Données projet'!$B$12,Paramètres!$A$1:$I$89,3,0)*0.475*44/12</f>
        <v>1.1942294501292026</v>
      </c>
      <c r="CM187" s="21">
        <f>EXP(-LN(2)/2)*CM186+(1-EXP(-LN(2)/2))/(LN(2)/2)*CG187*CJ187*VLOOKUP('Données projet'!$B$12,Paramètres!$A$1:$I$89,3,0)*0.475*44/12</f>
        <v>1.7795590013655764E-13</v>
      </c>
      <c r="CN187" s="22">
        <f t="shared" si="172"/>
        <v>1.1942294501293804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4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516.63672765597119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-1.7053025658242404E-13</v>
      </c>
      <c r="O188" s="13">
        <f>N188*VLOOKUP('Données projet'!$B$9,Paramètres!$A$1:$I$89,3,0)*VLOOKUP('Données projet'!$B$9,Paramètres!$A$1:$I$89,5,0)</f>
        <v>-1.0197709343628959E-13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235.90365770026909</v>
      </c>
      <c r="T188" s="59">
        <f t="shared" si="142"/>
        <v>348.09952585694253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8.3177978390028837</v>
      </c>
      <c r="AA188" s="21">
        <f>EXP(-LN(2)/25)*AA187+(1-EXP(-LN(2)/25))/(LN(2)/25)*Calculateur!V188*Calculateur!X188*VLOOKUP('Données projet'!$B$9,Paramètres!$A$1:$I$89,3,0)*0.475*44/12</f>
        <v>1.0045071679962134</v>
      </c>
      <c r="AB188" s="21">
        <f>EXP(-LN(2)/2)*AB187+(1-EXP(-LN(2)/2))/(LN(2)/2)*V188*Y188*VLOOKUP('Données projet'!$B$9,Paramètres!$A$1:$I$89,3,0)*0.475*44/12</f>
        <v>5.8131962012661189E-20</v>
      </c>
      <c r="AC188" s="22">
        <f t="shared" si="163"/>
        <v>9.3223050069990965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7.9580786405131221E-13</v>
      </c>
      <c r="AJ188" s="13">
        <f>AI188*VLOOKUP('Données projet'!$B$10,Paramètres!$A$1:$I$89,3,0)*VLOOKUP('Données projet'!$B$10,Paramètres!$A$1:$I$89,5,0)</f>
        <v>7.2004695539362725E-13</v>
      </c>
      <c r="AK188" s="13">
        <f t="shared" si="164"/>
        <v>8.5963894794935589E-12</v>
      </c>
      <c r="AL188" s="20">
        <f t="shared" si="165"/>
        <v>1.6226126790761848E-11</v>
      </c>
      <c r="AM188" s="59">
        <f t="shared" si="113"/>
        <v>293.33333333334951</v>
      </c>
      <c r="AN188" s="59">
        <f ca="1">AVERAGE(OFFSET($AM$3,0,0,'Données projet'!$E$10+1,1))-AVERAGE(OFFSET($H$3,0,0,'Données projet'!$E$10+1,1))</f>
        <v>490.21869105612649</v>
      </c>
      <c r="AO188" s="59">
        <f t="shared" si="144"/>
        <v>207.08773997010911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148.14542604371482</v>
      </c>
      <c r="AV188" s="21">
        <f>EXP(-LN(2)/25)*AV187+(1-EXP(-LN(2)/25))/(LN(2)/25)*Calculateur!AQ188*Calculateur!AS188*VLOOKUP('Données projet'!$B$10,Paramètres!$A$1:$I$89,3,0)*0.475*44/12</f>
        <v>24.352382004226943</v>
      </c>
      <c r="AW188" s="21">
        <f>EXP(-LN(2)/2)*AW187+(1-EXP(-LN(2)/2))/(LN(2)/2)*AQ188*AT188*VLOOKUP('Données projet'!$B$10,Paramètres!$A$1:$I$89,3,0)*0.475*44/12</f>
        <v>5.3123309281539406</v>
      </c>
      <c r="AX188" s="21">
        <f t="shared" si="166"/>
        <v>177.81013897609569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>
        <f>BD188*VLOOKUP('Données projet'!$B$11,Paramètres!$A$1:$I$89,3,0)*VLOOKUP('Données projet'!$B$11,Paramètres!$A$1:$I$89,5,0)</f>
        <v>0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144.01698107732989</v>
      </c>
      <c r="BJ188" s="59">
        <f t="shared" si="146"/>
        <v>139.28039875117332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1.6478108045485949</v>
      </c>
      <c r="BQ188" s="21">
        <f>EXP(-LN(2)/25)*BQ187+(1-EXP(-LN(2)/25))/(LN(2)/25)*Calculateur!BL188*Calculateur!BN188*VLOOKUP('Données projet'!$B$11,Paramètres!$A$1:$I$89,3,0)*0.475*44/12</f>
        <v>4.584953012680745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6.2327638172293396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-8.5265128291212022E-14</v>
      </c>
      <c r="BZ188" s="13">
        <f>BY188*VLOOKUP('Données projet'!$B$12,Paramètres!$A$1:$I$89,3,0)*VLOOKUP('Données projet'!$B$12,Paramètres!$A$1:$I$89,5,0)</f>
        <v>-6.9167072069831198E-14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72.953866894533007</v>
      </c>
      <c r="CE188" s="59">
        <f t="shared" si="148"/>
        <v>60.640359826163092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0</v>
      </c>
      <c r="CL188" s="21">
        <f>EXP(-LN(2)/25)*CL187+(1-EXP(-LN(2)/25))/(LN(2)/25)*Calculateur!CG188*Calculateur!CI188*VLOOKUP('Données projet'!$B$12,Paramètres!$A$1:$I$89,3,0)*0.475*44/12</f>
        <v>1.1615731830136222</v>
      </c>
      <c r="CM188" s="21">
        <f>EXP(-LN(2)/2)*CM187+(1-EXP(-LN(2)/2))/(LN(2)/2)*CG188*CJ188*VLOOKUP('Données projet'!$B$12,Paramètres!$A$1:$I$89,3,0)*0.475*44/12</f>
        <v>1.2583382373871596E-13</v>
      </c>
      <c r="CN188" s="22">
        <f t="shared" si="172"/>
        <v>1.1615731830137481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4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517.81389248354799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-1.7053025658242404E-13</v>
      </c>
      <c r="O189" s="13">
        <f>N189*VLOOKUP('Données projet'!$B$9,Paramètres!$A$1:$I$89,3,0)*VLOOKUP('Données projet'!$B$9,Paramètres!$A$1:$I$89,5,0)</f>
        <v>-1.0197709343628959E-13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235.90365770026909</v>
      </c>
      <c r="T189" s="59">
        <f t="shared" si="142"/>
        <v>348.09952585694253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8.154690896735767</v>
      </c>
      <c r="AA189" s="21">
        <f>EXP(-LN(2)/25)*AA188+(1-EXP(-LN(2)/25))/(LN(2)/25)*Calculateur!V189*Calculateur!X189*VLOOKUP('Données projet'!$B$9,Paramètres!$A$1:$I$89,3,0)*0.475*44/12</f>
        <v>0.97703886666262085</v>
      </c>
      <c r="AB189" s="21">
        <f>EXP(-LN(2)/2)*AB188+(1-EXP(-LN(2)/2))/(LN(2)/2)*V189*Y189*VLOOKUP('Données projet'!$B$9,Paramètres!$A$1:$I$89,3,0)*0.475*44/12</f>
        <v>4.1105504542831508E-20</v>
      </c>
      <c r="AC189" s="22">
        <f t="shared" si="163"/>
        <v>9.131729763398388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7.9580786405131221E-13</v>
      </c>
      <c r="AJ189" s="13">
        <f>AI189*VLOOKUP('Données projet'!$B$10,Paramètres!$A$1:$I$89,3,0)*VLOOKUP('Données projet'!$B$10,Paramètres!$A$1:$I$89,5,0)</f>
        <v>7.2004695539362725E-13</v>
      </c>
      <c r="AK189" s="13">
        <f t="shared" si="164"/>
        <v>8.5963894794935589E-12</v>
      </c>
      <c r="AL189" s="20">
        <f t="shared" si="165"/>
        <v>1.6226126790761848E-11</v>
      </c>
      <c r="AM189" s="59">
        <f t="shared" si="113"/>
        <v>293.33333333334951</v>
      </c>
      <c r="AN189" s="59">
        <f ca="1">AVERAGE(OFFSET($AM$3,0,0,'Données projet'!$E$10+1,1))-AVERAGE(OFFSET($H$3,0,0,'Données projet'!$E$10+1,1))</f>
        <v>490.21869105612649</v>
      </c>
      <c r="AO189" s="59">
        <f t="shared" si="144"/>
        <v>207.08773997010911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145.24038459878517</v>
      </c>
      <c r="AV189" s="21">
        <f>EXP(-LN(2)/25)*AV188+(1-EXP(-LN(2)/25))/(LN(2)/25)*Calculateur!AQ189*Calculateur!AS189*VLOOKUP('Données projet'!$B$10,Paramètres!$A$1:$I$89,3,0)*0.475*44/12</f>
        <v>23.686464837685246</v>
      </c>
      <c r="AW189" s="21">
        <f>EXP(-LN(2)/2)*AW188+(1-EXP(-LN(2)/2))/(LN(2)/2)*AQ189*AT189*VLOOKUP('Données projet'!$B$10,Paramètres!$A$1:$I$89,3,0)*0.475*44/12</f>
        <v>3.7563852232046777</v>
      </c>
      <c r="AX189" s="21">
        <f t="shared" si="166"/>
        <v>172.68323465967509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>
        <f>BD189*VLOOKUP('Données projet'!$B$11,Paramètres!$A$1:$I$89,3,0)*VLOOKUP('Données projet'!$B$11,Paramètres!$A$1:$I$89,5,0)</f>
        <v>0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144.01698107732989</v>
      </c>
      <c r="BJ189" s="59">
        <f t="shared" si="146"/>
        <v>139.28039875117332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1.6154982397367457</v>
      </c>
      <c r="BQ189" s="21">
        <f>EXP(-LN(2)/25)*BQ188+(1-EXP(-LN(2)/25))/(LN(2)/25)*Calculateur!BL189*Calculateur!BN189*VLOOKUP('Données projet'!$B$11,Paramètres!$A$1:$I$89,3,0)*0.475*44/12</f>
        <v>4.4595772314367901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6.0750754711735357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-8.5265128291212022E-14</v>
      </c>
      <c r="BZ189" s="13">
        <f>BY189*VLOOKUP('Données projet'!$B$12,Paramètres!$A$1:$I$89,3,0)*VLOOKUP('Données projet'!$B$12,Paramètres!$A$1:$I$89,5,0)</f>
        <v>-6.9167072069831198E-14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72.953866894533007</v>
      </c>
      <c r="CE189" s="59">
        <f t="shared" si="148"/>
        <v>60.640359826163092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0</v>
      </c>
      <c r="CL189" s="21">
        <f>EXP(-LN(2)/25)*CL188+(1-EXP(-LN(2)/25))/(LN(2)/25)*Calculateur!CG189*Calculateur!CI189*VLOOKUP('Données projet'!$B$12,Paramètres!$A$1:$I$89,3,0)*0.475*44/12</f>
        <v>1.1298099032396358</v>
      </c>
      <c r="CM189" s="21">
        <f>EXP(-LN(2)/2)*CM188+(1-EXP(-LN(2)/2))/(LN(2)/2)*CG189*CJ189*VLOOKUP('Données projet'!$B$12,Paramètres!$A$1:$I$89,3,0)*0.475*44/12</f>
        <v>8.897795006827882E-14</v>
      </c>
      <c r="CN189" s="22">
        <f t="shared" si="172"/>
        <v>1.1298099032397249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4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518.99091578799244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-1.7053025658242404E-13</v>
      </c>
      <c r="O190" s="13">
        <f>N190*VLOOKUP('Données projet'!$B$9,Paramètres!$A$1:$I$89,3,0)*VLOOKUP('Données projet'!$B$9,Paramètres!$A$1:$I$89,5,0)</f>
        <v>-1.0197709343628959E-13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235.90365770026909</v>
      </c>
      <c r="T190" s="59">
        <f t="shared" si="142"/>
        <v>348.09952585694253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7.9947823821210964</v>
      </c>
      <c r="AA190" s="21">
        <f>EXP(-LN(2)/25)*AA189+(1-EXP(-LN(2)/25))/(LN(2)/25)*Calculateur!V190*Calculateur!X190*VLOOKUP('Données projet'!$B$9,Paramètres!$A$1:$I$89,3,0)*0.475*44/12</f>
        <v>0.95032168747349055</v>
      </c>
      <c r="AB190" s="21">
        <f>EXP(-LN(2)/2)*AB189+(1-EXP(-LN(2)/2))/(LN(2)/2)*V190*Y190*VLOOKUP('Données projet'!$B$9,Paramètres!$A$1:$I$89,3,0)*0.475*44/12</f>
        <v>2.9065981006330594E-20</v>
      </c>
      <c r="AC190" s="22">
        <f t="shared" si="163"/>
        <v>8.9451040695945867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7.9580786405131221E-13</v>
      </c>
      <c r="AJ190" s="13">
        <f>AI190*VLOOKUP('Données projet'!$B$10,Paramètres!$A$1:$I$89,3,0)*VLOOKUP('Données projet'!$B$10,Paramètres!$A$1:$I$89,5,0)</f>
        <v>7.2004695539362725E-13</v>
      </c>
      <c r="AK190" s="13">
        <f t="shared" si="164"/>
        <v>8.5963894794935589E-12</v>
      </c>
      <c r="AL190" s="20">
        <f t="shared" si="165"/>
        <v>1.6226126790761848E-11</v>
      </c>
      <c r="AM190" s="59">
        <f t="shared" si="113"/>
        <v>293.33333333334951</v>
      </c>
      <c r="AN190" s="59">
        <f ca="1">AVERAGE(OFFSET($AM$3,0,0,'Données projet'!$E$10+1,1))-AVERAGE(OFFSET($H$3,0,0,'Données projet'!$E$10+1,1))</f>
        <v>490.21869105612649</v>
      </c>
      <c r="AO190" s="59">
        <f t="shared" si="144"/>
        <v>207.08773997010911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142.39230924469027</v>
      </c>
      <c r="AV190" s="21">
        <f>EXP(-LN(2)/25)*AV189+(1-EXP(-LN(2)/25))/(LN(2)/25)*Calculateur!AQ190*Calculateur!AS190*VLOOKUP('Données projet'!$B$10,Paramètres!$A$1:$I$89,3,0)*0.475*44/12</f>
        <v>23.038757211081695</v>
      </c>
      <c r="AW190" s="21">
        <f>EXP(-LN(2)/2)*AW189+(1-EXP(-LN(2)/2))/(LN(2)/2)*AQ190*AT190*VLOOKUP('Données projet'!$B$10,Paramètres!$A$1:$I$89,3,0)*0.475*44/12</f>
        <v>2.6561654640769707</v>
      </c>
      <c r="AX190" s="21">
        <f t="shared" si="166"/>
        <v>168.08723191984893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>
        <f>BD190*VLOOKUP('Données projet'!$B$11,Paramètres!$A$1:$I$89,3,0)*VLOOKUP('Données projet'!$B$11,Paramètres!$A$1:$I$89,5,0)</f>
        <v>0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144.01698107732989</v>
      </c>
      <c r="BJ190" s="59">
        <f t="shared" si="146"/>
        <v>139.28039875117332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1.5838193046121385</v>
      </c>
      <c r="BQ190" s="21">
        <f>EXP(-LN(2)/25)*BQ189+(1-EXP(-LN(2)/25))/(LN(2)/25)*Calculateur!BL190*Calculateur!BN190*VLOOKUP('Données projet'!$B$11,Paramètres!$A$1:$I$89,3,0)*0.475*44/12</f>
        <v>4.3376298575241767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5.921449162136315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-8.5265128291212022E-14</v>
      </c>
      <c r="BZ190" s="13">
        <f>BY190*VLOOKUP('Données projet'!$B$12,Paramètres!$A$1:$I$89,3,0)*VLOOKUP('Données projet'!$B$12,Paramètres!$A$1:$I$89,5,0)</f>
        <v>-6.9167072069831198E-14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72.953866894533007</v>
      </c>
      <c r="CE190" s="59">
        <f t="shared" si="148"/>
        <v>60.640359826163092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0</v>
      </c>
      <c r="CL190" s="21">
        <f>EXP(-LN(2)/25)*CL189+(1-EXP(-LN(2)/25))/(LN(2)/25)*Calculateur!CG190*Calculateur!CI190*VLOOKUP('Données projet'!$B$12,Paramètres!$A$1:$I$89,3,0)*0.475*44/12</f>
        <v>1.0989151920214273</v>
      </c>
      <c r="CM190" s="21">
        <f>EXP(-LN(2)/2)*CM189+(1-EXP(-LN(2)/2))/(LN(2)/2)*CG190*CJ190*VLOOKUP('Données projet'!$B$12,Paramètres!$A$1:$I$89,3,0)*0.475*44/12</f>
        <v>6.2916911869357981E-14</v>
      </c>
      <c r="CN190" s="22">
        <f t="shared" si="172"/>
        <v>1.0989151920214901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4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520.16779841395021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-1.7053025658242404E-13</v>
      </c>
      <c r="O191" s="13">
        <f>N191*VLOOKUP('Données projet'!$B$9,Paramètres!$A$1:$I$89,3,0)*VLOOKUP('Données projet'!$B$9,Paramètres!$A$1:$I$89,5,0)</f>
        <v>-1.0197709343628959E-13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235.90365770026909</v>
      </c>
      <c r="T191" s="59">
        <f t="shared" si="142"/>
        <v>348.09952585694253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7.8380095759434569</v>
      </c>
      <c r="AA191" s="21">
        <f>EXP(-LN(2)/25)*AA190+(1-EXP(-LN(2)/25))/(LN(2)/25)*Calculateur!V191*Calculateur!X191*VLOOKUP('Données projet'!$B$9,Paramètres!$A$1:$I$89,3,0)*0.475*44/12</f>
        <v>0.92433509095428235</v>
      </c>
      <c r="AB191" s="21">
        <f>EXP(-LN(2)/2)*AB190+(1-EXP(-LN(2)/2))/(LN(2)/2)*V191*Y191*VLOOKUP('Données projet'!$B$9,Paramètres!$A$1:$I$89,3,0)*0.475*44/12</f>
        <v>2.0552752271415754E-20</v>
      </c>
      <c r="AC191" s="22">
        <f t="shared" si="163"/>
        <v>8.7623446668977394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7.9580786405131221E-13</v>
      </c>
      <c r="AJ191" s="13">
        <f>AI191*VLOOKUP('Données projet'!$B$10,Paramètres!$A$1:$I$89,3,0)*VLOOKUP('Données projet'!$B$10,Paramètres!$A$1:$I$89,5,0)</f>
        <v>7.2004695539362725E-13</v>
      </c>
      <c r="AK191" s="13">
        <f t="shared" si="164"/>
        <v>8.5963894794935589E-12</v>
      </c>
      <c r="AL191" s="20">
        <f t="shared" si="165"/>
        <v>1.6226126790761848E-11</v>
      </c>
      <c r="AM191" s="59">
        <f t="shared" si="113"/>
        <v>293.33333333334951</v>
      </c>
      <c r="AN191" s="59">
        <f ca="1">AVERAGE(OFFSET($AM$3,0,0,'Données projet'!$E$10+1,1))-AVERAGE(OFFSET($H$3,0,0,'Données projet'!$E$10+1,1))</f>
        <v>490.21869105612649</v>
      </c>
      <c r="AO191" s="59">
        <f t="shared" si="144"/>
        <v>207.08773997010911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139.60008291113473</v>
      </c>
      <c r="AV191" s="21">
        <f>EXP(-LN(2)/25)*AV190+(1-EXP(-LN(2)/25))/(LN(2)/25)*Calculateur!AQ191*Calculateur!AS191*VLOOKUP('Données projet'!$B$10,Paramètres!$A$1:$I$89,3,0)*0.475*44/12</f>
        <v>22.408761183589078</v>
      </c>
      <c r="AW191" s="21">
        <f>EXP(-LN(2)/2)*AW190+(1-EXP(-LN(2)/2))/(LN(2)/2)*AQ191*AT191*VLOOKUP('Données projet'!$B$10,Paramètres!$A$1:$I$89,3,0)*0.475*44/12</f>
        <v>1.8781926116023391</v>
      </c>
      <c r="AX191" s="21">
        <f t="shared" si="166"/>
        <v>163.88703670632617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>
        <f>BD191*VLOOKUP('Données projet'!$B$11,Paramètres!$A$1:$I$89,3,0)*VLOOKUP('Données projet'!$B$11,Paramètres!$A$1:$I$89,5,0)</f>
        <v>0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144.01698107732989</v>
      </c>
      <c r="BJ191" s="59">
        <f t="shared" si="146"/>
        <v>139.28039875117332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1.5527615740830822</v>
      </c>
      <c r="BQ191" s="21">
        <f>EXP(-LN(2)/25)*BQ190+(1-EXP(-LN(2)/25))/(LN(2)/25)*Calculateur!BL191*Calculateur!BN191*VLOOKUP('Données projet'!$B$11,Paramètres!$A$1:$I$89,3,0)*0.475*44/12</f>
        <v>4.2190171409641373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5.7717787150472191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-8.5265128291212022E-14</v>
      </c>
      <c r="BZ191" s="13">
        <f>BY191*VLOOKUP('Données projet'!$B$12,Paramètres!$A$1:$I$89,3,0)*VLOOKUP('Données projet'!$B$12,Paramètres!$A$1:$I$89,5,0)</f>
        <v>-6.9167072069831198E-14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72.953866894533007</v>
      </c>
      <c r="CE191" s="59">
        <f t="shared" si="148"/>
        <v>60.640359826163092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0</v>
      </c>
      <c r="CL191" s="21">
        <f>EXP(-LN(2)/25)*CL190+(1-EXP(-LN(2)/25))/(LN(2)/25)*Calculateur!CG191*Calculateur!CI191*VLOOKUP('Données projet'!$B$12,Paramètres!$A$1:$I$89,3,0)*0.475*44/12</f>
        <v>1.0688652983061631</v>
      </c>
      <c r="CM191" s="21">
        <f>EXP(-LN(2)/2)*CM190+(1-EXP(-LN(2)/2))/(LN(2)/2)*CG191*CJ191*VLOOKUP('Données projet'!$B$12,Paramètres!$A$1:$I$89,3,0)*0.475*44/12</f>
        <v>4.448897503413941E-14</v>
      </c>
      <c r="CN191" s="22">
        <f t="shared" si="172"/>
        <v>1.0688652983062075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4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521.34454119656175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-1.7053025658242404E-13</v>
      </c>
      <c r="O192" s="13">
        <f>N192*VLOOKUP('Données projet'!$B$9,Paramètres!$A$1:$I$89,3,0)*VLOOKUP('Données projet'!$B$9,Paramètres!$A$1:$I$89,5,0)</f>
        <v>-1.0197709343628959E-13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235.90365770026909</v>
      </c>
      <c r="T192" s="59">
        <f t="shared" si="142"/>
        <v>348.09952585694253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7.6843109888729906</v>
      </c>
      <c r="AA192" s="21">
        <f>EXP(-LN(2)/25)*AA191+(1-EXP(-LN(2)/25))/(LN(2)/25)*Calculateur!V192*Calculateur!X192*VLOOKUP('Données projet'!$B$9,Paramètres!$A$1:$I$89,3,0)*0.475*44/12</f>
        <v>0.89905909928346761</v>
      </c>
      <c r="AB192" s="21">
        <f>EXP(-LN(2)/2)*AB191+(1-EXP(-LN(2)/2))/(LN(2)/2)*V192*Y192*VLOOKUP('Données projet'!$B$9,Paramètres!$A$1:$I$89,3,0)*0.475*44/12</f>
        <v>1.4532990503165297E-20</v>
      </c>
      <c r="AC192" s="22">
        <f t="shared" si="163"/>
        <v>8.5833700881564585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7.9580786405131221E-13</v>
      </c>
      <c r="AJ192" s="13">
        <f>AI192*VLOOKUP('Données projet'!$B$10,Paramètres!$A$1:$I$89,3,0)*VLOOKUP('Données projet'!$B$10,Paramètres!$A$1:$I$89,5,0)</f>
        <v>7.2004695539362725E-13</v>
      </c>
      <c r="AK192" s="13">
        <f t="shared" si="164"/>
        <v>8.5963894794935589E-12</v>
      </c>
      <c r="AL192" s="20">
        <f t="shared" si="165"/>
        <v>1.6226126790761848E-11</v>
      </c>
      <c r="AM192" s="59">
        <f t="shared" si="113"/>
        <v>293.33333333334951</v>
      </c>
      <c r="AN192" s="59">
        <f ca="1">AVERAGE(OFFSET($AM$3,0,0,'Données projet'!$E$10+1,1))-AVERAGE(OFFSET($H$3,0,0,'Données projet'!$E$10+1,1))</f>
        <v>490.21869105612649</v>
      </c>
      <c r="AO192" s="59">
        <f t="shared" si="144"/>
        <v>207.08773997010911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136.86261043289034</v>
      </c>
      <c r="AV192" s="21">
        <f>EXP(-LN(2)/25)*AV191+(1-EXP(-LN(2)/25))/(LN(2)/25)*Calculateur!AQ192*Calculateur!AS192*VLOOKUP('Données projet'!$B$10,Paramètres!$A$1:$I$89,3,0)*0.475*44/12</f>
        <v>21.7959924305983</v>
      </c>
      <c r="AW192" s="21">
        <f>EXP(-LN(2)/2)*AW191+(1-EXP(-LN(2)/2))/(LN(2)/2)*AQ192*AT192*VLOOKUP('Données projet'!$B$10,Paramètres!$A$1:$I$89,3,0)*0.475*44/12</f>
        <v>1.3280827320384856</v>
      </c>
      <c r="AX192" s="21">
        <f t="shared" si="166"/>
        <v>159.98668559552712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>
        <f>BD192*VLOOKUP('Données projet'!$B$11,Paramètres!$A$1:$I$89,3,0)*VLOOKUP('Données projet'!$B$11,Paramètres!$A$1:$I$89,5,0)</f>
        <v>0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144.01698107732989</v>
      </c>
      <c r="BJ192" s="59">
        <f t="shared" si="146"/>
        <v>139.28039875117332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1.5223128667063557</v>
      </c>
      <c r="BQ192" s="21">
        <f>EXP(-LN(2)/25)*BQ191+(1-EXP(-LN(2)/25))/(LN(2)/25)*Calculateur!BL192*Calculateur!BN192*VLOOKUP('Données projet'!$B$11,Paramètres!$A$1:$I$89,3,0)*0.475*44/12</f>
        <v>4.1036478953760041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5.62596076208236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-8.5265128291212022E-14</v>
      </c>
      <c r="BZ192" s="13">
        <f>BY192*VLOOKUP('Données projet'!$B$12,Paramètres!$A$1:$I$89,3,0)*VLOOKUP('Données projet'!$B$12,Paramètres!$A$1:$I$89,5,0)</f>
        <v>-6.9167072069831198E-14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72.953866894533007</v>
      </c>
      <c r="CE192" s="59">
        <f t="shared" si="148"/>
        <v>60.640359826163092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0</v>
      </c>
      <c r="CL192" s="21">
        <f>EXP(-LN(2)/25)*CL191+(1-EXP(-LN(2)/25))/(LN(2)/25)*Calculateur!CG192*Calculateur!CI192*VLOOKUP('Données projet'!$B$12,Paramètres!$A$1:$I$89,3,0)*0.475*44/12</f>
        <v>1.0396371205147978</v>
      </c>
      <c r="CM192" s="21">
        <f>EXP(-LN(2)/2)*CM191+(1-EXP(-LN(2)/2))/(LN(2)/2)*CG192*CJ192*VLOOKUP('Données projet'!$B$12,Paramètres!$A$1:$I$89,3,0)*0.475*44/12</f>
        <v>3.1458455934678991E-14</v>
      </c>
      <c r="CN192" s="22">
        <f t="shared" si="172"/>
        <v>1.0396371205148294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4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522.52114496161767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-1.7053025658242404E-13</v>
      </c>
      <c r="O193" s="13">
        <f>N193*VLOOKUP('Données projet'!$B$9,Paramètres!$A$1:$I$89,3,0)*VLOOKUP('Données projet'!$B$9,Paramètres!$A$1:$I$89,5,0)</f>
        <v>-1.0197709343628959E-13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235.90365770026909</v>
      </c>
      <c r="T193" s="59">
        <f t="shared" si="142"/>
        <v>348.09952585694253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7.5336263373480952</v>
      </c>
      <c r="AA193" s="21">
        <f>EXP(-LN(2)/25)*AA192+(1-EXP(-LN(2)/25))/(LN(2)/25)*Calculateur!V193*Calculateur!X193*VLOOKUP('Données projet'!$B$9,Paramètres!$A$1:$I$89,3,0)*0.475*44/12</f>
        <v>0.87447428093409796</v>
      </c>
      <c r="AB193" s="21">
        <f>EXP(-LN(2)/2)*AB192+(1-EXP(-LN(2)/2))/(LN(2)/2)*V193*Y193*VLOOKUP('Données projet'!$B$9,Paramètres!$A$1:$I$89,3,0)*0.475*44/12</f>
        <v>1.0276376135707877E-20</v>
      </c>
      <c r="AC193" s="22">
        <f t="shared" si="163"/>
        <v>8.4081006182821927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7.9580786405131221E-13</v>
      </c>
      <c r="AJ193" s="13">
        <f>AI193*VLOOKUP('Données projet'!$B$10,Paramètres!$A$1:$I$89,3,0)*VLOOKUP('Données projet'!$B$10,Paramètres!$A$1:$I$89,5,0)</f>
        <v>7.2004695539362725E-13</v>
      </c>
      <c r="AK193" s="13">
        <f t="shared" si="164"/>
        <v>8.5963894794935589E-12</v>
      </c>
      <c r="AL193" s="20">
        <f t="shared" si="165"/>
        <v>1.6226126790761848E-11</v>
      </c>
      <c r="AM193" s="59">
        <f t="shared" si="113"/>
        <v>293.33333333334951</v>
      </c>
      <c r="AN193" s="59">
        <f ca="1">AVERAGE(OFFSET($AM$3,0,0,'Données projet'!$E$10+1,1))-AVERAGE(OFFSET($H$3,0,0,'Données projet'!$E$10+1,1))</f>
        <v>490.21869105612649</v>
      </c>
      <c r="AO193" s="59">
        <f t="shared" si="144"/>
        <v>207.08773997010911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134.17881812025095</v>
      </c>
      <c r="AV193" s="21">
        <f>EXP(-LN(2)/25)*AV192+(1-EXP(-LN(2)/25))/(LN(2)/25)*Calculateur!AQ193*Calculateur!AS193*VLOOKUP('Données projet'!$B$10,Paramètres!$A$1:$I$89,3,0)*0.475*44/12</f>
        <v>21.199979871382162</v>
      </c>
      <c r="AW193" s="21">
        <f>EXP(-LN(2)/2)*AW192+(1-EXP(-LN(2)/2))/(LN(2)/2)*AQ193*AT193*VLOOKUP('Données projet'!$B$10,Paramètres!$A$1:$I$89,3,0)*0.475*44/12</f>
        <v>0.93909630580116976</v>
      </c>
      <c r="AX193" s="21">
        <f t="shared" si="166"/>
        <v>156.31789429743429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>
        <f>BD193*VLOOKUP('Données projet'!$B$11,Paramètres!$A$1:$I$89,3,0)*VLOOKUP('Données projet'!$B$11,Paramètres!$A$1:$I$89,5,0)</f>
        <v>0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144.01698107732989</v>
      </c>
      <c r="BJ193" s="59">
        <f t="shared" si="146"/>
        <v>139.28039875117332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1.492461239909409</v>
      </c>
      <c r="BQ193" s="21">
        <f>EXP(-LN(2)/25)*BQ192+(1-EXP(-LN(2)/25))/(LN(2)/25)*Calculateur!BL193*Calculateur!BN193*VLOOKUP('Données projet'!$B$11,Paramètres!$A$1:$I$89,3,0)*0.475*44/12</f>
        <v>3.9914334278754833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5.4838946677848925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-8.5265128291212022E-14</v>
      </c>
      <c r="BZ193" s="13">
        <f>BY193*VLOOKUP('Données projet'!$B$12,Paramètres!$A$1:$I$89,3,0)*VLOOKUP('Données projet'!$B$12,Paramètres!$A$1:$I$89,5,0)</f>
        <v>-6.9167072069831198E-14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72.953866894533007</v>
      </c>
      <c r="CE193" s="59">
        <f t="shared" si="148"/>
        <v>60.640359826163092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0</v>
      </c>
      <c r="CL193" s="21">
        <f>EXP(-LN(2)/25)*CL192+(1-EXP(-LN(2)/25))/(LN(2)/25)*Calculateur!CG193*Calculateur!CI193*VLOOKUP('Données projet'!$B$12,Paramètres!$A$1:$I$89,3,0)*0.475*44/12</f>
        <v>1.0112081887821807</v>
      </c>
      <c r="CM193" s="21">
        <f>EXP(-LN(2)/2)*CM192+(1-EXP(-LN(2)/2))/(LN(2)/2)*CG193*CJ193*VLOOKUP('Données projet'!$B$12,Paramètres!$A$1:$I$89,3,0)*0.475*44/12</f>
        <v>2.2244487517069705E-14</v>
      </c>
      <c r="CN193" s="22">
        <f t="shared" si="172"/>
        <v>1.0112081887822029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4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523.69761052571369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-1.7053025658242404E-13</v>
      </c>
      <c r="O194" s="13">
        <f>N194*VLOOKUP('Données projet'!$B$9,Paramètres!$A$1:$I$89,3,0)*VLOOKUP('Données projet'!$B$9,Paramètres!$A$1:$I$89,5,0)</f>
        <v>-1.0197709343628959E-13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235.90365770026909</v>
      </c>
      <c r="T194" s="59">
        <f t="shared" si="142"/>
        <v>348.09952585694253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7.3858965199310402</v>
      </c>
      <c r="AA194" s="21">
        <f>EXP(-LN(2)/25)*AA193+(1-EXP(-LN(2)/25))/(LN(2)/25)*Calculateur!V194*Calculateur!X194*VLOOKUP('Données projet'!$B$9,Paramètres!$A$1:$I$89,3,0)*0.475*44/12</f>
        <v>0.85056173573535121</v>
      </c>
      <c r="AB194" s="21">
        <f>EXP(-LN(2)/2)*AB193+(1-EXP(-LN(2)/2))/(LN(2)/2)*V194*Y194*VLOOKUP('Données projet'!$B$9,Paramètres!$A$1:$I$89,3,0)*0.475*44/12</f>
        <v>7.2664952515826486E-21</v>
      </c>
      <c r="AC194" s="22">
        <f t="shared" si="163"/>
        <v>8.2364582556663919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7.9580786405131221E-13</v>
      </c>
      <c r="AJ194" s="13">
        <f>AI194*VLOOKUP('Données projet'!$B$10,Paramètres!$A$1:$I$89,3,0)*VLOOKUP('Données projet'!$B$10,Paramètres!$A$1:$I$89,5,0)</f>
        <v>7.2004695539362725E-13</v>
      </c>
      <c r="AK194" s="13">
        <f t="shared" si="164"/>
        <v>8.5963894794935589E-12</v>
      </c>
      <c r="AL194" s="20">
        <f t="shared" si="165"/>
        <v>1.6226126790761848E-11</v>
      </c>
      <c r="AM194" s="59">
        <f t="shared" si="113"/>
        <v>293.33333333334951</v>
      </c>
      <c r="AN194" s="59">
        <f ca="1">AVERAGE(OFFSET($AM$3,0,0,'Données projet'!$E$10+1,1))-AVERAGE(OFFSET($H$3,0,0,'Données projet'!$E$10+1,1))</f>
        <v>490.21869105612649</v>
      </c>
      <c r="AO194" s="59">
        <f t="shared" si="144"/>
        <v>207.08773997010911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131.54765333791076</v>
      </c>
      <c r="AV194" s="21">
        <f>EXP(-LN(2)/25)*AV193+(1-EXP(-LN(2)/25))/(LN(2)/25)*Calculateur!AQ194*Calculateur!AS194*VLOOKUP('Données projet'!$B$10,Paramètres!$A$1:$I$89,3,0)*0.475*44/12</f>
        <v>20.620265306940727</v>
      </c>
      <c r="AW194" s="21">
        <f>EXP(-LN(2)/2)*AW193+(1-EXP(-LN(2)/2))/(LN(2)/2)*AQ194*AT194*VLOOKUP('Données projet'!$B$10,Paramètres!$A$1:$I$89,3,0)*0.475*44/12</f>
        <v>0.66404136601924291</v>
      </c>
      <c r="AX194" s="21">
        <f t="shared" si="166"/>
        <v>152.83196001087072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>
        <f>BD194*VLOOKUP('Données projet'!$B$11,Paramètres!$A$1:$I$89,3,0)*VLOOKUP('Données projet'!$B$11,Paramètres!$A$1:$I$89,5,0)</f>
        <v>0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144.01698107732989</v>
      </c>
      <c r="BJ194" s="59">
        <f t="shared" si="146"/>
        <v>139.28039875117332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1.463194985306256</v>
      </c>
      <c r="BQ194" s="21">
        <f>EXP(-LN(2)/25)*BQ193+(1-EXP(-LN(2)/25))/(LN(2)/25)*Calculateur!BL194*Calculateur!BN194*VLOOKUP('Données projet'!$B$11,Paramètres!$A$1:$I$89,3,0)*0.475*44/12</f>
        <v>3.8822874708898669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5.3454824561961232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-8.5265128291212022E-14</v>
      </c>
      <c r="BZ194" s="13">
        <f>BY194*VLOOKUP('Données projet'!$B$12,Paramètres!$A$1:$I$89,3,0)*VLOOKUP('Données projet'!$B$12,Paramètres!$A$1:$I$89,5,0)</f>
        <v>-6.9167072069831198E-14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72.953866894533007</v>
      </c>
      <c r="CE194" s="59">
        <f t="shared" si="148"/>
        <v>60.640359826163092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0</v>
      </c>
      <c r="CL194" s="21">
        <f>EXP(-LN(2)/25)*CL193+(1-EXP(-LN(2)/25))/(LN(2)/25)*Calculateur!CG194*Calculateur!CI194*VLOOKUP('Données projet'!$B$12,Paramètres!$A$1:$I$89,3,0)*0.475*44/12</f>
        <v>0.98355664768280449</v>
      </c>
      <c r="CM194" s="21">
        <f>EXP(-LN(2)/2)*CM193+(1-EXP(-LN(2)/2))/(LN(2)/2)*CG194*CJ194*VLOOKUP('Données projet'!$B$12,Paramètres!$A$1:$I$89,3,0)*0.475*44/12</f>
        <v>1.5729227967339495E-14</v>
      </c>
      <c r="CN194" s="22">
        <f t="shared" si="172"/>
        <v>0.98355664768282025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4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524.87393869639902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-1.7053025658242404E-13</v>
      </c>
      <c r="O195" s="13">
        <f>N195*VLOOKUP('Données projet'!$B$9,Paramètres!$A$1:$I$89,3,0)*VLOOKUP('Données projet'!$B$9,Paramètres!$A$1:$I$89,5,0)</f>
        <v>-1.0197709343628959E-13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235.90365770026909</v>
      </c>
      <c r="T195" s="59">
        <f t="shared" si="142"/>
        <v>348.09952585694253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7.241063594127243</v>
      </c>
      <c r="AA195" s="21">
        <f>EXP(-LN(2)/25)*AA194+(1-EXP(-LN(2)/25))/(LN(2)/25)*Calculateur!V195*Calculateur!X195*VLOOKUP('Données projet'!$B$9,Paramètres!$A$1:$I$89,3,0)*0.475*44/12</f>
        <v>0.82730308034257038</v>
      </c>
      <c r="AB195" s="21">
        <f>EXP(-LN(2)/2)*AB194+(1-EXP(-LN(2)/2))/(LN(2)/2)*V195*Y195*VLOOKUP('Données projet'!$B$9,Paramètres!$A$1:$I$89,3,0)*0.475*44/12</f>
        <v>5.1381880678539385E-21</v>
      </c>
      <c r="AC195" s="22">
        <f t="shared" si="163"/>
        <v>8.0683666744698126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7.9580786405131221E-13</v>
      </c>
      <c r="AJ195" s="13">
        <f>AI195*VLOOKUP('Données projet'!$B$10,Paramètres!$A$1:$I$89,3,0)*VLOOKUP('Données projet'!$B$10,Paramètres!$A$1:$I$89,5,0)</f>
        <v>7.2004695539362725E-13</v>
      </c>
      <c r="AK195" s="13">
        <f t="shared" si="164"/>
        <v>8.5963894794935589E-12</v>
      </c>
      <c r="AL195" s="20">
        <f t="shared" si="165"/>
        <v>1.6226126790761848E-11</v>
      </c>
      <c r="AM195" s="59">
        <f t="shared" si="113"/>
        <v>293.33333333334951</v>
      </c>
      <c r="AN195" s="59">
        <f ca="1">AVERAGE(OFFSET($AM$3,0,0,'Données projet'!$E$10+1,1))-AVERAGE(OFFSET($H$3,0,0,'Données projet'!$E$10+1,1))</f>
        <v>490.21869105612649</v>
      </c>
      <c r="AO195" s="59">
        <f t="shared" si="144"/>
        <v>207.08773997010911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128.96808409210021</v>
      </c>
      <c r="AV195" s="21">
        <f>EXP(-LN(2)/25)*AV194+(1-EXP(-LN(2)/25))/(LN(2)/25)*Calculateur!AQ195*Calculateur!AS195*VLOOKUP('Données projet'!$B$10,Paramètres!$A$1:$I$89,3,0)*0.475*44/12</f>
        <v>20.056403067749809</v>
      </c>
      <c r="AW195" s="21">
        <f>EXP(-LN(2)/2)*AW194+(1-EXP(-LN(2)/2))/(LN(2)/2)*AQ195*AT195*VLOOKUP('Données projet'!$B$10,Paramètres!$A$1:$I$89,3,0)*0.475*44/12</f>
        <v>0.46954815290058494</v>
      </c>
      <c r="AX195" s="21">
        <f t="shared" si="166"/>
        <v>149.49403531275061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>
        <f>BD195*VLOOKUP('Données projet'!$B$11,Paramètres!$A$1:$I$89,3,0)*VLOOKUP('Données projet'!$B$11,Paramètres!$A$1:$I$89,5,0)</f>
        <v>0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144.01698107732989</v>
      </c>
      <c r="BJ195" s="59">
        <f t="shared" si="146"/>
        <v>139.28039875117332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1.4345026241052181</v>
      </c>
      <c r="BQ195" s="21">
        <f>EXP(-LN(2)/25)*BQ194+(1-EXP(-LN(2)/25))/(LN(2)/25)*Calculateur!BL195*Calculateur!BN195*VLOOKUP('Données projet'!$B$11,Paramètres!$A$1:$I$89,3,0)*0.475*44/12</f>
        <v>3.7761261158377586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5.2106287399429769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-8.5265128291212022E-14</v>
      </c>
      <c r="BZ195" s="13">
        <f>BY195*VLOOKUP('Données projet'!$B$12,Paramètres!$A$1:$I$89,3,0)*VLOOKUP('Données projet'!$B$12,Paramètres!$A$1:$I$89,5,0)</f>
        <v>-6.9167072069831198E-14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72.953866894533007</v>
      </c>
      <c r="CE195" s="59">
        <f t="shared" si="148"/>
        <v>60.640359826163092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0</v>
      </c>
      <c r="CL195" s="21">
        <f>EXP(-LN(2)/25)*CL194+(1-EXP(-LN(2)/25))/(LN(2)/25)*Calculateur!CG195*Calculateur!CI195*VLOOKUP('Données projet'!$B$12,Paramètres!$A$1:$I$89,3,0)*0.475*44/12</f>
        <v>0.95666123942892201</v>
      </c>
      <c r="CM195" s="21">
        <f>EXP(-LN(2)/2)*CM194+(1-EXP(-LN(2)/2))/(LN(2)/2)*CG195*CJ195*VLOOKUP('Données projet'!$B$12,Paramètres!$A$1:$I$89,3,0)*0.475*44/12</f>
        <v>1.1122243758534853E-14</v>
      </c>
      <c r="CN195" s="22">
        <f t="shared" si="172"/>
        <v>0.95666123942893311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4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526.0501302723244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-1.7053025658242404E-13</v>
      </c>
      <c r="O196" s="13">
        <f>N196*VLOOKUP('Données projet'!$B$9,Paramètres!$A$1:$I$89,3,0)*VLOOKUP('Données projet'!$B$9,Paramètres!$A$1:$I$89,5,0)</f>
        <v>-1.0197709343628959E-13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235.90365770026909</v>
      </c>
      <c r="T196" s="59">
        <f t="shared" si="142"/>
        <v>348.09952585694253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7.0990707536590962</v>
      </c>
      <c r="AA196" s="21">
        <f>EXP(-LN(2)/25)*AA195+(1-EXP(-LN(2)/25))/(LN(2)/25)*Calculateur!V196*Calculateur!X196*VLOOKUP('Données projet'!$B$9,Paramètres!$A$1:$I$89,3,0)*0.475*44/12</f>
        <v>0.80468043410462464</v>
      </c>
      <c r="AB196" s="21">
        <f>EXP(-LN(2)/2)*AB195+(1-EXP(-LN(2)/2))/(LN(2)/2)*V196*Y196*VLOOKUP('Données projet'!$B$9,Paramètres!$A$1:$I$89,3,0)*0.475*44/12</f>
        <v>3.6332476257913243E-21</v>
      </c>
      <c r="AC196" s="22">
        <f t="shared" si="163"/>
        <v>7.9037511877637208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7.9580786405131221E-13</v>
      </c>
      <c r="AJ196" s="13">
        <f>AI196*VLOOKUP('Données projet'!$B$10,Paramètres!$A$1:$I$89,3,0)*VLOOKUP('Données projet'!$B$10,Paramètres!$A$1:$I$89,5,0)</f>
        <v>7.2004695539362725E-13</v>
      </c>
      <c r="AK196" s="13">
        <f t="shared" si="164"/>
        <v>8.5963894794935589E-12</v>
      </c>
      <c r="AL196" s="20">
        <f t="shared" si="165"/>
        <v>1.6226126790761848E-11</v>
      </c>
      <c r="AM196" s="59">
        <f t="shared" ref="AM196:AM203" si="193">AL196+(AD196+AE196)*44/12</f>
        <v>293.33333333334951</v>
      </c>
      <c r="AN196" s="59">
        <f ca="1">AVERAGE(OFFSET($AM$3,0,0,'Données projet'!$E$10+1,1))-AVERAGE(OFFSET($H$3,0,0,'Données projet'!$E$10+1,1))</f>
        <v>490.21869105612649</v>
      </c>
      <c r="AO196" s="59">
        <f t="shared" si="144"/>
        <v>207.08773997010911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126.43909862581812</v>
      </c>
      <c r="AV196" s="21">
        <f>EXP(-LN(2)/25)*AV195+(1-EXP(-LN(2)/25))/(LN(2)/25)*Calculateur!AQ196*Calculateur!AS196*VLOOKUP('Données projet'!$B$10,Paramètres!$A$1:$I$89,3,0)*0.475*44/12</f>
        <v>19.507959671141794</v>
      </c>
      <c r="AW196" s="21">
        <f>EXP(-LN(2)/2)*AW195+(1-EXP(-LN(2)/2))/(LN(2)/2)*AQ196*AT196*VLOOKUP('Données projet'!$B$10,Paramètres!$A$1:$I$89,3,0)*0.475*44/12</f>
        <v>0.33202068300962151</v>
      </c>
      <c r="AX196" s="21">
        <f t="shared" si="166"/>
        <v>146.27907897996954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>
        <f>BD196*VLOOKUP('Données projet'!$B$11,Paramètres!$A$1:$I$89,3,0)*VLOOKUP('Données projet'!$B$11,Paramètres!$A$1:$I$89,5,0)</f>
        <v>0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144.01698107732989</v>
      </c>
      <c r="BJ196" s="59">
        <f t="shared" si="146"/>
        <v>139.28039875117332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1.4063729026067204</v>
      </c>
      <c r="BQ196" s="21">
        <f>EXP(-LN(2)/25)*BQ195+(1-EXP(-LN(2)/25))/(LN(2)/25)*Calculateur!BL196*Calculateur!BN196*VLOOKUP('Données projet'!$B$11,Paramètres!$A$1:$I$89,3,0)*0.475*44/12</f>
        <v>3.6728677486223331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5.0792406512290533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-8.5265128291212022E-14</v>
      </c>
      <c r="BZ196" s="13">
        <f>BY196*VLOOKUP('Données projet'!$B$12,Paramètres!$A$1:$I$89,3,0)*VLOOKUP('Données projet'!$B$12,Paramètres!$A$1:$I$89,5,0)</f>
        <v>-6.9167072069831198E-14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72.953866894533007</v>
      </c>
      <c r="CE196" s="59">
        <f t="shared" si="148"/>
        <v>60.640359826163092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0</v>
      </c>
      <c r="CL196" s="21">
        <f>EXP(-LN(2)/25)*CL195+(1-EXP(-LN(2)/25))/(LN(2)/25)*Calculateur!CG196*Calculateur!CI196*VLOOKUP('Données projet'!$B$12,Paramètres!$A$1:$I$89,3,0)*0.475*44/12</f>
        <v>0.93050128752811001</v>
      </c>
      <c r="CM196" s="21">
        <f>EXP(-LN(2)/2)*CM195+(1-EXP(-LN(2)/2))/(LN(2)/2)*CG196*CJ196*VLOOKUP('Données projet'!$B$12,Paramètres!$A$1:$I$89,3,0)*0.475*44/12</f>
        <v>7.8646139836697477E-15</v>
      </c>
      <c r="CN196" s="22">
        <f t="shared" si="172"/>
        <v>0.93050128752811789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4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527.22618604338504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-1.7053025658242404E-13</v>
      </c>
      <c r="O197" s="13">
        <f>N197*VLOOKUP('Données projet'!$B$9,Paramètres!$A$1:$I$89,3,0)*VLOOKUP('Données projet'!$B$9,Paramètres!$A$1:$I$89,5,0)</f>
        <v>-1.0197709343628959E-13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235.90365770026909</v>
      </c>
      <c r="T197" s="59">
        <f t="shared" ref="T197:T203" si="204">$T$3</f>
        <v>348.09952585694253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6.9598623061854488</v>
      </c>
      <c r="AA197" s="21">
        <f>EXP(-LN(2)/25)*AA196+(1-EXP(-LN(2)/25))/(LN(2)/25)*Calculateur!V197*Calculateur!X197*VLOOKUP('Données projet'!$B$9,Paramètres!$A$1:$I$89,3,0)*0.475*44/12</f>
        <v>0.78267640531772875</v>
      </c>
      <c r="AB197" s="21">
        <f>EXP(-LN(2)/2)*AB196+(1-EXP(-LN(2)/2))/(LN(2)/2)*V197*Y197*VLOOKUP('Données projet'!$B$9,Paramètres!$A$1:$I$89,3,0)*0.475*44/12</f>
        <v>2.5690940339269693E-21</v>
      </c>
      <c r="AC197" s="22">
        <f t="shared" si="163"/>
        <v>7.7425387115031779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7.9580786405131221E-13</v>
      </c>
      <c r="AJ197" s="13">
        <f>AI197*VLOOKUP('Données projet'!$B$10,Paramètres!$A$1:$I$89,3,0)*VLOOKUP('Données projet'!$B$10,Paramètres!$A$1:$I$89,5,0)</f>
        <v>7.2004695539362725E-13</v>
      </c>
      <c r="AK197" s="13">
        <f t="shared" si="164"/>
        <v>8.5963894794935589E-12</v>
      </c>
      <c r="AL197" s="20">
        <f t="shared" si="165"/>
        <v>1.6226126790761848E-11</v>
      </c>
      <c r="AM197" s="59">
        <f t="shared" si="193"/>
        <v>293.33333333334951</v>
      </c>
      <c r="AN197" s="59">
        <f ca="1">AVERAGE(OFFSET($AM$3,0,0,'Données projet'!$E$10+1,1))-AVERAGE(OFFSET($H$3,0,0,'Données projet'!$E$10+1,1))</f>
        <v>490.21869105612649</v>
      </c>
      <c r="AO197" s="59">
        <f t="shared" ref="AO197:AO203" si="205">$AO$3</f>
        <v>207.08773997010911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123.959705022001</v>
      </c>
      <c r="AV197" s="21">
        <f>EXP(-LN(2)/25)*AV196+(1-EXP(-LN(2)/25))/(LN(2)/25)*Calculateur!AQ197*Calculateur!AS197*VLOOKUP('Données projet'!$B$10,Paramètres!$A$1:$I$89,3,0)*0.475*44/12</f>
        <v>18.974513488055408</v>
      </c>
      <c r="AW197" s="21">
        <f>EXP(-LN(2)/2)*AW196+(1-EXP(-LN(2)/2))/(LN(2)/2)*AQ197*AT197*VLOOKUP('Données projet'!$B$10,Paramètres!$A$1:$I$89,3,0)*0.475*44/12</f>
        <v>0.2347740764502925</v>
      </c>
      <c r="AX197" s="21">
        <f t="shared" si="166"/>
        <v>143.1689925865067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>
        <f>BD197*VLOOKUP('Données projet'!$B$11,Paramètres!$A$1:$I$89,3,0)*VLOOKUP('Données projet'!$B$11,Paramètres!$A$1:$I$89,5,0)</f>
        <v>0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144.01698107732989</v>
      </c>
      <c r="BJ197" s="59">
        <f t="shared" ref="BJ197:BJ203" si="206">$BJ$3</f>
        <v>139.28039875117332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1.3787947877893723</v>
      </c>
      <c r="BQ197" s="21">
        <f>EXP(-LN(2)/25)*BQ196+(1-EXP(-LN(2)/25))/(LN(2)/25)*Calculateur!BL197*Calculateur!BN197*VLOOKUP('Données projet'!$B$11,Paramètres!$A$1:$I$89,3,0)*0.475*44/12</f>
        <v>3.5724329868885349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4.951227774677907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-8.5265128291212022E-14</v>
      </c>
      <c r="BZ197" s="13">
        <f>BY197*VLOOKUP('Données projet'!$B$12,Paramètres!$A$1:$I$89,3,0)*VLOOKUP('Données projet'!$B$12,Paramètres!$A$1:$I$89,5,0)</f>
        <v>-6.9167072069831198E-14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72.953866894533007</v>
      </c>
      <c r="CE197" s="59">
        <f t="shared" ref="CE197:CE203" si="207">$CE$3</f>
        <v>60.640359826163092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0</v>
      </c>
      <c r="CL197" s="21">
        <f>EXP(-LN(2)/25)*CL196+(1-EXP(-LN(2)/25))/(LN(2)/25)*Calculateur!CG197*Calculateur!CI197*VLOOKUP('Données projet'!$B$12,Paramètres!$A$1:$I$89,3,0)*0.475*44/12</f>
        <v>0.90505668088771785</v>
      </c>
      <c r="CM197" s="21">
        <f>EXP(-LN(2)/2)*CM196+(1-EXP(-LN(2)/2))/(LN(2)/2)*CG197*CJ197*VLOOKUP('Données projet'!$B$12,Paramètres!$A$1:$I$89,3,0)*0.475*44/12</f>
        <v>5.5611218792674263E-15</v>
      </c>
      <c r="CN197" s="22">
        <f t="shared" si="172"/>
        <v>0.9050566808877234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4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528.40210679086135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-1.7053025658242404E-13</v>
      </c>
      <c r="O198" s="13">
        <f>N198*VLOOKUP('Données projet'!$B$9,Paramètres!$A$1:$I$89,3,0)*VLOOKUP('Données projet'!$B$9,Paramètres!$A$1:$I$89,5,0)</f>
        <v>-1.0197709343628959E-13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235.90365770026909</v>
      </c>
      <c r="T198" s="59">
        <f t="shared" si="204"/>
        <v>348.09952585694253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6.8233836514579904</v>
      </c>
      <c r="AA198" s="21">
        <f>EXP(-LN(2)/25)*AA197+(1-EXP(-LN(2)/25))/(LN(2)/25)*Calculateur!V198*Calculateur!X198*VLOOKUP('Données projet'!$B$9,Paramètres!$A$1:$I$89,3,0)*0.475*44/12</f>
        <v>0.76127407785515211</v>
      </c>
      <c r="AB198" s="21">
        <f>EXP(-LN(2)/2)*AB197+(1-EXP(-LN(2)/2))/(LN(2)/2)*V198*Y198*VLOOKUP('Données projet'!$B$9,Paramètres!$A$1:$I$89,3,0)*0.475*44/12</f>
        <v>1.8166238128956621E-21</v>
      </c>
      <c r="AC198" s="22">
        <f t="shared" si="163"/>
        <v>7.5846577293131423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7.9580786405131221E-13</v>
      </c>
      <c r="AJ198" s="13">
        <f>AI198*VLOOKUP('Données projet'!$B$10,Paramètres!$A$1:$I$89,3,0)*VLOOKUP('Données projet'!$B$10,Paramètres!$A$1:$I$89,5,0)</f>
        <v>7.2004695539362725E-13</v>
      </c>
      <c r="AK198" s="13">
        <f t="shared" si="164"/>
        <v>8.5963894794935589E-12</v>
      </c>
      <c r="AL198" s="20">
        <f t="shared" si="165"/>
        <v>1.6226126790761848E-11</v>
      </c>
      <c r="AM198" s="59">
        <f t="shared" si="193"/>
        <v>293.33333333334951</v>
      </c>
      <c r="AN198" s="59">
        <f ca="1">AVERAGE(OFFSET($AM$3,0,0,'Données projet'!$E$10+1,1))-AVERAGE(OFFSET($H$3,0,0,'Données projet'!$E$10+1,1))</f>
        <v>490.21869105612649</v>
      </c>
      <c r="AO198" s="59">
        <f t="shared" si="205"/>
        <v>207.08773997010911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121.52893081447397</v>
      </c>
      <c r="AV198" s="21">
        <f>EXP(-LN(2)/25)*AV197+(1-EXP(-LN(2)/25))/(LN(2)/25)*Calculateur!AQ198*Calculateur!AS198*VLOOKUP('Données projet'!$B$10,Paramètres!$A$1:$I$89,3,0)*0.475*44/12</f>
        <v>18.455654418898234</v>
      </c>
      <c r="AW198" s="21">
        <f>EXP(-LN(2)/2)*AW197+(1-EXP(-LN(2)/2))/(LN(2)/2)*AQ198*AT198*VLOOKUP('Données projet'!$B$10,Paramètres!$A$1:$I$89,3,0)*0.475*44/12</f>
        <v>0.16601034150481075</v>
      </c>
      <c r="AX198" s="21">
        <f t="shared" si="166"/>
        <v>140.150595574877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>
        <f>BD198*VLOOKUP('Données projet'!$B$11,Paramètres!$A$1:$I$89,3,0)*VLOOKUP('Données projet'!$B$11,Paramètres!$A$1:$I$89,5,0)</f>
        <v>0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144.01698107732989</v>
      </c>
      <c r="BJ198" s="59">
        <f t="shared" si="206"/>
        <v>139.28039875117332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1.3517574629826032</v>
      </c>
      <c r="BQ198" s="21">
        <f>EXP(-LN(2)/25)*BQ197+(1-EXP(-LN(2)/25))/(LN(2)/25)*Calculateur!BL198*Calculateur!BN198*VLOOKUP('Données projet'!$B$11,Paramètres!$A$1:$I$89,3,0)*0.475*44/12</f>
        <v>3.4747446189959823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4.8265020819785853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-8.5265128291212022E-14</v>
      </c>
      <c r="BZ198" s="13">
        <f>BY198*VLOOKUP('Données projet'!$B$12,Paramètres!$A$1:$I$89,3,0)*VLOOKUP('Données projet'!$B$12,Paramètres!$A$1:$I$89,5,0)</f>
        <v>-6.9167072069831198E-14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72.953866894533007</v>
      </c>
      <c r="CE198" s="59">
        <f t="shared" si="207"/>
        <v>60.640359826163092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0</v>
      </c>
      <c r="CL198" s="21">
        <f>EXP(-LN(2)/25)*CL197+(1-EXP(-LN(2)/25))/(LN(2)/25)*Calculateur!CG198*Calculateur!CI198*VLOOKUP('Données projet'!$B$12,Paramètres!$A$1:$I$89,3,0)*0.475*44/12</f>
        <v>0.88030785835398084</v>
      </c>
      <c r="CM198" s="21">
        <f>EXP(-LN(2)/2)*CM197+(1-EXP(-LN(2)/2))/(LN(2)/2)*CG198*CJ198*VLOOKUP('Données projet'!$B$12,Paramètres!$A$1:$I$89,3,0)*0.475*44/12</f>
        <v>3.9323069918348738E-15</v>
      </c>
      <c r="CN198" s="22">
        <f t="shared" si="172"/>
        <v>0.88030785835398473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4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529.57789328755689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-1.7053025658242404E-13</v>
      </c>
      <c r="O199" s="13">
        <f>N199*VLOOKUP('Données projet'!$B$9,Paramètres!$A$1:$I$89,3,0)*VLOOKUP('Données projet'!$B$9,Paramètres!$A$1:$I$89,5,0)</f>
        <v>-1.0197709343628959E-13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235.90365770026909</v>
      </c>
      <c r="T199" s="59">
        <f t="shared" si="204"/>
        <v>348.09952585694253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6.6895812599059781</v>
      </c>
      <c r="AA199" s="21">
        <f>EXP(-LN(2)/25)*AA198+(1-EXP(-LN(2)/25))/(LN(2)/25)*Calculateur!V199*Calculateur!X199*VLOOKUP('Données projet'!$B$9,Paramètres!$A$1:$I$89,3,0)*0.475*44/12</f>
        <v>0.74045699816253918</v>
      </c>
      <c r="AB199" s="21">
        <f>EXP(-LN(2)/2)*AB198+(1-EXP(-LN(2)/2))/(LN(2)/2)*V199*Y199*VLOOKUP('Données projet'!$B$9,Paramètres!$A$1:$I$89,3,0)*0.475*44/12</f>
        <v>1.2845470169634846E-21</v>
      </c>
      <c r="AC199" s="22">
        <f t="shared" si="163"/>
        <v>7.4300382580685174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7.9580786405131221E-13</v>
      </c>
      <c r="AJ199" s="13">
        <f>AI199*VLOOKUP('Données projet'!$B$10,Paramètres!$A$1:$I$89,3,0)*VLOOKUP('Données projet'!$B$10,Paramètres!$A$1:$I$89,5,0)</f>
        <v>7.2004695539362725E-13</v>
      </c>
      <c r="AK199" s="13">
        <f t="shared" si="164"/>
        <v>8.5963894794935589E-12</v>
      </c>
      <c r="AL199" s="20">
        <f t="shared" si="165"/>
        <v>1.6226126790761848E-11</v>
      </c>
      <c r="AM199" s="59">
        <f t="shared" si="193"/>
        <v>293.33333333334951</v>
      </c>
      <c r="AN199" s="59">
        <f ca="1">AVERAGE(OFFSET($AM$3,0,0,'Données projet'!$E$10+1,1))-AVERAGE(OFFSET($H$3,0,0,'Données projet'!$E$10+1,1))</f>
        <v>490.21869105612649</v>
      </c>
      <c r="AO199" s="59">
        <f t="shared" si="205"/>
        <v>207.08773997010911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119.14582260653066</v>
      </c>
      <c r="AV199" s="21">
        <f>EXP(-LN(2)/25)*AV198+(1-EXP(-LN(2)/25))/(LN(2)/25)*Calculateur!AQ199*Calculateur!AS199*VLOOKUP('Données projet'!$B$10,Paramètres!$A$1:$I$89,3,0)*0.475*44/12</f>
        <v>17.950983578272776</v>
      </c>
      <c r="AW199" s="21">
        <f>EXP(-LN(2)/2)*AW198+(1-EXP(-LN(2)/2))/(LN(2)/2)*AQ199*AT199*VLOOKUP('Données projet'!$B$10,Paramètres!$A$1:$I$89,3,0)*0.475*44/12</f>
        <v>0.11738703822514625</v>
      </c>
      <c r="AX199" s="21">
        <f t="shared" si="166"/>
        <v>137.21419322302856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>
        <f>BD199*VLOOKUP('Données projet'!$B$11,Paramètres!$A$1:$I$89,3,0)*VLOOKUP('Données projet'!$B$11,Paramètres!$A$1:$I$89,5,0)</f>
        <v>0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144.01698107732989</v>
      </c>
      <c r="BJ199" s="59">
        <f t="shared" si="206"/>
        <v>139.28039875117332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1.3252503236241551</v>
      </c>
      <c r="BQ199" s="21">
        <f>EXP(-LN(2)/25)*BQ198+(1-EXP(-LN(2)/25))/(LN(2)/25)*Calculateur!BL199*Calculateur!BN199*VLOOKUP('Données projet'!$B$11,Paramètres!$A$1:$I$89,3,0)*0.475*44/12</f>
        <v>3.3797275446606592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4.7049778682848142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-8.5265128291212022E-14</v>
      </c>
      <c r="BZ199" s="13">
        <f>BY199*VLOOKUP('Données projet'!$B$12,Paramètres!$A$1:$I$89,3,0)*VLOOKUP('Données projet'!$B$12,Paramètres!$A$1:$I$89,5,0)</f>
        <v>-6.9167072069831198E-14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72.953866894533007</v>
      </c>
      <c r="CE199" s="59">
        <f t="shared" si="207"/>
        <v>60.640359826163092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0</v>
      </c>
      <c r="CL199" s="21">
        <f>EXP(-LN(2)/25)*CL198+(1-EXP(-LN(2)/25))/(LN(2)/25)*Calculateur!CG199*Calculateur!CI199*VLOOKUP('Données projet'!$B$12,Paramètres!$A$1:$I$89,3,0)*0.475*44/12</f>
        <v>0.85623579367391289</v>
      </c>
      <c r="CM199" s="21">
        <f>EXP(-LN(2)/2)*CM198+(1-EXP(-LN(2)/2))/(LN(2)/2)*CG199*CJ199*VLOOKUP('Données projet'!$B$12,Paramètres!$A$1:$I$89,3,0)*0.475*44/12</f>
        <v>2.7805609396337131E-15</v>
      </c>
      <c r="CN199" s="22">
        <f t="shared" si="172"/>
        <v>0.85623579367391567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4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530.75354629793264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-1.7053025658242404E-13</v>
      </c>
      <c r="O200" s="13">
        <f>N200*VLOOKUP('Données projet'!$B$9,Paramètres!$A$1:$I$89,3,0)*VLOOKUP('Données projet'!$B$9,Paramètres!$A$1:$I$89,5,0)</f>
        <v>-1.0197709343628959E-13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235.90365770026909</v>
      </c>
      <c r="T200" s="59">
        <f t="shared" si="204"/>
        <v>348.09952585694253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6.5584026516409004</v>
      </c>
      <c r="AA200" s="21">
        <f>EXP(-LN(2)/25)*AA199+(1-EXP(-LN(2)/25))/(LN(2)/25)*Calculateur!V200*Calculateur!X200*VLOOKUP('Données projet'!$B$9,Paramètres!$A$1:$I$89,3,0)*0.475*44/12</f>
        <v>0.72020916260884338</v>
      </c>
      <c r="AB200" s="21">
        <f>EXP(-LN(2)/2)*AB199+(1-EXP(-LN(2)/2))/(LN(2)/2)*V200*Y200*VLOOKUP('Données projet'!$B$9,Paramètres!$A$1:$I$89,3,0)*0.475*44/12</f>
        <v>9.0831190644783107E-22</v>
      </c>
      <c r="AC200" s="22">
        <f t="shared" si="163"/>
        <v>7.2786118142497438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7.9580786405131221E-13</v>
      </c>
      <c r="AJ200" s="13">
        <f>AI200*VLOOKUP('Données projet'!$B$10,Paramètres!$A$1:$I$89,3,0)*VLOOKUP('Données projet'!$B$10,Paramètres!$A$1:$I$89,5,0)</f>
        <v>7.2004695539362725E-13</v>
      </c>
      <c r="AK200" s="13">
        <f t="shared" si="164"/>
        <v>8.5963894794935589E-12</v>
      </c>
      <c r="AL200" s="20">
        <f t="shared" si="165"/>
        <v>1.6226126790761848E-11</v>
      </c>
      <c r="AM200" s="59">
        <f t="shared" si="193"/>
        <v>293.33333333334951</v>
      </c>
      <c r="AN200" s="59">
        <f ca="1">AVERAGE(OFFSET($AM$3,0,0,'Données projet'!$E$10+1,1))-AVERAGE(OFFSET($H$3,0,0,'Données projet'!$E$10+1,1))</f>
        <v>490.21869105612649</v>
      </c>
      <c r="AO200" s="59">
        <f t="shared" si="205"/>
        <v>207.08773997010911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116.80944569699264</v>
      </c>
      <c r="AV200" s="21">
        <f>EXP(-LN(2)/25)*AV199+(1-EXP(-LN(2)/25))/(LN(2)/25)*Calculateur!AQ200*Calculateur!AS200*VLOOKUP('Données projet'!$B$10,Paramètres!$A$1:$I$89,3,0)*0.475*44/12</f>
        <v>17.460112988323708</v>
      </c>
      <c r="AW200" s="21">
        <f>EXP(-LN(2)/2)*AW199+(1-EXP(-LN(2)/2))/(LN(2)/2)*AQ200*AT200*VLOOKUP('Données projet'!$B$10,Paramètres!$A$1:$I$89,3,0)*0.475*44/12</f>
        <v>8.3005170752405377E-2</v>
      </c>
      <c r="AX200" s="21">
        <f t="shared" si="166"/>
        <v>134.35256385606877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>
        <f>BD200*VLOOKUP('Données projet'!$B$11,Paramètres!$A$1:$I$89,3,0)*VLOOKUP('Données projet'!$B$11,Paramètres!$A$1:$I$89,5,0)</f>
        <v>0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144.01698107732989</v>
      </c>
      <c r="BJ200" s="59">
        <f t="shared" si="206"/>
        <v>139.28039875117332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1.2992629731007674</v>
      </c>
      <c r="BQ200" s="21">
        <f>EXP(-LN(2)/25)*BQ199+(1-EXP(-LN(2)/25))/(LN(2)/25)*Calculateur!BL200*Calculateur!BN200*VLOOKUP('Données projet'!$B$11,Paramètres!$A$1:$I$89,3,0)*0.475*44/12</f>
        <v>3.2873087172197661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4.5865716903205334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-8.5265128291212022E-14</v>
      </c>
      <c r="BZ200" s="13">
        <f>BY200*VLOOKUP('Données projet'!$B$12,Paramètres!$A$1:$I$89,3,0)*VLOOKUP('Données projet'!$B$12,Paramètres!$A$1:$I$89,5,0)</f>
        <v>-6.9167072069831198E-14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72.953866894533007</v>
      </c>
      <c r="CE200" s="59">
        <f t="shared" si="207"/>
        <v>60.640359826163092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0</v>
      </c>
      <c r="CL200" s="21">
        <f>EXP(-LN(2)/25)*CL199+(1-EXP(-LN(2)/25))/(LN(2)/25)*Calculateur!CG200*Calculateur!CI200*VLOOKUP('Données projet'!$B$12,Paramètres!$A$1:$I$89,3,0)*0.475*44/12</f>
        <v>0.8328219808684163</v>
      </c>
      <c r="CM200" s="21">
        <f>EXP(-LN(2)/2)*CM199+(1-EXP(-LN(2)/2))/(LN(2)/2)*CG200*CJ200*VLOOKUP('Données projet'!$B$12,Paramètres!$A$1:$I$89,3,0)*0.475*44/12</f>
        <v>1.9661534959174369E-15</v>
      </c>
      <c r="CN200" s="22">
        <f t="shared" si="172"/>
        <v>0.8328219808684183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4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531.9290665782396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-1.7053025658242404E-13</v>
      </c>
      <c r="O201" s="13">
        <f>N201*VLOOKUP('Données projet'!$B$9,Paramètres!$A$1:$I$89,3,0)*VLOOKUP('Données projet'!$B$9,Paramètres!$A$1:$I$89,5,0)</f>
        <v>-1.0197709343628959E-13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235.90365770026909</v>
      </c>
      <c r="T201" s="59">
        <f t="shared" si="204"/>
        <v>348.09952585694253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6.4297963758728498</v>
      </c>
      <c r="AA201" s="21">
        <f>EXP(-LN(2)/25)*AA200+(1-EXP(-LN(2)/25))/(LN(2)/25)*Calculateur!V201*Calculateur!X201*VLOOKUP('Données projet'!$B$9,Paramètres!$A$1:$I$89,3,0)*0.475*44/12</f>
        <v>0.7005150051831508</v>
      </c>
      <c r="AB201" s="21">
        <f>EXP(-LN(2)/2)*AB200+(1-EXP(-LN(2)/2))/(LN(2)/2)*V201*Y201*VLOOKUP('Données projet'!$B$9,Paramètres!$A$1:$I$89,3,0)*0.475*44/12</f>
        <v>6.4227350848174231E-22</v>
      </c>
      <c r="AC201" s="22">
        <f t="shared" si="163"/>
        <v>7.1303113810560008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7.9580786405131221E-13</v>
      </c>
      <c r="AJ201" s="13">
        <f>AI201*VLOOKUP('Données projet'!$B$10,Paramètres!$A$1:$I$89,3,0)*VLOOKUP('Données projet'!$B$10,Paramètres!$A$1:$I$89,5,0)</f>
        <v>7.2004695539362725E-13</v>
      </c>
      <c r="AK201" s="13">
        <f t="shared" si="164"/>
        <v>8.5963894794935589E-12</v>
      </c>
      <c r="AL201" s="20">
        <f t="shared" si="165"/>
        <v>1.6226126790761848E-11</v>
      </c>
      <c r="AM201" s="59">
        <f t="shared" si="193"/>
        <v>293.33333333334951</v>
      </c>
      <c r="AN201" s="59">
        <f ca="1">AVERAGE(OFFSET($AM$3,0,0,'Données projet'!$E$10+1,1))-AVERAGE(OFFSET($H$3,0,0,'Données projet'!$E$10+1,1))</f>
        <v>490.21869105612649</v>
      </c>
      <c r="AO201" s="59">
        <f t="shared" si="205"/>
        <v>207.08773997010911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114.51888371360145</v>
      </c>
      <c r="AV201" s="21">
        <f>EXP(-LN(2)/25)*AV200+(1-EXP(-LN(2)/25))/(LN(2)/25)*Calculateur!AQ201*Calculateur!AS201*VLOOKUP('Données projet'!$B$10,Paramètres!$A$1:$I$89,3,0)*0.475*44/12</f>
        <v>16.98266528047056</v>
      </c>
      <c r="AW201" s="21">
        <f>EXP(-LN(2)/2)*AW200+(1-EXP(-LN(2)/2))/(LN(2)/2)*AQ201*AT201*VLOOKUP('Données projet'!$B$10,Paramètres!$A$1:$I$89,3,0)*0.475*44/12</f>
        <v>5.8693519112573124E-2</v>
      </c>
      <c r="AX201" s="21">
        <f t="shared" si="166"/>
        <v>131.56024251318459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>
        <f>BD201*VLOOKUP('Données projet'!$B$11,Paramètres!$A$1:$I$89,3,0)*VLOOKUP('Données projet'!$B$11,Paramètres!$A$1:$I$89,5,0)</f>
        <v>0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144.01698107732989</v>
      </c>
      <c r="BJ201" s="59">
        <f t="shared" si="206"/>
        <v>139.28039875117332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1.2737852186704248</v>
      </c>
      <c r="BQ201" s="21">
        <f>EXP(-LN(2)/25)*BQ200+(1-EXP(-LN(2)/25))/(LN(2)/25)*Calculateur!BL201*Calculateur!BN201*VLOOKUP('Données projet'!$B$11,Paramètres!$A$1:$I$89,3,0)*0.475*44/12</f>
        <v>3.1974170874753396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4.4712023061457646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-8.5265128291212022E-14</v>
      </c>
      <c r="BZ201" s="13">
        <f>BY201*VLOOKUP('Données projet'!$B$12,Paramètres!$A$1:$I$89,3,0)*VLOOKUP('Données projet'!$B$12,Paramètres!$A$1:$I$89,5,0)</f>
        <v>-6.9167072069831198E-14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72.953866894533007</v>
      </c>
      <c r="CE201" s="59">
        <f t="shared" si="207"/>
        <v>60.640359826163092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0</v>
      </c>
      <c r="CL201" s="21">
        <f>EXP(-LN(2)/25)*CL200+(1-EXP(-LN(2)/25))/(LN(2)/25)*Calculateur!CG201*Calculateur!CI201*VLOOKUP('Données projet'!$B$12,Paramètres!$A$1:$I$89,3,0)*0.475*44/12</f>
        <v>0.81004842000536492</v>
      </c>
      <c r="CM201" s="21">
        <f>EXP(-LN(2)/2)*CM200+(1-EXP(-LN(2)/2))/(LN(2)/2)*CG201*CJ201*VLOOKUP('Données projet'!$B$12,Paramètres!$A$1:$I$89,3,0)*0.475*44/12</f>
        <v>1.3902804698168566E-15</v>
      </c>
      <c r="CN201" s="22">
        <f t="shared" si="172"/>
        <v>0.81004842000536637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4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533.10445487664697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-1.7053025658242404E-13</v>
      </c>
      <c r="O202" s="13">
        <f>N202*VLOOKUP('Données projet'!$B$9,Paramètres!$A$1:$I$89,3,0)*VLOOKUP('Données projet'!$B$9,Paramètres!$A$1:$I$89,5,0)</f>
        <v>-1.0197709343628959E-13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235.90365770026909</v>
      </c>
      <c r="T202" s="59">
        <f t="shared" si="204"/>
        <v>348.09952585694253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6.3037119907305277</v>
      </c>
      <c r="AA202" s="21">
        <f>EXP(-LN(2)/25)*AA201+(1-EXP(-LN(2)/25))/(LN(2)/25)*Calculateur!V202*Calculateur!X202*VLOOKUP('Données projet'!$B$9,Paramètres!$A$1:$I$89,3,0)*0.475*44/12</f>
        <v>0.68135938552793451</v>
      </c>
      <c r="AB202" s="21">
        <f>EXP(-LN(2)/2)*AB201+(1-EXP(-LN(2)/2))/(LN(2)/2)*V202*Y202*VLOOKUP('Données projet'!$B$9,Paramètres!$A$1:$I$89,3,0)*0.475*44/12</f>
        <v>4.5415595322391554E-22</v>
      </c>
      <c r="AC202" s="22">
        <f t="shared" si="163"/>
        <v>6.9850713762584622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7.9580786405131221E-13</v>
      </c>
      <c r="AJ202" s="13">
        <f>AI202*VLOOKUP('Données projet'!$B$10,Paramètres!$A$1:$I$89,3,0)*VLOOKUP('Données projet'!$B$10,Paramètres!$A$1:$I$89,5,0)</f>
        <v>7.2004695539362725E-13</v>
      </c>
      <c r="AK202" s="13">
        <f t="shared" si="164"/>
        <v>8.5963894794935589E-12</v>
      </c>
      <c r="AL202" s="20">
        <f t="shared" si="165"/>
        <v>1.6226126790761848E-11</v>
      </c>
      <c r="AM202" s="59">
        <f t="shared" si="193"/>
        <v>293.33333333334951</v>
      </c>
      <c r="AN202" s="59">
        <f ca="1">AVERAGE(OFFSET($AM$3,0,0,'Données projet'!$E$10+1,1))-AVERAGE(OFFSET($H$3,0,0,'Données projet'!$E$10+1,1))</f>
        <v>490.21869105612649</v>
      </c>
      <c r="AO202" s="59">
        <f t="shared" si="205"/>
        <v>207.08773997010911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112.27323825359971</v>
      </c>
      <c r="AV202" s="21">
        <f>EXP(-LN(2)/25)*AV201+(1-EXP(-LN(2)/25))/(LN(2)/25)*Calculateur!AQ202*Calculateur!AS202*VLOOKUP('Données projet'!$B$10,Paramètres!$A$1:$I$89,3,0)*0.475*44/12</f>
        <v>16.51827340529654</v>
      </c>
      <c r="AW202" s="21">
        <f>EXP(-LN(2)/2)*AW201+(1-EXP(-LN(2)/2))/(LN(2)/2)*AQ202*AT202*VLOOKUP('Données projet'!$B$10,Paramètres!$A$1:$I$89,3,0)*0.475*44/12</f>
        <v>4.1502585376202689E-2</v>
      </c>
      <c r="AX202" s="21">
        <f t="shared" si="166"/>
        <v>128.83301424427245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>
        <f>BD202*VLOOKUP('Données projet'!$B$11,Paramètres!$A$1:$I$89,3,0)*VLOOKUP('Données projet'!$B$11,Paramètres!$A$1:$I$89,5,0)</f>
        <v>0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144.01698107732989</v>
      </c>
      <c r="BJ202" s="59">
        <f t="shared" si="206"/>
        <v>139.28039875117332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1.2488070674645655</v>
      </c>
      <c r="BQ202" s="21">
        <f>EXP(-LN(2)/25)*BQ201+(1-EXP(-LN(2)/25))/(LN(2)/25)*Calculateur!BL202*Calculateur!BN202*VLOOKUP('Données projet'!$B$11,Paramètres!$A$1:$I$89,3,0)*0.475*44/12</f>
        <v>3.1099835490734695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4.3587906165380348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-8.5265128291212022E-14</v>
      </c>
      <c r="BZ202" s="13">
        <f>BY202*VLOOKUP('Données projet'!$B$12,Paramètres!$A$1:$I$89,3,0)*VLOOKUP('Données projet'!$B$12,Paramètres!$A$1:$I$89,5,0)</f>
        <v>-6.9167072069831198E-14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72.953866894533007</v>
      </c>
      <c r="CE202" s="59">
        <f t="shared" si="207"/>
        <v>60.640359826163092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0</v>
      </c>
      <c r="CL202" s="21">
        <f>EXP(-LN(2)/25)*CL201+(1-EXP(-LN(2)/25))/(LN(2)/25)*Calculateur!CG202*Calculateur!CI202*VLOOKUP('Données projet'!$B$12,Paramètres!$A$1:$I$89,3,0)*0.475*44/12</f>
        <v>0.78789760336172321</v>
      </c>
      <c r="CM202" s="21">
        <f>EXP(-LN(2)/2)*CM201+(1-EXP(-LN(2)/2))/(LN(2)/2)*CG202*CJ202*VLOOKUP('Données projet'!$B$12,Paramètres!$A$1:$I$89,3,0)*0.475*44/12</f>
        <v>9.8307674795871846E-16</v>
      </c>
      <c r="CN202" s="22">
        <f t="shared" si="172"/>
        <v>0.78789760336172421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4.65" thickBot="1" x14ac:dyDescent="0.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534.27971193336975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-1.7053025658242404E-13</v>
      </c>
      <c r="O203" s="13">
        <f>N203*VLOOKUP('Données projet'!$B$9,Paramètres!$A$1:$I$89,3,0)*VLOOKUP('Données projet'!$B$9,Paramètres!$A$1:$I$89,5,0)</f>
        <v>-1.0197709343628959E-13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235.90365770026909</v>
      </c>
      <c r="T203" s="59">
        <f t="shared" si="204"/>
        <v>348.09952585694253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6.1801000434769655</v>
      </c>
      <c r="AA203" s="21">
        <f>EXP(-LN(2)/25)*AA202+(1-EXP(-LN(2)/25))/(LN(2)/25)*Calculateur!V203*Calculateur!X203*VLOOKUP('Données projet'!$B$9,Paramètres!$A$1:$I$89,3,0)*0.475*44/12</f>
        <v>0.66272757729954035</v>
      </c>
      <c r="AB203" s="21">
        <f>EXP(-LN(2)/2)*AB202+(1-EXP(-LN(2)/2))/(LN(2)/2)*V203*Y203*VLOOKUP('Données projet'!$B$9,Paramètres!$A$1:$I$89,3,0)*0.475*44/12</f>
        <v>3.2113675424087116E-22</v>
      </c>
      <c r="AC203" s="22">
        <f t="shared" si="163"/>
        <v>6.8428276207765055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7.9580786405131221E-13</v>
      </c>
      <c r="AJ203" s="13">
        <f>AI203*VLOOKUP('Données projet'!$B$10,Paramètres!$A$1:$I$89,3,0)*VLOOKUP('Données projet'!$B$10,Paramètres!$A$1:$I$89,5,0)</f>
        <v>7.2004695539362725E-13</v>
      </c>
      <c r="AK203" s="13">
        <f t="shared" si="164"/>
        <v>8.5963894794935589E-12</v>
      </c>
      <c r="AL203" s="20">
        <f t="shared" si="165"/>
        <v>1.6226126790761848E-11</v>
      </c>
      <c r="AM203" s="59">
        <f t="shared" si="193"/>
        <v>293.33333333334951</v>
      </c>
      <c r="AN203" s="59">
        <f ca="1">AVERAGE(OFFSET($AM$3,0,0,'Données projet'!$E$10+1,1))-AVERAGE(OFFSET($H$3,0,0,'Données projet'!$E$10+1,1))</f>
        <v>490.21869105612649</v>
      </c>
      <c r="AO203" s="59">
        <f t="shared" si="205"/>
        <v>207.08773997010911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110.07162853136013</v>
      </c>
      <c r="AV203" s="21">
        <f>EXP(-LN(2)/25)*AV202+(1-EXP(-LN(2)/25))/(LN(2)/25)*Calculateur!AQ203*Calculateur!AS203*VLOOKUP('Données projet'!$B$10,Paramètres!$A$1:$I$89,3,0)*0.475*44/12</f>
        <v>16.066580350370462</v>
      </c>
      <c r="AW203" s="21">
        <f>EXP(-LN(2)/2)*AW202+(1-EXP(-LN(2)/2))/(LN(2)/2)*AQ203*AT203*VLOOKUP('Données projet'!$B$10,Paramètres!$A$1:$I$89,3,0)*0.475*44/12</f>
        <v>2.9346759556286562E-2</v>
      </c>
      <c r="AX203" s="21">
        <f t="shared" si="166"/>
        <v>126.16755564128688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>
        <f>BD203*VLOOKUP('Données projet'!$B$11,Paramètres!$A$1:$I$89,3,0)*VLOOKUP('Données projet'!$B$11,Paramètres!$A$1:$I$89,5,0)</f>
        <v>0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144.01698107732989</v>
      </c>
      <c r="BJ203" s="59">
        <f t="shared" si="206"/>
        <v>139.28039875117332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1.2243187225686851</v>
      </c>
      <c r="BQ203" s="21">
        <f>EXP(-LN(2)/25)*BQ202+(1-EXP(-LN(2)/25))/(LN(2)/25)*Calculateur!BL203*Calculateur!BN203*VLOOKUP('Données projet'!$B$11,Paramètres!$A$1:$I$89,3,0)*0.475*44/12</f>
        <v>3.0249408853771285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4.2492596079458131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-8.5265128291212022E-14</v>
      </c>
      <c r="BZ203" s="13">
        <f>BY203*VLOOKUP('Données projet'!$B$12,Paramètres!$A$1:$I$89,3,0)*VLOOKUP('Données projet'!$B$12,Paramètres!$A$1:$I$89,5,0)</f>
        <v>-6.9167072069831198E-14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72.953866894533007</v>
      </c>
      <c r="CE203" s="59">
        <f t="shared" si="207"/>
        <v>60.640359826163092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0</v>
      </c>
      <c r="CL203" s="21">
        <f>EXP(-LN(2)/25)*CL202+(1-EXP(-LN(2)/25))/(LN(2)/25)*Calculateur!CG203*Calculateur!CI203*VLOOKUP('Données projet'!$B$12,Paramètres!$A$1:$I$89,3,0)*0.475*44/12</f>
        <v>0.76635250196406268</v>
      </c>
      <c r="CM203" s="21">
        <f>EXP(-LN(2)/2)*CM202+(1-EXP(-LN(2)/2))/(LN(2)/2)*CG203*CJ203*VLOOKUP('Données projet'!$B$12,Paramètres!$A$1:$I$89,3,0)*0.475*44/12</f>
        <v>6.9514023490842828E-16</v>
      </c>
      <c r="CN203" s="22">
        <f t="shared" si="172"/>
        <v>0.76635250196406335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4.65" thickBot="1" x14ac:dyDescent="0.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4.65" thickBot="1" x14ac:dyDescent="0.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1.3983129223554964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1.1303799945549604</v>
      </c>
      <c r="BA205" s="82">
        <f>EXP(LN('Données projet'!B88)/'Données projet'!A88)</f>
        <v>1.2226994946602114</v>
      </c>
      <c r="BV205" s="82">
        <f>EXP(LN('Données projet'!B114)/'Données projet'!A114)</f>
        <v>1.2231180032570037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3984375" defaultRowHeight="14.25" x14ac:dyDescent="0.45"/>
  <cols>
    <col min="1" max="1" width="23.3984375" style="4" bestFit="1" customWidth="1"/>
    <col min="2" max="2" width="27.73046875" style="4" bestFit="1" customWidth="1"/>
    <col min="3" max="3" width="11.86328125" style="4" bestFit="1" customWidth="1"/>
    <col min="4" max="4" width="40" style="4" bestFit="1" customWidth="1"/>
    <col min="5" max="5" width="11.86328125" style="4" bestFit="1" customWidth="1"/>
    <col min="6" max="6" width="13.73046875" style="4" bestFit="1" customWidth="1"/>
    <col min="7" max="7" width="11.3984375" style="4" bestFit="1" customWidth="1"/>
    <col min="8" max="8" width="39" style="4" bestFit="1" customWidth="1"/>
    <col min="9" max="9" width="16.73046875" style="4" customWidth="1"/>
    <col min="10" max="14" width="11.3984375" style="4"/>
    <col min="15" max="15" width="23.3984375" style="4" bestFit="1" customWidth="1"/>
    <col min="16" max="16384" width="11.3984375" style="4"/>
  </cols>
  <sheetData>
    <row r="1" spans="1:16" ht="43.15" thickBot="1" x14ac:dyDescent="0.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4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4.65" thickBot="1" x14ac:dyDescent="0.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4.65" thickBot="1" x14ac:dyDescent="0.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4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4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4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4.65" thickBot="1" x14ac:dyDescent="0.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4.65" thickBot="1" x14ac:dyDescent="0.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4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4.65" thickBot="1" x14ac:dyDescent="0.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4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4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4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4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4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4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4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4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4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4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4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4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4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4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4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4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4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4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4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4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4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4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4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4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4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4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4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4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4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4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4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4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4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4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4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4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4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4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4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4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4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4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4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4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4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4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4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4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4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4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4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4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4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4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4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4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4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4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4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4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4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4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4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4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4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4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4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4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4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4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4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4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4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4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4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4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4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4.65" thickBot="1" x14ac:dyDescent="0.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45">
      <c r="A93" s="122" t="s">
        <v>208</v>
      </c>
    </row>
    <row r="94" spans="1:14" x14ac:dyDescent="0.45">
      <c r="A94" s="122" t="s">
        <v>209</v>
      </c>
    </row>
    <row r="95" spans="1:14" x14ac:dyDescent="0.4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D1" zoomScale="90" zoomScaleNormal="90" workbookViewId="0">
      <selection activeCell="M9" sqref="M9:M24"/>
    </sheetView>
  </sheetViews>
  <sheetFormatPr baseColWidth="10" defaultColWidth="11.3984375" defaultRowHeight="14.25" x14ac:dyDescent="0.45"/>
  <cols>
    <col min="1" max="1" width="22.86328125" style="1" bestFit="1" customWidth="1"/>
    <col min="2" max="2" width="10.59765625" style="1" bestFit="1" customWidth="1"/>
    <col min="3" max="3" width="15.59765625" style="1" bestFit="1" customWidth="1"/>
    <col min="4" max="4" width="13.3984375" style="1" bestFit="1" customWidth="1"/>
    <col min="5" max="8" width="11.3984375" style="1"/>
    <col min="9" max="13" width="11.3984375" style="62"/>
    <col min="14" max="15" width="11.3984375" style="1"/>
    <col min="16" max="17" width="13.3984375" style="1" customWidth="1"/>
    <col min="18" max="16384" width="11.3984375" style="1"/>
  </cols>
  <sheetData>
    <row r="1" spans="1:62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5.9" thickBot="1" x14ac:dyDescent="0.8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4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4.65" thickBot="1" x14ac:dyDescent="0.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7.4" thickBot="1" x14ac:dyDescent="0.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45">
      <c r="A6" s="145" t="str">
        <f>IF('Données projet'!$B$9="","",'Données projet'!$B$9)</f>
        <v>Pin maritime</v>
      </c>
      <c r="B6" s="146">
        <f>'Données projet'!D9</f>
        <v>11.060210653024374</v>
      </c>
      <c r="C6" s="147">
        <f ca="1">IF(OR('Données projet'!B9="",'Données projet'!C9="",'Données projet'!C9=0%),0,Calculateur!S3)</f>
        <v>235.90365770026909</v>
      </c>
      <c r="D6" s="147">
        <f>IF(OR('Données projet'!B9="",'Données projet'!C9="",'Données projet'!C9=0%),0,Calculateur!T3)</f>
        <v>348.09952585694253</v>
      </c>
      <c r="E6" s="147">
        <f ca="1">MIN(C6,D6)</f>
        <v>235.90365770026909</v>
      </c>
      <c r="F6" s="147">
        <f ca="1">E6*B6</f>
        <v>2609.1441479839314</v>
      </c>
      <c r="G6" s="147">
        <f ca="1">F6*(100%-'Données projet'!$C$24)*(100%-'Données projet'!$C$25)*(100%-'Données projet'!$C$26)*(100%-'Données projet'!$C$27)</f>
        <v>1995.9952732077077</v>
      </c>
      <c r="H6" s="148">
        <f>IF(OR('Données projet'!B9="",'Données projet'!C9="",'Données projet'!C9=0%),0,AVERAGE(Calculateur!$AC$3:$AC$33)*B6)</f>
        <v>156.87393090117413</v>
      </c>
      <c r="I6" s="149">
        <f>H6*(100%-'Données projet'!$C$24)*(100%-'Données projet'!$C$25)*(100%-'Données projet'!$C$26)*(100%-'Données projet'!$C$27)</f>
        <v>120.00855713939821</v>
      </c>
      <c r="J6" s="150">
        <f>IF(OR('Données projet'!B9="",'Données projet'!C9="",'Données projet'!C9=0%),0,SUM(Calculateur!$V$3:$V$33)*VLOOKUP('Données projet'!$B$9,Paramètres!$A$1:$I$89,9,0)*B6)</f>
        <v>1016.6114284044536</v>
      </c>
      <c r="K6" s="151">
        <f>J6*(100%-'Données projet'!$C$24)*(100%-'Données projet'!$C$25)*(100%-'Données projet'!$C$26)*(100%-'Données projet'!$C$27)</f>
        <v>777.70774272940696</v>
      </c>
      <c r="L6" s="152">
        <f ca="1">G6+I6+K6</f>
        <v>2893.7115730765131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45">
      <c r="A7" s="153" t="str">
        <f>IF('Données projet'!$B$10="","",'Données projet'!$B$10)</f>
        <v>Chêne sessile</v>
      </c>
      <c r="B7" s="154">
        <f>'Données projet'!D10</f>
        <v>0.29992978232520817</v>
      </c>
      <c r="C7" s="147">
        <f ca="1">IF(OR('Données projet'!B10="",'Données projet'!C10="",'Données projet'!C10=0%),0,Calculateur!AN3)</f>
        <v>490.21869105612649</v>
      </c>
      <c r="D7" s="147">
        <f>IF(OR('Données projet'!B10="",'Données projet'!C10="",'Données projet'!C10=0%),0,Calculateur!AO3)</f>
        <v>207.08773997010911</v>
      </c>
      <c r="E7" s="147">
        <f t="shared" ref="E7:E15" ca="1" si="0">MIN(C7,D7)</f>
        <v>207.08773997010911</v>
      </c>
      <c r="F7" s="147">
        <f t="shared" ref="F7:F15" ca="1" si="1">E7*B7</f>
        <v>62.111780771454136</v>
      </c>
      <c r="G7" s="147">
        <f ca="1">F7*(100%-'Données projet'!$C$24)*(100%-'Données projet'!$C$25)*(100%-'Données projet'!$C$26)*(100%-'Données projet'!$C$27)</f>
        <v>47.515512290162413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ca="1" si="2">G7+I7+K7</f>
        <v>47.515512290162413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45">
      <c r="A8" s="153" t="str">
        <f>IF('Données projet'!$B$11="","",'Données projet'!$B$11)</f>
        <v>Chêne chevelu</v>
      </c>
      <c r="B8" s="154">
        <f>'Données projet'!D11</f>
        <v>0.29992978232520817</v>
      </c>
      <c r="C8" s="147">
        <f ca="1">IF(OR('Données projet'!B11="",'Données projet'!C11="",'Données projet'!C11=0%),0,Calculateur!BI3)</f>
        <v>144.01698107732989</v>
      </c>
      <c r="D8" s="147">
        <f>IF(OR('Données projet'!B11="",'Données projet'!C11="",'Données projet'!C11=0%),0,Calculateur!BJ3)</f>
        <v>139.28039875117332</v>
      </c>
      <c r="E8" s="147">
        <f t="shared" ca="1" si="0"/>
        <v>139.28039875117332</v>
      </c>
      <c r="F8" s="147">
        <f t="shared" ca="1" si="1"/>
        <v>41.774339679607614</v>
      </c>
      <c r="G8" s="147">
        <f ca="1">F8*(100%-'Données projet'!$C$24)*(100%-'Données projet'!$C$25)*(100%-'Données projet'!$C$26)*(100%-'Données projet'!$C$27)</f>
        <v>31.957369854899827</v>
      </c>
      <c r="H8" s="155">
        <f>IF(OR('Données projet'!B11="",'Données projet'!C11="",'Données projet'!C11=0%),0,AVERAGE(Calculateur!$BS$3:$BS$33)*B8)</f>
        <v>0.62192481759846674</v>
      </c>
      <c r="I8" s="149">
        <f>H8*(100%-'Données projet'!$C$24)*(100%-'Données projet'!$C$25)*(100%-'Données projet'!$C$26)*(100%-'Données projet'!$C$27)</f>
        <v>0.47577248546282702</v>
      </c>
      <c r="J8" s="150">
        <f>IF(OR('Données projet'!B11="",'Données projet'!C11="",'Données projet'!C11=0%),0,SUM(Calculateur!$BL$3:$BL$33)*VLOOKUP('Données projet'!$B$11,Paramètres!$A$1:$I$89,9,0)*B8)</f>
        <v>3.2684655766208577</v>
      </c>
      <c r="K8" s="151">
        <f>J8*(100%-'Données projet'!$C$24)*(100%-'Données projet'!$C$25)*(100%-'Données projet'!$C$26)*(100%-'Données projet'!$C$27)</f>
        <v>2.5003761661149562</v>
      </c>
      <c r="L8" s="152">
        <f t="shared" ca="1" si="2"/>
        <v>34.933518506477611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45">
      <c r="A9" s="153" t="str">
        <f>IF('Données projet'!$B$12="","",'Données projet'!$B$12)</f>
        <v>Bouleau verruqueux</v>
      </c>
      <c r="B9" s="154">
        <f>'Données projet'!D12</f>
        <v>0.29992978232520817</v>
      </c>
      <c r="C9" s="147">
        <f ca="1">IF(OR('Données projet'!B12="",'Données projet'!C12="",'Données projet'!C12=0%),0,Calculateur!CD3)</f>
        <v>72.953866894533007</v>
      </c>
      <c r="D9" s="147">
        <f>IF(OR('Données projet'!B12="",'Données projet'!C12="",'Données projet'!C12=0%),0,Calculateur!CE3)</f>
        <v>60.640359826163092</v>
      </c>
      <c r="E9" s="147">
        <f t="shared" ca="1" si="0"/>
        <v>60.640359826163092</v>
      </c>
      <c r="F9" s="147">
        <f t="shared" ca="1" si="1"/>
        <v>18.187849922783396</v>
      </c>
      <c r="G9" s="147">
        <f ca="1">F9*(100%-'Données projet'!$C$24)*(100%-'Données projet'!$C$25)*(100%-'Données projet'!$C$26)*(100%-'Données projet'!$C$27)</f>
        <v>13.913705190929299</v>
      </c>
      <c r="H9" s="155">
        <f>IF(OR('Données projet'!B12="",'Données projet'!C12="",'Données projet'!C12=0%),0,AVERAGE(Calculateur!$CN$3:$CN$33)*B9)</f>
        <v>0.15828716296074014</v>
      </c>
      <c r="I9" s="149">
        <f>H9*(100%-'Données projet'!$C$24)*(100%-'Données projet'!$C$25)*(100%-'Données projet'!$C$26)*(100%-'Données projet'!$C$27)</f>
        <v>0.1210896796649662</v>
      </c>
      <c r="J9" s="150">
        <f>IF(OR('Données projet'!B12="",'Données projet'!C12="",'Données projet'!C12=0%),0,SUM(Calculateur!$CG$3:$CG$33)*VLOOKUP('Données projet'!$B$12,Paramètres!$A$1:$I$89,9,0)*B9)</f>
        <v>1.2497074263550341</v>
      </c>
      <c r="K9" s="151">
        <f>J9*(100%-'Données projet'!$C$24)*(100%-'Données projet'!$C$25)*(100%-'Données projet'!$C$26)*(100%-'Données projet'!$C$27)</f>
        <v>0.9560261811616011</v>
      </c>
      <c r="L9" s="152">
        <f t="shared" ca="1" si="2"/>
        <v>14.990821051755866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4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4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4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4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4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4.65" thickBot="1" x14ac:dyDescent="0.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4.65" thickBot="1" x14ac:dyDescent="0.5">
      <c r="A16" s="209"/>
      <c r="B16" s="213"/>
      <c r="C16" s="214"/>
      <c r="D16" s="23"/>
      <c r="E16" s="23"/>
      <c r="F16" s="165">
        <f t="shared" ref="F16:L16" ca="1" si="3">SUM(F6:F15)</f>
        <v>2731.2181183577763</v>
      </c>
      <c r="G16" s="166">
        <f t="shared" ca="1" si="3"/>
        <v>2089.3818605436991</v>
      </c>
      <c r="H16" s="167">
        <f t="shared" si="3"/>
        <v>157.65414288173332</v>
      </c>
      <c r="I16" s="167">
        <f t="shared" si="3"/>
        <v>120.605419304526</v>
      </c>
      <c r="J16" s="168">
        <f t="shared" si="3"/>
        <v>1021.1296014074295</v>
      </c>
      <c r="K16" s="168">
        <f t="shared" si="3"/>
        <v>781.16414507668355</v>
      </c>
      <c r="L16" s="169">
        <f t="shared" ca="1" si="3"/>
        <v>2991.151424924909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4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4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4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4.65" thickBot="1" x14ac:dyDescent="0.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4.65" thickBot="1" x14ac:dyDescent="0.5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4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4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4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4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4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4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4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4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4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4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4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4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4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4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4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4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4.65" thickBot="1" x14ac:dyDescent="0.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4.65" thickBot="1" x14ac:dyDescent="0.5">
      <c r="A39" s="170" t="str">
        <f>A7</f>
        <v>Chêne sessile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4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4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4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4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4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4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4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4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4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4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4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4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4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4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4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4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4.65" thickBot="1" x14ac:dyDescent="0.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4.65" thickBot="1" x14ac:dyDescent="0.5">
      <c r="A57" s="170" t="str">
        <f>A8</f>
        <v>Chêne chevelu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4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4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4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4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4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4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4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4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4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4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4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4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4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4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4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4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4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4.65" thickBot="1" x14ac:dyDescent="0.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4.65" thickBot="1" x14ac:dyDescent="0.5">
      <c r="A76" s="170" t="str">
        <f>A9</f>
        <v>Bouleau verruqueux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4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4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4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4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4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4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4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4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4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4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4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4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4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4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4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4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4.65" thickBot="1" x14ac:dyDescent="0.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4.65" thickBot="1" x14ac:dyDescent="0.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4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4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4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4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4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4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4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4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4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4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4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4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4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4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4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4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4.65" thickBot="1" x14ac:dyDescent="0.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4.65" thickBot="1" x14ac:dyDescent="0.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4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4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4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4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4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4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4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4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4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4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4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4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4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4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4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4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4.65" thickBot="1" x14ac:dyDescent="0.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4.65" thickBot="1" x14ac:dyDescent="0.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4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4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4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4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4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4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4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4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4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4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4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4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4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4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4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4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4.65" thickBot="1" x14ac:dyDescent="0.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4.65" thickBot="1" x14ac:dyDescent="0.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4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4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4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4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4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4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4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4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4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4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4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4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4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4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4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4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4.65" thickBot="1" x14ac:dyDescent="0.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4.65" thickBot="1" x14ac:dyDescent="0.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4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4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4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4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4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4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4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4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4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4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4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4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4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4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4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4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4.65" thickBot="1" x14ac:dyDescent="0.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4.65" thickBot="1" x14ac:dyDescent="0.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4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4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4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4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4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4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4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4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4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4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4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4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4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4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4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4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4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4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4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4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4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4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4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4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4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4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4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4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4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4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4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4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4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4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4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4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4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4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4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4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4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4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4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4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4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4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4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4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4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4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4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4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4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4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4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4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4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4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4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4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4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4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4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4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4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4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4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4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4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4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4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4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4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4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4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4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4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4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4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4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4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4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4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4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4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4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4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4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4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4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4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4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4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4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4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4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4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4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4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4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4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4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4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4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4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4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4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4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4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4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4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4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4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4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4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4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4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4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4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4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4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4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4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4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4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4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4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4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4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4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4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4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4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4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4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4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4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4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4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4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4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4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4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4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4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4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4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4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4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4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4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4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4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4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4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4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4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4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4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4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4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4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4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4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4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4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4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4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4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4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4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N4" zoomScale="80" zoomScaleNormal="80" workbookViewId="0">
      <selection activeCell="W32" sqref="W32"/>
    </sheetView>
  </sheetViews>
  <sheetFormatPr baseColWidth="10" defaultColWidth="11.3984375" defaultRowHeight="14.25" x14ac:dyDescent="0.45"/>
  <cols>
    <col min="1" max="1" width="11.3984375" style="1"/>
    <col min="2" max="2" width="30.86328125" style="1" bestFit="1" customWidth="1"/>
    <col min="3" max="3" width="18.1328125" style="1" bestFit="1" customWidth="1"/>
    <col min="4" max="5" width="11.3984375" style="1"/>
    <col min="6" max="6" width="14" style="1" customWidth="1"/>
    <col min="7" max="7" width="17.59765625" style="1" customWidth="1"/>
    <col min="8" max="8" width="21.73046875" style="1" customWidth="1"/>
    <col min="9" max="9" width="37" style="1" customWidth="1"/>
    <col min="10" max="10" width="11.3984375" style="1"/>
    <col min="11" max="11" width="8.86328125" style="1" customWidth="1"/>
    <col min="12" max="12" width="11.3984375" style="1"/>
    <col min="13" max="13" width="21" style="1" customWidth="1"/>
    <col min="14" max="16" width="11.3984375" style="1"/>
    <col min="17" max="17" width="8" style="1" customWidth="1"/>
    <col min="18" max="18" width="11.3984375" style="1"/>
    <col min="19" max="19" width="31" style="1" customWidth="1"/>
    <col min="20" max="20" width="18.1328125" style="1" customWidth="1"/>
    <col min="21" max="21" width="16.3984375" style="1" customWidth="1"/>
    <col min="22" max="22" width="17.86328125" style="1" customWidth="1"/>
    <col min="23" max="16384" width="11.3984375" style="1"/>
  </cols>
  <sheetData>
    <row r="1" spans="1:42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5.9" thickBot="1" x14ac:dyDescent="0.8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4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45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4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4.65" thickBot="1" x14ac:dyDescent="0.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8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4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4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4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3581.4095675443573</v>
      </c>
      <c r="U10" s="178">
        <f>'Données projet'!D9</f>
        <v>11.060210653024374</v>
      </c>
      <c r="V10" s="177">
        <f>U10*T10</f>
        <v>39611.144251797516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4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sessile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806.00592941238369</v>
      </c>
      <c r="U11" s="178">
        <f>'Données projet'!D10</f>
        <v>0.29992978232520817</v>
      </c>
      <c r="V11" s="177">
        <f t="shared" ref="V11" si="0">U11*T11</f>
        <v>241.74518296148335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4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Chêne chevelu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330.91953589708123</v>
      </c>
      <c r="U12" s="178">
        <f>'Données projet'!D11</f>
        <v>0.29992978232520817</v>
      </c>
      <c r="V12" s="177">
        <f t="shared" ref="V12:V19" si="1">U12*T12</f>
        <v>99.252624368770483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4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Bouleau verruqueux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79.549203238852954</v>
      </c>
      <c r="U13" s="178">
        <f>'Données projet'!D12</f>
        <v>0.29992978232520817</v>
      </c>
      <c r="V13" s="177">
        <f t="shared" si="1"/>
        <v>23.859175211572911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45">
      <c r="A14" s="46" t="s">
        <v>165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45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4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>
        <v>45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4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289"/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44.999999999999979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4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89"/>
      <c r="J18" s="202"/>
      <c r="K18" s="208"/>
      <c r="L18" s="259" t="s">
        <v>255</v>
      </c>
      <c r="M18" s="261"/>
      <c r="N18" s="192">
        <v>12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4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539.99999999999977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4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9"/>
      <c r="H20" s="190">
        <v>1</v>
      </c>
      <c r="I20" s="191">
        <v>2300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4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v>600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4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v>450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45">
      <c r="A23" s="180">
        <f>'Données projet'!A36</f>
        <v>14</v>
      </c>
      <c r="B23" s="181">
        <f>'Données projet'!D36</f>
        <v>34.61</v>
      </c>
      <c r="C23" s="193">
        <v>8</v>
      </c>
      <c r="D23" s="182">
        <f>B23*C23</f>
        <v>276.88</v>
      </c>
      <c r="E23" s="193">
        <v>60</v>
      </c>
      <c r="F23" s="230"/>
      <c r="H23" s="190">
        <v>5</v>
      </c>
      <c r="I23" s="191">
        <v>400</v>
      </c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-1473.8760012994535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45">
      <c r="A24" s="180">
        <f>'Données projet'!A37</f>
        <v>19</v>
      </c>
      <c r="B24" s="181">
        <f>'Données projet'!D37</f>
        <v>59.900000000000006</v>
      </c>
      <c r="C24" s="193">
        <v>13.125</v>
      </c>
      <c r="D24" s="182">
        <f t="shared" ref="D24:D42" si="2">B24*C24</f>
        <v>786.18750000000011</v>
      </c>
      <c r="E24" s="193">
        <v>60</v>
      </c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891.02906209189882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45">
      <c r="A25" s="180">
        <f>'Données projet'!A38</f>
        <v>25</v>
      </c>
      <c r="B25" s="181">
        <f>'Données projet'!D38</f>
        <v>61.28</v>
      </c>
      <c r="C25" s="193">
        <v>24.5</v>
      </c>
      <c r="D25" s="182">
        <f t="shared" si="2"/>
        <v>1501.3600000000001</v>
      </c>
      <c r="E25" s="193">
        <v>60</v>
      </c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3">
        <f ca="1">T23-T24</f>
        <v>-2364.9050633913521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45">
      <c r="A26" s="180">
        <f>'Données projet'!A39</f>
        <v>32</v>
      </c>
      <c r="B26" s="181">
        <f>'Données projet'!D39</f>
        <v>76.71999999999997</v>
      </c>
      <c r="C26" s="193">
        <v>24.5</v>
      </c>
      <c r="D26" s="182">
        <f t="shared" si="2"/>
        <v>1879.6399999999992</v>
      </c>
      <c r="E26" s="193">
        <v>60</v>
      </c>
      <c r="F26" s="233"/>
      <c r="G26" s="229"/>
      <c r="H26" s="190"/>
      <c r="I26" s="191"/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45">
      <c r="A27" s="180">
        <f>'Données projet'!A40</f>
        <v>45</v>
      </c>
      <c r="B27" s="181">
        <f>'Données projet'!D40</f>
        <v>505.89</v>
      </c>
      <c r="C27" s="193">
        <v>32</v>
      </c>
      <c r="D27" s="182">
        <f t="shared" si="2"/>
        <v>16188.48</v>
      </c>
      <c r="E27" s="193">
        <v>60</v>
      </c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45">
      <c r="A28" s="180">
        <f>'Données projet'!A41</f>
        <v>0</v>
      </c>
      <c r="B28" s="181">
        <f>'Données projet'!D41</f>
        <v>0</v>
      </c>
      <c r="C28" s="193"/>
      <c r="D28" s="182">
        <f t="shared" si="2"/>
        <v>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45">
      <c r="A29" s="180">
        <f>'Données projet'!A42</f>
        <v>0</v>
      </c>
      <c r="B29" s="181">
        <f>'Données projet'!D42</f>
        <v>0</v>
      </c>
      <c r="C29" s="193"/>
      <c r="D29" s="182">
        <f t="shared" si="2"/>
        <v>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45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4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4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4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4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4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4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4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4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4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4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4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4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4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4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45">
      <c r="A45" s="46" t="s">
        <v>166</v>
      </c>
      <c r="B45" s="174" t="str">
        <f>IF('Données projet'!$B$10="","",'Données projet'!$B$10)</f>
        <v>Chêne sessile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4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4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4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4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4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4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4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4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45">
      <c r="A54" s="180">
        <f>'Données projet'!A62</f>
        <v>42</v>
      </c>
      <c r="B54" s="181">
        <f>'Données projet'!D62</f>
        <v>44.510000000000005</v>
      </c>
      <c r="C54" s="191">
        <v>15</v>
      </c>
      <c r="D54" s="179">
        <f>B54*C54</f>
        <v>667.65000000000009</v>
      </c>
      <c r="E54" s="193">
        <v>60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45">
      <c r="A55" s="180">
        <f>'Données projet'!A63</f>
        <v>50</v>
      </c>
      <c r="B55" s="181">
        <f>'Données projet'!D63</f>
        <v>37.54000000000002</v>
      </c>
      <c r="C55" s="191">
        <v>15</v>
      </c>
      <c r="D55" s="179">
        <f t="shared" ref="D55:D73" si="4">B55*C55</f>
        <v>563.10000000000036</v>
      </c>
      <c r="E55" s="193">
        <v>60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45">
      <c r="A56" s="180">
        <f>'Données projet'!A64</f>
        <v>58</v>
      </c>
      <c r="B56" s="181">
        <f>'Données projet'!D64</f>
        <v>47.789999999999992</v>
      </c>
      <c r="C56" s="191">
        <v>15</v>
      </c>
      <c r="D56" s="179">
        <f t="shared" si="4"/>
        <v>716.84999999999991</v>
      </c>
      <c r="E56" s="193">
        <v>60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45">
      <c r="A57" s="180">
        <f>'Données projet'!A65</f>
        <v>66</v>
      </c>
      <c r="B57" s="181">
        <f>'Données projet'!D65</f>
        <v>53.679999999999978</v>
      </c>
      <c r="C57" s="191">
        <v>59.875</v>
      </c>
      <c r="D57" s="179">
        <f t="shared" si="4"/>
        <v>3214.0899999999988</v>
      </c>
      <c r="E57" s="193">
        <v>60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45">
      <c r="A58" s="180">
        <f>'Données projet'!A66</f>
        <v>74</v>
      </c>
      <c r="B58" s="181">
        <f>'Données projet'!D66</f>
        <v>51.339999999999975</v>
      </c>
      <c r="C58" s="191">
        <v>59.875</v>
      </c>
      <c r="D58" s="179">
        <f t="shared" si="4"/>
        <v>3073.9824999999987</v>
      </c>
      <c r="E58" s="193">
        <v>60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45">
      <c r="A59" s="180">
        <f>'Données projet'!A67</f>
        <v>84</v>
      </c>
      <c r="B59" s="181">
        <f>'Données projet'!D67</f>
        <v>66.69</v>
      </c>
      <c r="C59" s="191">
        <v>59.875</v>
      </c>
      <c r="D59" s="179">
        <f t="shared" si="4"/>
        <v>3993.0637499999998</v>
      </c>
      <c r="E59" s="193">
        <v>60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45">
      <c r="A60" s="180">
        <f>'Données projet'!A68</f>
        <v>94</v>
      </c>
      <c r="B60" s="181">
        <f>'Données projet'!D68</f>
        <v>67.350000000000023</v>
      </c>
      <c r="C60" s="191">
        <v>59.875</v>
      </c>
      <c r="D60" s="179">
        <f t="shared" si="4"/>
        <v>4032.5812500000015</v>
      </c>
      <c r="E60" s="193">
        <v>60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45">
      <c r="A61" s="180">
        <f>'Données projet'!A69</f>
        <v>104</v>
      </c>
      <c r="B61" s="181">
        <f>'Données projet'!D69</f>
        <v>66.089999999999975</v>
      </c>
      <c r="C61" s="191">
        <v>59.875</v>
      </c>
      <c r="D61" s="179">
        <f t="shared" si="4"/>
        <v>3957.1387499999987</v>
      </c>
      <c r="E61" s="193">
        <v>60</v>
      </c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45">
      <c r="A62" s="180">
        <f>'Données projet'!A70</f>
        <v>114</v>
      </c>
      <c r="B62" s="181">
        <f>'Données projet'!D70</f>
        <v>61.860000000000014</v>
      </c>
      <c r="C62" s="191">
        <v>59.875</v>
      </c>
      <c r="D62" s="179">
        <f t="shared" si="4"/>
        <v>3703.8675000000007</v>
      </c>
      <c r="E62" s="193">
        <v>60</v>
      </c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45">
      <c r="A63" s="180">
        <f>'Données projet'!A71</f>
        <v>124</v>
      </c>
      <c r="B63" s="181">
        <f>'Données projet'!D71</f>
        <v>57.81</v>
      </c>
      <c r="C63" s="191">
        <v>59.875</v>
      </c>
      <c r="D63" s="179">
        <f t="shared" si="4"/>
        <v>3461.3737500000002</v>
      </c>
      <c r="E63" s="193">
        <v>60</v>
      </c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45">
      <c r="A64" s="180">
        <f>'Données projet'!A72</f>
        <v>134</v>
      </c>
      <c r="B64" s="181">
        <f>'Données projet'!D72</f>
        <v>60.779999999999973</v>
      </c>
      <c r="C64" s="191">
        <v>179.75</v>
      </c>
      <c r="D64" s="179">
        <f t="shared" si="4"/>
        <v>10925.204999999994</v>
      </c>
      <c r="E64" s="193">
        <v>60</v>
      </c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45">
      <c r="A65" s="180">
        <f>'Données projet'!A73</f>
        <v>144</v>
      </c>
      <c r="B65" s="181">
        <f>'Données projet'!D73</f>
        <v>61.800000000000068</v>
      </c>
      <c r="C65" s="191">
        <v>179.75</v>
      </c>
      <c r="D65" s="179">
        <f t="shared" si="4"/>
        <v>11108.550000000012</v>
      </c>
      <c r="E65" s="193">
        <v>60</v>
      </c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45">
      <c r="A66" s="180">
        <f>'Données projet'!A74</f>
        <v>154</v>
      </c>
      <c r="B66" s="181">
        <f>'Données projet'!D74</f>
        <v>61.050000000000011</v>
      </c>
      <c r="C66" s="191">
        <v>179.75</v>
      </c>
      <c r="D66" s="179">
        <f t="shared" si="4"/>
        <v>10973.737500000003</v>
      </c>
      <c r="E66" s="193">
        <v>60</v>
      </c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45">
      <c r="A67" s="180">
        <f>'Données projet'!A75</f>
        <v>164</v>
      </c>
      <c r="B67" s="181">
        <f>'Données projet'!D75</f>
        <v>66.020000000000095</v>
      </c>
      <c r="C67" s="191">
        <v>179.75</v>
      </c>
      <c r="D67" s="179">
        <f t="shared" si="4"/>
        <v>11867.095000000018</v>
      </c>
      <c r="E67" s="193">
        <v>60</v>
      </c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45">
      <c r="A68" s="180">
        <f>'Données projet'!A76</f>
        <v>174</v>
      </c>
      <c r="B68" s="181">
        <f>'Données projet'!D76</f>
        <v>240</v>
      </c>
      <c r="C68" s="191">
        <v>234.375</v>
      </c>
      <c r="D68" s="179">
        <f t="shared" si="4"/>
        <v>56250</v>
      </c>
      <c r="E68" s="193">
        <v>60</v>
      </c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45">
      <c r="A69" s="180">
        <f>'Données projet'!A77</f>
        <v>177</v>
      </c>
      <c r="B69" s="181">
        <f>'Données projet'!D77</f>
        <v>128.66000000000003</v>
      </c>
      <c r="C69" s="191">
        <v>234.375</v>
      </c>
      <c r="D69" s="179">
        <f t="shared" si="4"/>
        <v>30154.687500000007</v>
      </c>
      <c r="E69" s="193">
        <v>60</v>
      </c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45">
      <c r="A70" s="180">
        <f>'Données projet'!A78</f>
        <v>180</v>
      </c>
      <c r="B70" s="181">
        <f>'Données projet'!D78</f>
        <v>86.97</v>
      </c>
      <c r="C70" s="191">
        <v>234.375</v>
      </c>
      <c r="D70" s="179">
        <f t="shared" si="4"/>
        <v>20383.59375</v>
      </c>
      <c r="E70" s="193">
        <v>60</v>
      </c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45">
      <c r="A71" s="180">
        <f>'Données projet'!A79</f>
        <v>183</v>
      </c>
      <c r="B71" s="181">
        <f>'Données projet'!D79</f>
        <v>191.47</v>
      </c>
      <c r="C71" s="191">
        <v>234.375</v>
      </c>
      <c r="D71" s="179">
        <f t="shared" si="4"/>
        <v>44875.78125</v>
      </c>
      <c r="E71" s="193">
        <v>60</v>
      </c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4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4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4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4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45">
      <c r="A76" s="46" t="s">
        <v>167</v>
      </c>
      <c r="B76" s="174" t="str">
        <f>IF('Données projet'!B11="","",'Données projet'!B11)</f>
        <v>Chêne chevelu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4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4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4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 t="str">
        <f>IF(O78+1&lt;=MIN('Données projet'!$E$9:$E$18),O78+1,"STOP")</f>
        <v>STOP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4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4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4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4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4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45">
      <c r="A85" s="180">
        <f>'Données projet'!A88</f>
        <v>20</v>
      </c>
      <c r="B85" s="181">
        <f>'Données projet'!D88</f>
        <v>18.589743589743588</v>
      </c>
      <c r="C85" s="191">
        <v>13.5625</v>
      </c>
      <c r="D85" s="179">
        <f>B85*C85</f>
        <v>252.1233974358974</v>
      </c>
      <c r="E85" s="193">
        <v>60</v>
      </c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45">
      <c r="A86" s="180">
        <f>'Données projet'!A89</f>
        <v>25</v>
      </c>
      <c r="B86" s="181">
        <f>'Données projet'!D89</f>
        <v>12.179487179487179</v>
      </c>
      <c r="C86" s="191">
        <v>13.5625</v>
      </c>
      <c r="D86" s="179">
        <f t="shared" ref="D86:D104" si="6">B86*C86</f>
        <v>165.18429487179486</v>
      </c>
      <c r="E86" s="193">
        <v>60</v>
      </c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45">
      <c r="A87" s="180">
        <f>'Données projet'!A90</f>
        <v>30</v>
      </c>
      <c r="B87" s="181">
        <f>'Données projet'!D90</f>
        <v>12.820512820512819</v>
      </c>
      <c r="C87" s="191">
        <v>13.5625</v>
      </c>
      <c r="D87" s="179">
        <f t="shared" si="6"/>
        <v>173.87820512820511</v>
      </c>
      <c r="E87" s="193">
        <v>60</v>
      </c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45">
      <c r="A88" s="180">
        <f>'Données projet'!A91</f>
        <v>35</v>
      </c>
      <c r="B88" s="181">
        <f>'Données projet'!D91</f>
        <v>12.820512820512819</v>
      </c>
      <c r="C88" s="191">
        <v>13.5625</v>
      </c>
      <c r="D88" s="179">
        <f t="shared" si="6"/>
        <v>173.87820512820511</v>
      </c>
      <c r="E88" s="193">
        <v>60</v>
      </c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45">
      <c r="A89" s="180">
        <f>'Données projet'!A92</f>
        <v>40</v>
      </c>
      <c r="B89" s="181">
        <f>'Données projet'!D92</f>
        <v>12.820512820512819</v>
      </c>
      <c r="C89" s="191">
        <v>13.5625</v>
      </c>
      <c r="D89" s="179">
        <f t="shared" si="6"/>
        <v>173.87820512820511</v>
      </c>
      <c r="E89" s="193">
        <v>60</v>
      </c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45">
      <c r="A90" s="180">
        <f>'Données projet'!A93</f>
        <v>45</v>
      </c>
      <c r="B90" s="181">
        <f>'Données projet'!D93</f>
        <v>12.179487179487179</v>
      </c>
      <c r="C90" s="191">
        <v>13.5625</v>
      </c>
      <c r="D90" s="179">
        <f t="shared" si="6"/>
        <v>165.18429487179486</v>
      </c>
      <c r="E90" s="193">
        <v>60</v>
      </c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45">
      <c r="A91" s="180">
        <f>'Données projet'!A94</f>
        <v>50</v>
      </c>
      <c r="B91" s="181">
        <f>'Données projet'!D94</f>
        <v>11.538461538461538</v>
      </c>
      <c r="C91" s="191">
        <v>13.5625</v>
      </c>
      <c r="D91" s="179">
        <f t="shared" si="6"/>
        <v>156.49038461538461</v>
      </c>
      <c r="E91" s="193">
        <v>60</v>
      </c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45">
      <c r="A92" s="180">
        <f>'Données projet'!A95</f>
        <v>55</v>
      </c>
      <c r="B92" s="181">
        <f>'Données projet'!D95</f>
        <v>10.897435897435898</v>
      </c>
      <c r="C92" s="191">
        <v>13.5625</v>
      </c>
      <c r="D92" s="179">
        <f t="shared" si="6"/>
        <v>147.79647435897436</v>
      </c>
      <c r="E92" s="193">
        <v>60</v>
      </c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45">
      <c r="A93" s="180">
        <f>'Données projet'!A96</f>
        <v>60</v>
      </c>
      <c r="B93" s="181">
        <f>'Données projet'!D96</f>
        <v>10.256410256410255</v>
      </c>
      <c r="C93" s="191">
        <v>13.5625</v>
      </c>
      <c r="D93" s="179">
        <f t="shared" si="6"/>
        <v>139.10256410256409</v>
      </c>
      <c r="E93" s="193">
        <v>60</v>
      </c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45">
      <c r="A94" s="180">
        <f>'Données projet'!A97</f>
        <v>65</v>
      </c>
      <c r="B94" s="181">
        <f>'Données projet'!D97</f>
        <v>9.615384615384615</v>
      </c>
      <c r="C94" s="191">
        <v>32.787500000000001</v>
      </c>
      <c r="D94" s="179">
        <f t="shared" si="6"/>
        <v>315.26442307692309</v>
      </c>
      <c r="E94" s="193">
        <v>60</v>
      </c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45">
      <c r="A95" s="180">
        <f>'Données projet'!A98</f>
        <v>70</v>
      </c>
      <c r="B95" s="181">
        <f>'Données projet'!D98</f>
        <v>8.9743589743589745</v>
      </c>
      <c r="C95" s="191">
        <v>32.787500000000001</v>
      </c>
      <c r="D95" s="179">
        <f t="shared" si="6"/>
        <v>294.24679487179486</v>
      </c>
      <c r="E95" s="193">
        <v>60</v>
      </c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45">
      <c r="A96" s="180">
        <f>'Données projet'!A99</f>
        <v>75</v>
      </c>
      <c r="B96" s="181">
        <f>'Données projet'!D99</f>
        <v>7.6923076923076916</v>
      </c>
      <c r="C96" s="191">
        <v>32.787500000000001</v>
      </c>
      <c r="D96" s="179">
        <f t="shared" si="6"/>
        <v>252.21153846153845</v>
      </c>
      <c r="E96" s="193">
        <v>60</v>
      </c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45">
      <c r="A97" s="180">
        <f>'Données projet'!A100</f>
        <v>80</v>
      </c>
      <c r="B97" s="181">
        <f>'Données projet'!D100</f>
        <v>7.0512820512820511</v>
      </c>
      <c r="C97" s="191">
        <v>32.787500000000001</v>
      </c>
      <c r="D97" s="179">
        <f t="shared" si="6"/>
        <v>231.19391025641025</v>
      </c>
      <c r="E97" s="193">
        <v>60</v>
      </c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45">
      <c r="A98" s="180">
        <f>'Données projet'!A101</f>
        <v>85</v>
      </c>
      <c r="B98" s="181">
        <f>'Données projet'!D101</f>
        <v>6.4102564102564097</v>
      </c>
      <c r="C98" s="191">
        <v>32.787500000000001</v>
      </c>
      <c r="D98" s="179">
        <f t="shared" si="6"/>
        <v>210.17628205128204</v>
      </c>
      <c r="E98" s="193">
        <v>60</v>
      </c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45">
      <c r="A99" s="180">
        <f>'Données projet'!A102</f>
        <v>90</v>
      </c>
      <c r="B99" s="181">
        <f>'Données projet'!D102</f>
        <v>6.4102564102564097</v>
      </c>
      <c r="C99" s="191">
        <v>32.787500000000001</v>
      </c>
      <c r="D99" s="179">
        <f t="shared" si="6"/>
        <v>210.17628205128204</v>
      </c>
      <c r="E99" s="193">
        <v>60</v>
      </c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45">
      <c r="A100" s="180">
        <f>'Données projet'!A103</f>
        <v>95</v>
      </c>
      <c r="B100" s="181">
        <f>'Données projet'!D103</f>
        <v>7.0512820512820511</v>
      </c>
      <c r="C100" s="191">
        <v>32.787500000000001</v>
      </c>
      <c r="D100" s="179">
        <f t="shared" si="6"/>
        <v>231.19391025641025</v>
      </c>
      <c r="E100" s="193">
        <v>60</v>
      </c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45">
      <c r="A101" s="180">
        <f>'Données projet'!A104</f>
        <v>100</v>
      </c>
      <c r="B101" s="181">
        <f>'Données projet'!D104</f>
        <v>142.94871794871796</v>
      </c>
      <c r="C101" s="191">
        <v>32.787500000000001</v>
      </c>
      <c r="D101" s="179">
        <f t="shared" si="6"/>
        <v>4686.9310897435898</v>
      </c>
      <c r="E101" s="193">
        <v>60</v>
      </c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4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4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4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4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4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45">
      <c r="A107" s="46" t="s">
        <v>168</v>
      </c>
      <c r="B107" s="174" t="str">
        <f>IF('Données projet'!B12="","",'Données projet'!B12)</f>
        <v>Bouleau verruqueux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4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4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4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4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4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4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4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4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45">
      <c r="A116" s="180">
        <f>'Données projet'!A114</f>
        <v>15</v>
      </c>
      <c r="B116" s="181">
        <f>'Données projet'!D114</f>
        <v>0</v>
      </c>
      <c r="C116" s="191">
        <v>13.5625</v>
      </c>
      <c r="D116" s="179">
        <f>B116*C116</f>
        <v>0</v>
      </c>
      <c r="E116" s="193">
        <v>0</v>
      </c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45">
      <c r="A117" s="180">
        <f>'Données projet'!A115</f>
        <v>20</v>
      </c>
      <c r="B117" s="181">
        <f>'Données projet'!D115</f>
        <v>5.7692307692307692</v>
      </c>
      <c r="C117" s="191">
        <v>13.5625</v>
      </c>
      <c r="D117" s="179">
        <f t="shared" ref="D117:D135" si="8">B117*C117</f>
        <v>78.245192307692307</v>
      </c>
      <c r="E117" s="193">
        <v>60</v>
      </c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45">
      <c r="A118" s="180">
        <f>'Données projet'!A116</f>
        <v>25</v>
      </c>
      <c r="B118" s="181">
        <f>'Données projet'!D116</f>
        <v>5.1282051282051277</v>
      </c>
      <c r="C118" s="191">
        <v>13.5625</v>
      </c>
      <c r="D118" s="179">
        <f t="shared" si="8"/>
        <v>69.551282051282044</v>
      </c>
      <c r="E118" s="193">
        <v>60</v>
      </c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45">
      <c r="A119" s="180">
        <f>'Données projet'!A117</f>
        <v>30</v>
      </c>
      <c r="B119" s="181">
        <f>'Données projet'!D117</f>
        <v>5.7692307692307692</v>
      </c>
      <c r="C119" s="191">
        <v>13.5625</v>
      </c>
      <c r="D119" s="179">
        <f t="shared" si="8"/>
        <v>78.245192307692307</v>
      </c>
      <c r="E119" s="193">
        <v>60</v>
      </c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45">
      <c r="A120" s="180">
        <f>'Données projet'!A118</f>
        <v>35</v>
      </c>
      <c r="B120" s="181">
        <f>'Données projet'!D118</f>
        <v>6.4102564102564097</v>
      </c>
      <c r="C120" s="191">
        <v>13.5625</v>
      </c>
      <c r="D120" s="179">
        <f t="shared" si="8"/>
        <v>86.939102564102555</v>
      </c>
      <c r="E120" s="193">
        <v>60</v>
      </c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45">
      <c r="A121" s="180">
        <f>'Données projet'!A119</f>
        <v>40</v>
      </c>
      <c r="B121" s="181">
        <f>'Données projet'!D119</f>
        <v>6.4102564102564097</v>
      </c>
      <c r="C121" s="191">
        <v>13.5625</v>
      </c>
      <c r="D121" s="179">
        <f t="shared" si="8"/>
        <v>86.939102564102555</v>
      </c>
      <c r="E121" s="193">
        <v>60</v>
      </c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45">
      <c r="A122" s="180">
        <f>'Données projet'!A120</f>
        <v>45</v>
      </c>
      <c r="B122" s="181">
        <f>'Données projet'!D120</f>
        <v>7.0512820512820511</v>
      </c>
      <c r="C122" s="191">
        <v>13.5625</v>
      </c>
      <c r="D122" s="179">
        <f t="shared" si="8"/>
        <v>95.633012820512818</v>
      </c>
      <c r="E122" s="193">
        <v>60</v>
      </c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45">
      <c r="A123" s="180">
        <f>'Données projet'!A121</f>
        <v>50</v>
      </c>
      <c r="B123" s="181">
        <f>'Données projet'!D121</f>
        <v>7.0512820512820511</v>
      </c>
      <c r="C123" s="191">
        <v>13.5625</v>
      </c>
      <c r="D123" s="179">
        <f t="shared" si="8"/>
        <v>95.633012820512818</v>
      </c>
      <c r="E123" s="193">
        <v>60</v>
      </c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45">
      <c r="A124" s="180">
        <f>'Données projet'!A122</f>
        <v>55</v>
      </c>
      <c r="B124" s="181">
        <f>'Données projet'!D122</f>
        <v>7.0512820512820511</v>
      </c>
      <c r="C124" s="191">
        <v>13.5625</v>
      </c>
      <c r="D124" s="179">
        <f t="shared" si="8"/>
        <v>95.633012820512818</v>
      </c>
      <c r="E124" s="193">
        <v>60</v>
      </c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45">
      <c r="A125" s="180">
        <f>'Données projet'!A123</f>
        <v>60</v>
      </c>
      <c r="B125" s="181">
        <f>'Données projet'!D123</f>
        <v>7.0512820512820511</v>
      </c>
      <c r="C125" s="191">
        <v>13.5625</v>
      </c>
      <c r="D125" s="179">
        <f t="shared" si="8"/>
        <v>95.633012820512818</v>
      </c>
      <c r="E125" s="193">
        <v>60</v>
      </c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45">
      <c r="A126" s="180">
        <f>'Données projet'!A124</f>
        <v>65</v>
      </c>
      <c r="B126" s="181">
        <f>'Données projet'!D124</f>
        <v>7.0512820512820511</v>
      </c>
      <c r="C126" s="191">
        <v>13.5625</v>
      </c>
      <c r="D126" s="179">
        <f t="shared" si="8"/>
        <v>95.633012820512818</v>
      </c>
      <c r="E126" s="193">
        <v>60</v>
      </c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45">
      <c r="A127" s="180">
        <f>'Données projet'!A125</f>
        <v>70</v>
      </c>
      <c r="B127" s="181">
        <f>'Données projet'!D125</f>
        <v>7.0512820512820511</v>
      </c>
      <c r="C127" s="191">
        <v>13.5625</v>
      </c>
      <c r="D127" s="179">
        <f t="shared" si="8"/>
        <v>95.633012820512818</v>
      </c>
      <c r="E127" s="193">
        <v>60</v>
      </c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45">
      <c r="A128" s="180">
        <f>'Données projet'!A126</f>
        <v>75</v>
      </c>
      <c r="B128" s="181">
        <f>'Données projet'!D126</f>
        <v>7.0512820512820511</v>
      </c>
      <c r="C128" s="191">
        <v>13.5625</v>
      </c>
      <c r="D128" s="179">
        <f t="shared" si="8"/>
        <v>95.633012820512818</v>
      </c>
      <c r="E128" s="193">
        <v>60</v>
      </c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45">
      <c r="A129" s="180">
        <f>'Données projet'!A127</f>
        <v>80</v>
      </c>
      <c r="B129" s="181">
        <f>'Données projet'!D127</f>
        <v>7.0512820512820511</v>
      </c>
      <c r="C129" s="191">
        <v>13.5625</v>
      </c>
      <c r="D129" s="179">
        <f t="shared" si="8"/>
        <v>95.633012820512818</v>
      </c>
      <c r="E129" s="193">
        <v>60</v>
      </c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45">
      <c r="A130" s="180">
        <f>'Données projet'!A128</f>
        <v>85</v>
      </c>
      <c r="B130" s="181">
        <f>'Données projet'!D128</f>
        <v>6.4102564102564097</v>
      </c>
      <c r="C130" s="191">
        <v>13.5625</v>
      </c>
      <c r="D130" s="179">
        <f t="shared" si="8"/>
        <v>86.939102564102555</v>
      </c>
      <c r="E130" s="193">
        <v>60</v>
      </c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45">
      <c r="A131" s="180">
        <f>'Données projet'!A129</f>
        <v>90</v>
      </c>
      <c r="B131" s="181">
        <f>'Données projet'!D129</f>
        <v>129.48717948717947</v>
      </c>
      <c r="C131" s="191">
        <v>13.5625</v>
      </c>
      <c r="D131" s="179">
        <f t="shared" si="8"/>
        <v>1756.1698717948716</v>
      </c>
      <c r="E131" s="193">
        <v>60</v>
      </c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4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4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4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4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4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4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4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4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4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4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4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4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4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4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4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4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4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4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4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4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4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4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4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4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4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4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4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4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4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4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4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4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4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4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4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4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4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4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4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4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4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4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4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4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4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4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4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4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4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4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4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4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4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4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4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4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4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4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4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4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4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4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4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4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4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4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4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4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4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4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4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4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4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4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4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4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4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4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4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4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4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4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4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4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4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4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4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4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4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4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4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4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4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4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4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4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4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4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4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4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4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4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4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4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4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4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4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4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4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4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4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4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4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4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4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4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4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4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4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4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4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4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4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4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4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4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4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4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4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4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4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4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4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4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4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4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4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4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4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4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4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4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4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4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4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4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4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4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4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4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4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4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4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4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4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4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4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4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4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4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4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4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4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4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4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4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4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4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4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4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4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4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4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4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4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4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4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4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4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4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4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4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4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4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4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4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4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4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4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4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4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4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4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4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4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4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4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4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4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4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4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4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4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4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4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4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4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4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4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4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4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4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4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4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4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4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4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4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4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4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4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4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4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4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4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4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4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4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4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4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4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4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4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4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4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4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4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4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4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4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4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4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4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4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4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4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4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4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4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4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4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4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4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4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4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4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4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4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4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4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4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4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4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4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4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4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4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4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4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4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4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4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4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4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4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4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4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4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4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4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4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4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4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4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4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4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4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4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4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4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4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4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4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4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4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4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4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4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4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4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4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4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4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4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4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4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4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4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4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4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4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4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4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4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4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4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4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4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4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4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4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4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4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4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4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4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4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4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4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4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4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4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4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4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4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4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4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4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4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4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4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4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4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4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4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4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4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4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4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4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4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4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4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4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4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4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4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4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4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4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4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4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4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4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4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4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4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4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4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4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4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4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4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4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4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4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4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4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4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4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4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4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4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4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4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4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4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4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4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4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4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4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4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4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4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4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4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4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4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4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4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4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4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4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4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4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4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4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4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4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4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4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4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4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4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4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4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4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4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4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4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6884909D472E4887D0D71289C24DC5" ma:contentTypeVersion="16" ma:contentTypeDescription="Create a new document." ma:contentTypeScope="" ma:versionID="b650ad57ab3a7623fd3df204a7303bfb">
  <xsd:schema xmlns:xsd="http://www.w3.org/2001/XMLSchema" xmlns:xs="http://www.w3.org/2001/XMLSchema" xmlns:p="http://schemas.microsoft.com/office/2006/metadata/properties" xmlns:ns2="0b31a522-a3bf-48c4-bec5-a17f159ba481" xmlns:ns3="e2382d34-9bb8-44b7-b653-fe70b92f328c" targetNamespace="http://schemas.microsoft.com/office/2006/metadata/properties" ma:root="true" ma:fieldsID="87e2e07588c417d1119dc0de3bcdcb0c" ns2:_="" ns3:_="">
    <xsd:import namespace="0b31a522-a3bf-48c4-bec5-a17f159ba481"/>
    <xsd:import namespace="e2382d34-9bb8-44b7-b653-fe70b92f32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1a522-a3bf-48c4-bec5-a17f159ba4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1090b2c-5079-4c1b-ae3e-0f22ffb919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382d34-9bb8-44b7-b653-fe70b92f328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ea42f30-ac50-40fe-8b72-1112505a2dd8}" ma:internalName="TaxCatchAll" ma:showField="CatchAllData" ma:web="e2382d34-9bb8-44b7-b653-fe70b92f32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382d34-9bb8-44b7-b653-fe70b92f328c" xsi:nil="true"/>
    <lcf76f155ced4ddcb4097134ff3c332f xmlns="0b31a522-a3bf-48c4-bec5-a17f159ba481">
      <Terms xmlns="http://schemas.microsoft.com/office/infopath/2007/PartnerControls"/>
    </lcf76f155ced4ddcb4097134ff3c332f>
    <_Flow_SignoffStatus xmlns="0b31a522-a3bf-48c4-bec5-a17f159ba481" xsi:nil="true"/>
  </documentManagement>
</p:properties>
</file>

<file path=customXml/itemProps1.xml><?xml version="1.0" encoding="utf-8"?>
<ds:datastoreItem xmlns:ds="http://schemas.openxmlformats.org/officeDocument/2006/customXml" ds:itemID="{A2C4484C-B396-4BA9-936F-0519E16073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31a522-a3bf-48c4-bec5-a17f159ba481"/>
    <ds:schemaRef ds:uri="e2382d34-9bb8-44b7-b653-fe70b92f32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5FAA7A5-08E0-4AB3-A520-642EC6EE89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6205DCA-6742-4355-9597-9D6EAA81C88C}">
  <ds:schemaRefs>
    <ds:schemaRef ds:uri="http://schemas.microsoft.com/office/2006/metadata/properties"/>
    <ds:schemaRef ds:uri="http://schemas.microsoft.com/office/infopath/2007/PartnerControls"/>
    <ds:schemaRef ds:uri="e2382d34-9bb8-44b7-b653-fe70b92f328c"/>
    <ds:schemaRef ds:uri="0b31a522-a3bf-48c4-bec5-a17f159ba48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Lucas ELLENS</cp:lastModifiedBy>
  <dcterms:created xsi:type="dcterms:W3CDTF">2021-02-01T08:22:39Z</dcterms:created>
  <dcterms:modified xsi:type="dcterms:W3CDTF">2024-10-25T11:08:26Z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0x010100A36884909D472E4887D0D71289C24DC5</vt:lpwstr>
  </property>
  <property fmtid="{D5CDD505-2E9C-101B-9397-08002B2CF9AE}" pid="3" name="Order">
    <vt:r8>2104800</vt:r8>
  </property>
  <property fmtid="{D5CDD505-2E9C-101B-9397-08002B2CF9AE}" pid="4" name="MediaServiceImageTags">
    <vt:lpwstr/>
  </property>
</Properties>
</file>