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Mission accomplie\CNPF C+for n° 191 Lagraulière (Andros n° 3)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D68" i="1"/>
  <c r="B68" i="1"/>
  <c r="B67" i="1"/>
  <c r="D66" i="1"/>
  <c r="B66" i="1"/>
  <c r="B65" i="1"/>
  <c r="D64" i="1"/>
  <c r="B64" i="1"/>
  <c r="B63" i="1"/>
  <c r="B43" i="1"/>
  <c r="D42" i="1"/>
  <c r="B42" i="1"/>
  <c r="B41" i="1"/>
  <c r="D40" i="1"/>
  <c r="B40" i="1"/>
  <c r="B39" i="1"/>
  <c r="D38" i="1"/>
  <c r="B38" i="1"/>
  <c r="B37" i="1"/>
  <c r="B88" i="1" l="1"/>
  <c r="B179" i="1" l="1"/>
  <c r="D179" i="1" s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B211" i="1" l="1"/>
  <c r="D211" i="1" s="1"/>
  <c r="B210" i="1"/>
  <c r="D209" i="1"/>
  <c r="B209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B193" i="1"/>
  <c r="B19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D114" i="1"/>
  <c r="B114" i="1"/>
  <c r="B146" i="1" l="1"/>
  <c r="D146" i="1" s="1"/>
  <c r="D145" i="1"/>
  <c r="B145" i="1"/>
  <c r="D144" i="1"/>
  <c r="B144" i="1"/>
  <c r="D143" i="1"/>
  <c r="B143" i="1"/>
  <c r="D142" i="1"/>
  <c r="B142" i="1"/>
  <c r="D141" i="1"/>
  <c r="B141" i="1"/>
  <c r="D140" i="1"/>
  <c r="B140" i="1"/>
  <c r="D94" i="1"/>
  <c r="B94" i="1"/>
  <c r="D93" i="1"/>
  <c r="B93" i="1"/>
  <c r="D92" i="1"/>
  <c r="B92" i="1"/>
  <c r="D91" i="1"/>
  <c r="B91" i="1"/>
  <c r="D90" i="1"/>
  <c r="B90" i="1"/>
  <c r="D89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W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FS156" i="2" l="1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W162" i="2"/>
  <c r="EY161" i="2"/>
  <c r="EC162" i="2"/>
  <c r="DI161" i="2"/>
  <c r="FS162" i="2"/>
  <c r="AU162" i="2"/>
  <c r="EX162" i="2"/>
  <c r="EY162" i="2" s="1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A164" i="2" l="1"/>
  <c r="EY163" i="2"/>
  <c r="EV164" i="2"/>
  <c r="DI163" i="2"/>
  <c r="FR164" i="2"/>
  <c r="FS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A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DG168" i="2"/>
  <c r="DI167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EV179" i="2"/>
  <c r="EA179" i="2"/>
  <c r="DF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D185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EV192" i="2"/>
  <c r="EB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B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FQ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X195" i="2"/>
  <c r="EY194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J155" i="2" l="1"/>
  <c r="FJ156" i="2"/>
  <c r="FJ110" i="2"/>
  <c r="FJ127" i="2"/>
  <c r="FJ18" i="2"/>
  <c r="FJ55" i="2"/>
  <c r="FJ167" i="2"/>
  <c r="FJ134" i="2"/>
  <c r="FJ113" i="2"/>
  <c r="FJ133" i="2"/>
  <c r="FJ70" i="2"/>
  <c r="FJ91" i="2"/>
  <c r="FJ196" i="2"/>
  <c r="FJ38" i="2"/>
  <c r="FJ13" i="2"/>
  <c r="FJ185" i="2"/>
  <c r="FJ191" i="2"/>
  <c r="FJ136" i="2"/>
  <c r="FJ130" i="2"/>
  <c r="FJ145" i="2"/>
  <c r="FJ152" i="2"/>
  <c r="FJ48" i="2"/>
  <c r="FJ93" i="2"/>
  <c r="FJ182" i="2"/>
  <c r="FJ25" i="2"/>
  <c r="FJ154" i="2"/>
  <c r="FJ171" i="2"/>
  <c r="FJ193" i="2"/>
  <c r="FJ58" i="2"/>
  <c r="FJ28" i="2"/>
  <c r="FJ125" i="2"/>
  <c r="FJ23" i="2"/>
  <c r="FJ163" i="2"/>
  <c r="FJ10" i="2"/>
  <c r="FJ49" i="2"/>
  <c r="FJ158" i="2"/>
  <c r="FJ157" i="2"/>
  <c r="FJ131" i="2"/>
  <c r="FJ72" i="2"/>
  <c r="FJ66" i="2"/>
  <c r="FJ77" i="2"/>
  <c r="FJ69" i="2"/>
  <c r="FJ56" i="2"/>
  <c r="FJ135" i="2"/>
  <c r="FJ122" i="2"/>
  <c r="FJ20" i="2"/>
  <c r="FJ3" i="2"/>
  <c r="C13" i="4" s="1"/>
  <c r="E13" i="4" s="1"/>
  <c r="F13" i="4" s="1"/>
  <c r="G13" i="4" s="1"/>
  <c r="L13" i="4" s="1"/>
  <c r="FJ151" i="2"/>
  <c r="FJ82" i="2"/>
  <c r="FJ34" i="2"/>
  <c r="FJ141" i="2"/>
  <c r="FJ47" i="2"/>
  <c r="FJ121" i="2"/>
  <c r="FJ64" i="2"/>
  <c r="FJ5" i="2"/>
  <c r="FJ6" i="2"/>
  <c r="FJ73" i="2"/>
  <c r="FJ100" i="2"/>
  <c r="FJ99" i="2"/>
  <c r="FJ30" i="2"/>
  <c r="FJ109" i="2"/>
  <c r="FJ199" i="2"/>
  <c r="FJ159" i="2"/>
  <c r="FJ179" i="2"/>
  <c r="FJ164" i="2"/>
  <c r="FJ43" i="2"/>
  <c r="FJ85" i="2"/>
  <c r="FJ15" i="2"/>
  <c r="FJ27" i="2"/>
  <c r="FJ119" i="2"/>
  <c r="FJ198" i="2"/>
  <c r="FJ60" i="2"/>
  <c r="FJ19" i="2"/>
  <c r="FJ95" i="2"/>
  <c r="FJ147" i="2"/>
  <c r="FJ26" i="2"/>
  <c r="FJ74" i="2"/>
  <c r="FJ189" i="2"/>
  <c r="FJ142" i="2"/>
  <c r="FJ203" i="2"/>
  <c r="FJ144" i="2"/>
  <c r="FJ177" i="2"/>
  <c r="FJ143" i="2"/>
  <c r="FJ169" i="2"/>
  <c r="FJ107" i="2"/>
  <c r="FJ62" i="2"/>
  <c r="FJ31" i="2"/>
  <c r="FJ46" i="2"/>
  <c r="FJ184" i="2"/>
  <c r="FJ92" i="2"/>
  <c r="FJ53" i="2"/>
  <c r="FJ32" i="2"/>
  <c r="FJ89" i="2"/>
  <c r="FJ114" i="2"/>
  <c r="FJ149" i="2"/>
  <c r="FJ88" i="2"/>
  <c r="FJ118" i="2"/>
  <c r="FJ71" i="2"/>
  <c r="FJ150" i="2"/>
  <c r="FJ106" i="2"/>
  <c r="FJ78" i="2"/>
  <c r="FJ96" i="2"/>
  <c r="FJ102" i="2"/>
  <c r="FJ128" i="2"/>
  <c r="FJ84" i="2"/>
  <c r="FJ35" i="2"/>
  <c r="FJ175" i="2"/>
  <c r="FJ173" i="2"/>
  <c r="FJ120" i="2"/>
  <c r="FJ108" i="2"/>
  <c r="FJ98" i="2"/>
  <c r="FJ86" i="2"/>
  <c r="FJ180" i="2"/>
  <c r="FJ104" i="2"/>
  <c r="FJ174" i="2"/>
  <c r="FJ162" i="2"/>
  <c r="FJ52" i="2"/>
  <c r="FJ170" i="2"/>
  <c r="FJ76" i="2"/>
  <c r="FJ172" i="2"/>
  <c r="FJ83" i="2"/>
  <c r="FJ68" i="2"/>
  <c r="FJ103" i="2"/>
  <c r="FJ4" i="2"/>
  <c r="FJ153" i="2"/>
  <c r="FJ42" i="2"/>
  <c r="FJ112" i="2"/>
  <c r="FJ81" i="2"/>
  <c r="FJ105" i="2"/>
  <c r="FJ183" i="2"/>
  <c r="FJ57" i="2"/>
  <c r="FJ9" i="2"/>
  <c r="FJ40" i="2"/>
  <c r="FJ14" i="2"/>
  <c r="FJ11" i="2"/>
  <c r="FJ115" i="2"/>
  <c r="FJ21" i="2"/>
  <c r="FJ65" i="2"/>
  <c r="FJ148" i="2"/>
  <c r="FJ24" i="2"/>
  <c r="FJ80" i="2"/>
  <c r="FJ116" i="2"/>
  <c r="FJ90" i="2"/>
  <c r="FJ75" i="2"/>
  <c r="FJ17" i="2"/>
  <c r="FJ67" i="2"/>
  <c r="FJ54" i="2"/>
  <c r="FJ16" i="2"/>
  <c r="FJ195" i="2"/>
  <c r="FJ165" i="2"/>
  <c r="FJ50" i="2"/>
  <c r="FJ188" i="2"/>
  <c r="FJ39" i="2"/>
  <c r="FJ51" i="2"/>
  <c r="FJ201" i="2"/>
  <c r="FJ140" i="2"/>
  <c r="FJ202" i="2"/>
  <c r="FJ123" i="2"/>
  <c r="FJ94" i="2"/>
  <c r="FJ126" i="2"/>
  <c r="FJ37" i="2"/>
  <c r="FJ59" i="2"/>
  <c r="FJ186" i="2"/>
  <c r="FJ41" i="2"/>
  <c r="FJ139" i="2"/>
  <c r="FJ44" i="2"/>
  <c r="FJ176" i="2"/>
  <c r="FJ160" i="2"/>
  <c r="FJ124" i="2"/>
  <c r="FJ61" i="2"/>
  <c r="FJ181" i="2"/>
  <c r="FJ166" i="2"/>
  <c r="FJ45" i="2"/>
  <c r="FJ187" i="2"/>
  <c r="FJ117" i="2"/>
  <c r="FJ63" i="2"/>
  <c r="FJ33" i="2"/>
  <c r="FJ168" i="2"/>
  <c r="FJ36" i="2"/>
  <c r="FJ111" i="2"/>
  <c r="FJ132" i="2"/>
  <c r="FJ197" i="2"/>
  <c r="FJ194" i="2"/>
  <c r="FJ101" i="2"/>
  <c r="FJ22" i="2"/>
  <c r="FJ200" i="2"/>
  <c r="FJ129" i="2"/>
  <c r="FJ192" i="2"/>
  <c r="FJ146" i="2"/>
  <c r="FJ87" i="2"/>
  <c r="FJ190" i="2"/>
  <c r="FJ79" i="2"/>
  <c r="FJ137" i="2"/>
  <c r="FJ8" i="2"/>
  <c r="FJ138" i="2"/>
  <c r="FJ178" i="2"/>
  <c r="FJ161" i="2"/>
  <c r="FJ29" i="2"/>
  <c r="FJ7" i="2"/>
  <c r="FJ12" i="2"/>
  <c r="FJ97" i="2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<sst xmlns="http://schemas.openxmlformats.org/spreadsheetml/2006/main" count="1177" uniqueCount="324">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</sst>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62144"/>
        <c:axId val="-763965952"/>
      </c:scatterChart>
      <c:valAx>
        <c:axId val="-763962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5952"/>
        <c:crosses val="autoZero"/>
        <c:crossBetween val="midCat"/>
      </c:valAx>
      <c:valAx>
        <c:axId val="-76396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2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41472"/>
        <c:axId val="-763949088"/>
      </c:scatterChart>
      <c:valAx>
        <c:axId val="-76394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49088"/>
        <c:crosses val="autoZero"/>
        <c:crossBetween val="midCat"/>
      </c:valAx>
      <c:valAx>
        <c:axId val="-7639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4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57248"/>
        <c:axId val="-763961600"/>
      </c:scatterChart>
      <c:valAx>
        <c:axId val="-76395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1600"/>
        <c:crosses val="autoZero"/>
        <c:crossBetween val="midCat"/>
      </c:valAx>
      <c:valAx>
        <c:axId val="-76396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240.1837679169943</c:v>
                </c:pt>
                <c:pt idx="53">
                  <c:v>250.99537742731059</c:v>
                </c:pt>
                <c:pt idx="54">
                  <c:v>261.79643245856937</c:v>
                </c:pt>
                <c:pt idx="55">
                  <c:v>272.58743011366198</c:v>
                </c:pt>
                <c:pt idx="56">
                  <c:v>283.36882489648752</c:v>
                </c:pt>
                <c:pt idx="57">
                  <c:v>294.14103387936183</c:v>
                </c:pt>
                <c:pt idx="58">
                  <c:v>304.90444107330802</c:v>
                </c:pt>
                <c:pt idx="59">
                  <c:v>315.65940114857386</c:v>
                </c:pt>
                <c:pt idx="60">
                  <c:v>326.40624262128694</c:v>
                </c:pt>
                <c:pt idx="61">
                  <c:v>337.14527059827407</c:v>
                </c:pt>
                <c:pt idx="62">
                  <c:v>347.87676915371691</c:v>
                </c:pt>
                <c:pt idx="63">
                  <c:v>358.60100339709624</c:v>
                </c:pt>
                <c:pt idx="64">
                  <c:v>260.16574342755501</c:v>
                </c:pt>
                <c:pt idx="65">
                  <c:v>270.03856838682219</c:v>
                </c:pt>
                <c:pt idx="66">
                  <c:v>279.90327150057965</c:v>
                </c:pt>
                <c:pt idx="67">
                  <c:v>289.76017957093461</c:v>
                </c:pt>
                <c:pt idx="68">
                  <c:v>299.60959533432191</c:v>
                </c:pt>
                <c:pt idx="69">
                  <c:v>309.45179998376187</c:v>
                </c:pt>
                <c:pt idx="70">
                  <c:v>319.28705535324531</c:v>
                </c:pt>
                <c:pt idx="71">
                  <c:v>329.11560581873823</c:v>
                </c:pt>
                <c:pt idx="72">
                  <c:v>338.93767996010905</c:v>
                </c:pt>
                <c:pt idx="73">
                  <c:v>348.75349202024876</c:v>
                </c:pt>
                <c:pt idx="74">
                  <c:v>358.56324319126094</c:v>
                </c:pt>
                <c:pt idx="75">
                  <c:v>368.36712275248783</c:v>
                </c:pt>
                <c:pt idx="76">
                  <c:v>291.98679373574402</c:v>
                </c:pt>
                <c:pt idx="77">
                  <c:v>301.01220487244677</c:v>
                </c:pt>
                <c:pt idx="78">
                  <c:v>310.03159182793178</c:v>
                </c:pt>
                <c:pt idx="79">
                  <c:v>319.04515470328198</c:v>
                </c:pt>
                <c:pt idx="80">
                  <c:v>328.05308136180139</c:v>
                </c:pt>
                <c:pt idx="81">
                  <c:v>337.05554850027039</c:v>
                </c:pt>
                <c:pt idx="82">
                  <c:v>346.0527225997069</c:v>
                </c:pt>
                <c:pt idx="83">
                  <c:v>355.04476077203117</c:v>
                </c:pt>
                <c:pt idx="84">
                  <c:v>364.03181151643622</c:v>
                </c:pt>
                <c:pt idx="85">
                  <c:v>373.01401539713157</c:v>
                </c:pt>
                <c:pt idx="86">
                  <c:v>381.9915056523692</c:v>
                </c:pt>
                <c:pt idx="87">
                  <c:v>390.9644087432045</c:v>
                </c:pt>
                <c:pt idx="88">
                  <c:v>316.25819110098644</c:v>
                </c:pt>
                <c:pt idx="89">
                  <c:v>324.40452195701022</c:v>
                </c:pt>
                <c:pt idx="90">
                  <c:v>332.54633237194355</c:v>
                </c:pt>
                <c:pt idx="91">
                  <c:v>340.68374872160183</c:v>
                </c:pt>
                <c:pt idx="92">
                  <c:v>348.81689084712207</c:v>
                </c:pt>
                <c:pt idx="93">
                  <c:v>356.94587254069364</c:v>
                </c:pt>
                <c:pt idx="94">
                  <c:v>365.07080198470538</c:v>
                </c:pt>
                <c:pt idx="95">
                  <c:v>373.1917821497359</c:v>
                </c:pt>
                <c:pt idx="96">
                  <c:v>381.30891115607596</c:v>
                </c:pt>
                <c:pt idx="97">
                  <c:v>389.42228260284531</c:v>
                </c:pt>
                <c:pt idx="98">
                  <c:v>397.53198586823669</c:v>
                </c:pt>
                <c:pt idx="99">
                  <c:v>405.63810638397212</c:v>
                </c:pt>
                <c:pt idx="100">
                  <c:v>212.56848233940408</c:v>
                </c:pt>
                <c:pt idx="101">
                  <c:v>218.27904148126359</c:v>
                </c:pt>
                <c:pt idx="102">
                  <c:v>223.98616720918014</c:v>
                </c:pt>
                <c:pt idx="103">
                  <c:v>229.68995950268194</c:v>
                </c:pt>
                <c:pt idx="104">
                  <c:v>235.39051296187935</c:v>
                </c:pt>
                <c:pt idx="105">
                  <c:v>241.08791722313921</c:v>
                </c:pt>
                <c:pt idx="106">
                  <c:v>246.7822573333568</c:v>
                </c:pt>
                <c:pt idx="107">
                  <c:v>252.47361408782783</c:v>
                </c:pt>
                <c:pt idx="108">
                  <c:v>258.16206433602173</c:v>
                </c:pt>
                <c:pt idx="109">
                  <c:v>263.84768125895937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60512"/>
        <c:axId val="-763955616"/>
      </c:scatterChart>
      <c:valAx>
        <c:axId val="-763960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5616"/>
        <c:crosses val="autoZero"/>
        <c:crossBetween val="midCat"/>
      </c:valAx>
      <c:valAx>
        <c:axId val="-76395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222.53665149290285</c:v>
                </c:pt>
                <c:pt idx="22">
                  <c:v>168.76600247780945</c:v>
                </c:pt>
                <c:pt idx="23">
                  <c:v>188.99270051612007</c:v>
                </c:pt>
                <c:pt idx="24">
                  <c:v>209.16892529171821</c:v>
                </c:pt>
                <c:pt idx="25">
                  <c:v>229.3002313036466</c:v>
                </c:pt>
                <c:pt idx="26">
                  <c:v>249.39111690003995</c:v>
                </c:pt>
                <c:pt idx="27">
                  <c:v>269.4452958976164</c:v>
                </c:pt>
                <c:pt idx="28">
                  <c:v>289.46588388785705</c:v>
                </c:pt>
                <c:pt idx="29">
                  <c:v>242.85879845897907</c:v>
                </c:pt>
                <c:pt idx="30">
                  <c:v>264.60158409045465</c:v>
                </c:pt>
                <c:pt idx="31">
                  <c:v>286.30408597271895</c:v>
                </c:pt>
                <c:pt idx="32">
                  <c:v>307.96978591902433</c:v>
                </c:pt>
                <c:pt idx="33">
                  <c:v>329.60163580364463</c:v>
                </c:pt>
                <c:pt idx="34">
                  <c:v>351.20216844044018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54528"/>
        <c:axId val="-763951808"/>
      </c:scatterChart>
      <c:valAx>
        <c:axId val="-763954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1808"/>
        <c:crosses val="autoZero"/>
        <c:crossBetween val="midCat"/>
      </c:valAx>
      <c:valAx>
        <c:axId val="-76395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4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327.74099980495697</c:v>
                </c:pt>
                <c:pt idx="46">
                  <c:v>342.57632901037942</c:v>
                </c:pt>
                <c:pt idx="47">
                  <c:v>357.39754063727128</c:v>
                </c:pt>
                <c:pt idx="48">
                  <c:v>372.2053025492678</c:v>
                </c:pt>
                <c:pt idx="49">
                  <c:v>387.00022513459527</c:v>
                </c:pt>
                <c:pt idx="50">
                  <c:v>401.78286830651933</c:v>
                </c:pt>
                <c:pt idx="51">
                  <c:v>416.55374741966574</c:v>
                </c:pt>
                <c:pt idx="52">
                  <c:v>431.31333830337053</c:v>
                </c:pt>
                <c:pt idx="53">
                  <c:v>365.99122063055853</c:v>
                </c:pt>
                <c:pt idx="54">
                  <c:v>379.3298971194522</c:v>
                </c:pt>
                <c:pt idx="55">
                  <c:v>392.65837013825052</c:v>
                </c:pt>
                <c:pt idx="56">
                  <c:v>405.97703483483957</c:v>
                </c:pt>
                <c:pt idx="57">
                  <c:v>419.28625831464296</c:v>
                </c:pt>
                <c:pt idx="58">
                  <c:v>432.5863824764233</c:v>
                </c:pt>
                <c:pt idx="59">
                  <c:v>445.87772648114247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52352"/>
        <c:axId val="-763958880"/>
      </c:scatterChart>
      <c:valAx>
        <c:axId val="-763952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8880"/>
        <c:crosses val="autoZero"/>
        <c:crossBetween val="midCat"/>
      </c:valAx>
      <c:valAx>
        <c:axId val="-76395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2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115.59337364680665</c:v>
                </c:pt>
                <c:pt idx="22">
                  <c:v>137.4997067322079</c:v>
                </c:pt>
                <c:pt idx="23">
                  <c:v>159.32196170762111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223.37066471153204</c:v>
                </c:pt>
                <c:pt idx="27">
                  <c:v>243.93430319999132</c:v>
                </c:pt>
                <c:pt idx="28">
                  <c:v>264.45853959036123</c:v>
                </c:pt>
                <c:pt idx="29">
                  <c:v>284.94686117730771</c:v>
                </c:pt>
                <c:pt idx="30">
                  <c:v>305.4022126668512</c:v>
                </c:pt>
                <c:pt idx="31">
                  <c:v>227.82966235272235</c:v>
                </c:pt>
                <c:pt idx="32">
                  <c:v>245.98843749648782</c:v>
                </c:pt>
                <c:pt idx="33">
                  <c:v>264.11677214797504</c:v>
                </c:pt>
                <c:pt idx="34">
                  <c:v>282.21704940359291</c:v>
                </c:pt>
                <c:pt idx="35">
                  <c:v>300.29132163404557</c:v>
                </c:pt>
                <c:pt idx="36">
                  <c:v>316.63952954423013</c:v>
                </c:pt>
                <c:pt idx="37">
                  <c:v>332.96904422153938</c:v>
                </c:pt>
                <c:pt idx="38">
                  <c:v>349.28091133215889</c:v>
                </c:pt>
                <c:pt idx="39">
                  <c:v>365.57607090875041</c:v>
                </c:pt>
                <c:pt idx="40">
                  <c:v>381.85537235272426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368.29036734139095</c:v>
                </c:pt>
                <c:pt idx="47">
                  <c:v>380.16032837232183</c:v>
                </c:pt>
                <c:pt idx="48">
                  <c:v>392.0222283580228</c:v>
                </c:pt>
                <c:pt idx="49">
                  <c:v>403.87634562786849</c:v>
                </c:pt>
                <c:pt idx="50">
                  <c:v>415.72294083711432</c:v>
                </c:pt>
                <c:pt idx="51">
                  <c:v>360.48557531469902</c:v>
                </c:pt>
                <c:pt idx="52">
                  <c:v>371.34342911371238</c:v>
                </c:pt>
                <c:pt idx="53">
                  <c:v>382.19436148493236</c:v>
                </c:pt>
                <c:pt idx="54">
                  <c:v>393.03859669656578</c:v>
                </c:pt>
                <c:pt idx="55">
                  <c:v>403.87634562786849</c:v>
                </c:pt>
                <c:pt idx="56">
                  <c:v>412.33895235831255</c:v>
                </c:pt>
                <c:pt idx="57">
                  <c:v>420.79781154308029</c:v>
                </c:pt>
                <c:pt idx="58">
                  <c:v>429.25300917701065</c:v>
                </c:pt>
                <c:pt idx="59">
                  <c:v>437.70462758915488</c:v>
                </c:pt>
                <c:pt idx="60">
                  <c:v>446.1527456683495</c:v>
                </c:pt>
                <c:pt idx="61">
                  <c:v>411.32363915605634</c:v>
                </c:pt>
                <c:pt idx="62">
                  <c:v>418.76802245127942</c:v>
                </c:pt>
                <c:pt idx="63">
                  <c:v>426.20955457884071</c:v>
                </c:pt>
                <c:pt idx="64">
                  <c:v>433.64829237194999</c:v>
                </c:pt>
                <c:pt idx="65">
                  <c:v>441.08429055375763</c:v>
                </c:pt>
                <c:pt idx="66">
                  <c:v>447.50412482878772</c:v>
                </c:pt>
                <c:pt idx="67">
                  <c:v>453.92198789781906</c:v>
                </c:pt>
                <c:pt idx="68">
                  <c:v>460.33791158124319</c:v>
                </c:pt>
                <c:pt idx="69">
                  <c:v>466.75192673952944</c:v>
                </c:pt>
                <c:pt idx="70">
                  <c:v>473.16406331526713</c:v>
                </c:pt>
                <c:pt idx="71">
                  <c:v>443.449724046781</c:v>
                </c:pt>
                <c:pt idx="72">
                  <c:v>449.1932259604792</c:v>
                </c:pt>
                <c:pt idx="73">
                  <c:v>454.93515661064163</c:v>
                </c:pt>
                <c:pt idx="74">
                  <c:v>460.67553864161073</c:v>
                </c:pt>
                <c:pt idx="75">
                  <c:v>466.41439408694345</c:v>
                </c:pt>
                <c:pt idx="76">
                  <c:v>471.47683944067597</c:v>
                </c:pt>
                <c:pt idx="77">
                  <c:v>476.53812734890533</c:v>
                </c:pt>
                <c:pt idx="78">
                  <c:v>481.59827184865503</c:v>
                </c:pt>
                <c:pt idx="79">
                  <c:v>486.65728665769001</c:v>
                </c:pt>
                <c:pt idx="80">
                  <c:v>491.71518518509475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52896"/>
        <c:axId val="-763951264"/>
      </c:scatterChart>
      <c:valAx>
        <c:axId val="-763952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1264"/>
        <c:crosses val="autoZero"/>
        <c:crossBetween val="midCat"/>
      </c:valAx>
      <c:valAx>
        <c:axId val="-76395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125.03405430760159</c:v>
                </c:pt>
                <c:pt idx="32">
                  <c:v>132.63945069450935</c:v>
                </c:pt>
                <c:pt idx="33">
                  <c:v>140.23432504208844</c:v>
                </c:pt>
                <c:pt idx="34">
                  <c:v>147.81932853312981</c:v>
                </c:pt>
                <c:pt idx="35">
                  <c:v>155.39503993343254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169.68115418242931</c:v>
                </c:pt>
                <c:pt idx="42">
                  <c:v>177.65205947769599</c:v>
                </c:pt>
                <c:pt idx="43">
                  <c:v>185.6145786783502</c:v>
                </c:pt>
                <c:pt idx="44">
                  <c:v>193.56912276774736</c:v>
                </c:pt>
                <c:pt idx="45">
                  <c:v>201.51606614204607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211.96156334030783</c:v>
                </c:pt>
                <c:pt idx="52">
                  <c:v>220.30938898976532</c:v>
                </c:pt>
                <c:pt idx="53">
                  <c:v>228.64995281860425</c:v>
                </c:pt>
                <c:pt idx="54">
                  <c:v>236.98355738084277</c:v>
                </c:pt>
                <c:pt idx="55">
                  <c:v>245.31048218883168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253.21510971702909</c:v>
                </c:pt>
                <c:pt idx="62">
                  <c:v>261.11414922946938</c:v>
                </c:pt>
                <c:pt idx="63">
                  <c:v>269.0077938022381</c:v>
                </c:pt>
                <c:pt idx="64">
                  <c:v>276.89622424264059</c:v>
                </c:pt>
                <c:pt idx="65">
                  <c:v>284.77961020385533</c:v>
                </c:pt>
                <c:pt idx="66">
                  <c:v>250.71952474895636</c:v>
                </c:pt>
                <c:pt idx="67">
                  <c:v>258.20461441214769</c:v>
                </c:pt>
                <c:pt idx="68">
                  <c:v>265.68479967259987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287.68277599708523</c:v>
                </c:pt>
                <c:pt idx="72">
                  <c:v>294.73060802032893</c:v>
                </c:pt>
                <c:pt idx="73">
                  <c:v>301.7746801674329</c:v>
                </c:pt>
                <c:pt idx="74">
                  <c:v>308.81509268095914</c:v>
                </c:pt>
                <c:pt idx="75">
                  <c:v>315.85194085471181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315.85194085471193</c:v>
                </c:pt>
                <c:pt idx="82">
                  <c:v>322.05803699935797</c:v>
                </c:pt>
                <c:pt idx="83">
                  <c:v>328.26148833919052</c:v>
                </c:pt>
                <c:pt idx="84">
                  <c:v>334.46235196533502</c:v>
                </c:pt>
                <c:pt idx="85">
                  <c:v>340.66068267684119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342.31314985114523</c:v>
                </c:pt>
                <c:pt idx="92">
                  <c:v>348.09541005573732</c:v>
                </c:pt>
                <c:pt idx="93">
                  <c:v>353.87556237718678</c:v>
                </c:pt>
                <c:pt idx="94">
                  <c:v>359.65364614215167</c:v>
                </c:pt>
                <c:pt idx="95">
                  <c:v>365.42969930916388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365.01719063545926</c:v>
                </c:pt>
                <c:pt idx="102">
                  <c:v>370.79139109899671</c:v>
                </c:pt>
                <c:pt idx="103">
                  <c:v>376.56363055787483</c:v>
                </c:pt>
                <c:pt idx="104">
                  <c:v>382.33394334423559</c:v>
                </c:pt>
                <c:pt idx="105">
                  <c:v>388.10236266830731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388.10236266830731</c:v>
                </c:pt>
                <c:pt idx="112">
                  <c:v>394.28074727616132</c:v>
                </c:pt>
                <c:pt idx="113">
                  <c:v>400.45703338613862</c:v>
                </c:pt>
                <c:pt idx="114">
                  <c:v>406.63125795835577</c:v>
                </c:pt>
                <c:pt idx="115">
                  <c:v>412.80345673799087</c:v>
                </c:pt>
                <c:pt idx="116">
                  <c:v>418.97366431319239</c:v>
                </c:pt>
                <c:pt idx="117">
                  <c:v>425.14191416939951</c:v>
                </c:pt>
                <c:pt idx="118">
                  <c:v>431.30823874034081</c:v>
                </c:pt>
                <c:pt idx="119">
                  <c:v>437.47266945596539</c:v>
                </c:pt>
                <c:pt idx="120">
                  <c:v>443.63523678752927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67584"/>
        <c:axId val="-763950720"/>
      </c:scatterChart>
      <c:valAx>
        <c:axId val="-763967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0720"/>
        <c:crosses val="autoZero"/>
        <c:crossBetween val="midCat"/>
      </c:valAx>
      <c:valAx>
        <c:axId val="-76395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1.7916401853770756</c:v>
                </c:pt>
                <c:pt idx="2">
                  <c:v>2.0696284937632212</c:v>
                </c:pt>
                <c:pt idx="3">
                  <c:v>2.3909076147077641</c:v>
                </c:pt>
                <c:pt idx="4">
                  <c:v>2.7622425714808005</c:v>
                </c:pt>
                <c:pt idx="5">
                  <c:v>3.1914589913744771</c:v>
                </c:pt>
                <c:pt idx="6">
                  <c:v>3.6876098884172968</c:v>
                </c:pt>
                <c:pt idx="7">
                  <c:v>4.2611687466615322</c:v>
                </c:pt>
                <c:pt idx="8">
                  <c:v>4.9242530621859038</c:v>
                </c:pt>
                <c:pt idx="9">
                  <c:v>5.6908831609160648</c:v>
                </c:pt>
                <c:pt idx="10">
                  <c:v>6.5772818729793769</c:v>
                </c:pt>
                <c:pt idx="11">
                  <c:v>7.6022215292314961</c:v>
                </c:pt>
                <c:pt idx="12">
                  <c:v>8.7874257711277881</c:v>
                </c:pt>
                <c:pt idx="13">
                  <c:v>10.158034853649696</c:v>
                </c:pt>
                <c:pt idx="14">
                  <c:v>11.743144498490622</c:v>
                </c:pt>
                <c:pt idx="15">
                  <c:v>13.576429951255363</c:v>
                </c:pt>
                <c:pt idx="16">
                  <c:v>15.696868746929809</c:v>
                </c:pt>
                <c:pt idx="17">
                  <c:v>18.149577832801743</c:v>
                </c:pt>
                <c:pt idx="18">
                  <c:v>20.986783184285837</c:v>
                </c:pt>
                <c:pt idx="19">
                  <c:v>24.268942931145151</c:v>
                </c:pt>
                <c:pt idx="20">
                  <c:v>28.066048352515214</c:v>
                </c:pt>
                <c:pt idx="21">
                  <c:v>32.459130972111687</c:v>
                </c:pt>
                <c:pt idx="22">
                  <c:v>37.542008474916045</c:v>
                </c:pt>
                <c:pt idx="23">
                  <c:v>43.423307371923194</c:v>
                </c:pt>
                <c:pt idx="24">
                  <c:v>50.228806374368297</c:v>
                </c:pt>
                <c:pt idx="25">
                  <c:v>58.104151435642841</c:v>
                </c:pt>
                <c:pt idx="26">
                  <c:v>67.218001531444202</c:v>
                </c:pt>
                <c:pt idx="27">
                  <c:v>77.765673654715798</c:v>
                </c:pt>
                <c:pt idx="28">
                  <c:v>89.973366408253185</c:v>
                </c:pt>
                <c:pt idx="29">
                  <c:v>104.10305422414478</c:v>
                </c:pt>
                <c:pt idx="30">
                  <c:v>120.45815890349847</c:v>
                </c:pt>
                <c:pt idx="31">
                  <c:v>139.39012217467084</c:v>
                </c:pt>
                <c:pt idx="32">
                  <c:v>161.30602268756169</c:v>
                </c:pt>
                <c:pt idx="33">
                  <c:v>113.69914945997108</c:v>
                </c:pt>
                <c:pt idx="34">
                  <c:v>126.12965241438131</c:v>
                </c:pt>
                <c:pt idx="35">
                  <c:v>138.53044263697197</c:v>
                </c:pt>
                <c:pt idx="36">
                  <c:v>150.90455756698671</c:v>
                </c:pt>
                <c:pt idx="37">
                  <c:v>163.2544947857113</c:v>
                </c:pt>
                <c:pt idx="38">
                  <c:v>175.5823424815143</c:v>
                </c:pt>
                <c:pt idx="39">
                  <c:v>187.88987123468576</c:v>
                </c:pt>
                <c:pt idx="40">
                  <c:v>200.17860042757502</c:v>
                </c:pt>
                <c:pt idx="41">
                  <c:v>140.34112384075158</c:v>
                </c:pt>
                <c:pt idx="42">
                  <c:v>153.217428030631</c:v>
                </c:pt>
                <c:pt idx="43">
                  <c:v>166.06798531764863</c:v>
                </c:pt>
                <c:pt idx="44">
                  <c:v>178.89507020866532</c:v>
                </c:pt>
                <c:pt idx="45">
                  <c:v>191.70060392958302</c:v>
                </c:pt>
                <c:pt idx="46">
                  <c:v>204.48622975560693</c:v>
                </c:pt>
                <c:pt idx="47">
                  <c:v>217.2533684705445</c:v>
                </c:pt>
                <c:pt idx="48">
                  <c:v>230.00326008127158</c:v>
                </c:pt>
                <c:pt idx="49">
                  <c:v>242.736995782945</c:v>
                </c:pt>
                <c:pt idx="50">
                  <c:v>171.33780641491845</c:v>
                </c:pt>
                <c:pt idx="51">
                  <c:v>182.65124759561698</c:v>
                </c:pt>
                <c:pt idx="52">
                  <c:v>193.94830249519498</c:v>
                </c:pt>
                <c:pt idx="53">
                  <c:v>205.23006081804292</c:v>
                </c:pt>
                <c:pt idx="54">
                  <c:v>216.49748255007356</c:v>
                </c:pt>
                <c:pt idx="55">
                  <c:v>227.75141949538093</c:v>
                </c:pt>
                <c:pt idx="56">
                  <c:v>238.99263232697908</c:v>
                </c:pt>
                <c:pt idx="57">
                  <c:v>250.22180425745921</c:v>
                </c:pt>
                <c:pt idx="58">
                  <c:v>261.43955212439715</c:v>
                </c:pt>
                <c:pt idx="59">
                  <c:v>272.64643547165798</c:v>
                </c:pt>
                <c:pt idx="60">
                  <c:v>283.84296405810704</c:v>
                </c:pt>
                <c:pt idx="61">
                  <c:v>202.6640303075537</c:v>
                </c:pt>
                <c:pt idx="62">
                  <c:v>212.8966630324926</c:v>
                </c:pt>
                <c:pt idx="63">
                  <c:v>223.11796712539521</c:v>
                </c:pt>
                <c:pt idx="64">
                  <c:v>233.32853515424782</c:v>
                </c:pt>
                <c:pt idx="65">
                  <c:v>243.52890353990992</c:v>
                </c:pt>
                <c:pt idx="66">
                  <c:v>253.71956005637853</c:v>
                </c:pt>
                <c:pt idx="67">
                  <c:v>263.90095006171481</c:v>
                </c:pt>
                <c:pt idx="68">
                  <c:v>274.07348171615934</c:v>
                </c:pt>
                <c:pt idx="69">
                  <c:v>284.23753038433046</c:v>
                </c:pt>
                <c:pt idx="70">
                  <c:v>294.39344237430413</c:v>
                </c:pt>
                <c:pt idx="71">
                  <c:v>304.54153813337172</c:v>
                </c:pt>
                <c:pt idx="72">
                  <c:v>314.68211499527439</c:v>
                </c:pt>
                <c:pt idx="73">
                  <c:v>324.81544955459077</c:v>
                </c:pt>
                <c:pt idx="74">
                  <c:v>246.91859919087901</c:v>
                </c:pt>
                <c:pt idx="75">
                  <c:v>254.95565122562834</c:v>
                </c:pt>
                <c:pt idx="76">
                  <c:v>262.98696978963306</c:v>
                </c:pt>
                <c:pt idx="77">
                  <c:v>271.01275486164383</c:v>
                </c:pt>
                <c:pt idx="78">
                  <c:v>279.03319359622645</c:v>
                </c:pt>
                <c:pt idx="79">
                  <c:v>287.04846149927107</c:v>
                </c:pt>
                <c:pt idx="80">
                  <c:v>295.05872346522455</c:v>
                </c:pt>
                <c:pt idx="81">
                  <c:v>303.06413469570208</c:v>
                </c:pt>
                <c:pt idx="82">
                  <c:v>311.06484151588677</c:v>
                </c:pt>
                <c:pt idx="83">
                  <c:v>319.06098210248155</c:v>
                </c:pt>
                <c:pt idx="84">
                  <c:v>327.05268713481996</c:v>
                </c:pt>
                <c:pt idx="85">
                  <c:v>335.04008037896625</c:v>
                </c:pt>
                <c:pt idx="86">
                  <c:v>343.0232792131676</c:v>
                </c:pt>
                <c:pt idx="87">
                  <c:v>351.00239510180586</c:v>
                </c:pt>
                <c:pt idx="88">
                  <c:v>358.9775340239749</c:v>
                </c:pt>
                <c:pt idx="89">
                  <c:v>366.94879686196288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67040"/>
        <c:axId val="-763950176"/>
      </c:scatterChart>
      <c:valAx>
        <c:axId val="-763967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50176"/>
        <c:crosses val="autoZero"/>
        <c:crossBetween val="midCat"/>
      </c:valAx>
      <c:valAx>
        <c:axId val="-76395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6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3949632"/>
        <c:axId val="-763942016"/>
      </c:scatterChart>
      <c:valAx>
        <c:axId val="-763949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42016"/>
        <c:crosses val="autoZero"/>
        <c:crossBetween val="midCat"/>
      </c:valAx>
      <c:valAx>
        <c:axId val="-7639420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3949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58" zoomScale="80" zoomScaleNormal="80" workbookViewId="0">
      <selection activeCell="B90" sqref="B9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0.27500000000000002</v>
      </c>
      <c r="D9" s="36">
        <f t="shared" ref="D9:D18" si="0">C9*$C$5</f>
        <v>0.82500000000000007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0.25</v>
      </c>
      <c r="D10" s="36">
        <f t="shared" si="0"/>
        <v>0.75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0.2</v>
      </c>
      <c r="D11" s="36">
        <f t="shared" si="0"/>
        <v>0.60000000000000009</v>
      </c>
      <c r="E11" s="37">
        <v>109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18</v>
      </c>
      <c r="C12" s="35">
        <v>0.1</v>
      </c>
      <c r="D12" s="36">
        <f t="shared" si="0"/>
        <v>0.30000000000000004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36</v>
      </c>
      <c r="C13" s="35">
        <v>0.05</v>
      </c>
      <c r="D13" s="36">
        <f t="shared" si="0"/>
        <v>0.15000000000000002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23</v>
      </c>
      <c r="C14" s="35">
        <v>0.05</v>
      </c>
      <c r="D14" s="36">
        <f t="shared" si="0"/>
        <v>0.15000000000000002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</v>
      </c>
      <c r="C15" s="35">
        <v>2.5000000000000001E-2</v>
      </c>
      <c r="D15" s="36">
        <f t="shared" si="0"/>
        <v>7.5000000000000011E-2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40</v>
      </c>
      <c r="C16" s="35">
        <v>0.05</v>
      </c>
      <c r="D16" s="36">
        <f t="shared" si="0"/>
        <v>0.15000000000000002</v>
      </c>
      <c r="E16" s="37">
        <v>89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1.0000000000000002</v>
      </c>
      <c r="D19" s="41">
        <f>SUM(D9:D18)</f>
        <v>3.0000000000000004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C32" s="291"/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176+21</f>
        <v>197</v>
      </c>
      <c r="C69" s="63"/>
      <c r="D69" s="6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f>134.26/1.3</f>
        <v>103.27692307692307</v>
      </c>
      <c r="C88" s="53"/>
      <c r="D88" s="63"/>
      <c r="E88" s="54"/>
      <c r="F88" s="54"/>
      <c r="G88" s="54"/>
      <c r="H88" s="54"/>
      <c r="I88" s="56">
        <f>IFERROR(B88/A88,"")</f>
        <v>3.4425641025641025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51</v>
      </c>
      <c r="B89" s="63">
        <f>(418.39/1.3)</f>
        <v>321.8384615384615</v>
      </c>
      <c r="C89" s="53">
        <v>1</v>
      </c>
      <c r="D89" s="63">
        <f>(130/1.3)</f>
        <v>100</v>
      </c>
      <c r="E89" s="54"/>
      <c r="F89" s="54"/>
      <c r="G89" s="54"/>
      <c r="H89" s="54"/>
      <c r="I89" s="56">
        <f t="shared" ref="I89:I107" si="3">IF(A89&lt;&gt;0,(B89-(B88-D88))/(A89-A88),"")</f>
        <v>10.407692307692306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63</v>
      </c>
      <c r="B90" s="63">
        <f>455.9/1.3</f>
        <v>350.69230769230768</v>
      </c>
      <c r="C90" s="53">
        <v>2</v>
      </c>
      <c r="D90" s="63">
        <f>(140.51/1.3)</f>
        <v>108.08461538461538</v>
      </c>
      <c r="E90" s="54"/>
      <c r="F90" s="54"/>
      <c r="G90" s="54"/>
      <c r="H90" s="54"/>
      <c r="I90" s="56">
        <f t="shared" si="3"/>
        <v>10.737820512820514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75</v>
      </c>
      <c r="B91" s="63">
        <f>468.62/1.3</f>
        <v>360.47692307692307</v>
      </c>
      <c r="C91" s="53">
        <v>3</v>
      </c>
      <c r="D91" s="63">
        <f>(110.97/1.3)</f>
        <v>85.361538461538458</v>
      </c>
      <c r="E91" s="54"/>
      <c r="F91" s="54"/>
      <c r="G91" s="54"/>
      <c r="H91" s="54"/>
      <c r="I91" s="56">
        <f t="shared" si="3"/>
        <v>9.8224358974358967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87</v>
      </c>
      <c r="B92" s="63">
        <f>498.08/1.3</f>
        <v>383.13846153846151</v>
      </c>
      <c r="C92" s="53">
        <v>4</v>
      </c>
      <c r="D92" s="63">
        <f>(107.82/1.3)</f>
        <v>82.938461538461524</v>
      </c>
      <c r="E92" s="54"/>
      <c r="F92" s="54"/>
      <c r="G92" s="54"/>
      <c r="H92" s="54"/>
      <c r="I92" s="56">
        <f t="shared" si="3"/>
        <v>9.001923076923072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99</v>
      </c>
      <c r="B93" s="63">
        <f>517.23/1.3</f>
        <v>397.8692307692308</v>
      </c>
      <c r="C93" s="53">
        <v>5</v>
      </c>
      <c r="D93" s="63">
        <f>(257.82/1.3)</f>
        <v>198.32307692307691</v>
      </c>
      <c r="E93" s="54"/>
      <c r="F93" s="54"/>
      <c r="G93" s="54"/>
      <c r="H93" s="54"/>
      <c r="I93" s="56">
        <f t="shared" si="3"/>
        <v>8.1391025641025667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109</v>
      </c>
      <c r="B94" s="63">
        <f>332.92/1.3</f>
        <v>256.09230769230771</v>
      </c>
      <c r="C94" s="53">
        <v>6</v>
      </c>
      <c r="D94" s="63">
        <f>(332.92/1.3)</f>
        <v>256.09230769230771</v>
      </c>
      <c r="E94" s="54"/>
      <c r="F94" s="54"/>
      <c r="G94" s="54"/>
      <c r="H94" s="54"/>
      <c r="I94" s="56">
        <f t="shared" si="3"/>
        <v>5.6546153846153828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3"/>
      <c r="F100" s="93"/>
      <c r="G100" s="93"/>
      <c r="H100" s="93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Douglas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21</v>
      </c>
      <c r="B114" s="63">
        <f>234.08/1.3</f>
        <v>180.06153846153848</v>
      </c>
      <c r="C114" s="63">
        <v>1</v>
      </c>
      <c r="D114" s="63">
        <f>79.52/1.3</f>
        <v>61.169230769230765</v>
      </c>
      <c r="E114" s="54"/>
      <c r="F114" s="54">
        <v>0.5</v>
      </c>
      <c r="G114" s="54">
        <v>0.5</v>
      </c>
      <c r="H114" s="93"/>
      <c r="I114" s="56">
        <f>IFERROR(B114/A114,"")</f>
        <v>8.5743589743589759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28</v>
      </c>
      <c r="B115" s="63">
        <f>306.49/1.3</f>
        <v>235.76153846153846</v>
      </c>
      <c r="C115" s="63">
        <v>2</v>
      </c>
      <c r="D115" s="63">
        <f>73.99/1.3</f>
        <v>56.91538461538461</v>
      </c>
      <c r="E115" s="54"/>
      <c r="F115" s="54">
        <v>0.5</v>
      </c>
      <c r="G115" s="54">
        <v>0.5</v>
      </c>
      <c r="H115" s="93"/>
      <c r="I115" s="56">
        <f t="shared" ref="I115:I133" si="4">IF(A115&lt;&gt;0,(B115-(B114-D114))/(A115-A114),"")</f>
        <v>16.695604395604395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f>397.14/1.3</f>
        <v>305.49230769230769</v>
      </c>
      <c r="C116" s="63">
        <v>3</v>
      </c>
      <c r="D116" s="63">
        <f>91.65/1.3</f>
        <v>70.5</v>
      </c>
      <c r="E116" s="54"/>
      <c r="F116" s="54"/>
      <c r="G116" s="54"/>
      <c r="H116" s="93"/>
      <c r="I116" s="56">
        <f t="shared" si="4"/>
        <v>18.092307692307688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42</v>
      </c>
      <c r="B117" s="63">
        <f>471.38/1.3</f>
        <v>362.59999999999997</v>
      </c>
      <c r="C117" s="63">
        <v>4</v>
      </c>
      <c r="D117" s="63">
        <f>104.87/1.3</f>
        <v>80.669230769230765</v>
      </c>
      <c r="E117" s="93"/>
      <c r="F117" s="93"/>
      <c r="G117" s="93"/>
      <c r="H117" s="93"/>
      <c r="I117" s="56">
        <f t="shared" si="4"/>
        <v>18.229670329670324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49</v>
      </c>
      <c r="B118" s="63">
        <f>525.94/1.3</f>
        <v>404.56923076923078</v>
      </c>
      <c r="C118" s="63">
        <v>5</v>
      </c>
      <c r="D118" s="63">
        <f>117.59/1.3</f>
        <v>90.453846153846158</v>
      </c>
      <c r="E118" s="93"/>
      <c r="F118" s="93"/>
      <c r="G118" s="93"/>
      <c r="H118" s="93"/>
      <c r="I118" s="56">
        <f t="shared" si="4"/>
        <v>17.519780219780223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56</v>
      </c>
      <c r="B119" s="63">
        <f>556.02/1.3</f>
        <v>427.7076923076923</v>
      </c>
      <c r="C119" s="63">
        <v>6</v>
      </c>
      <c r="D119" s="63">
        <f>98.63/1.3</f>
        <v>75.869230769230768</v>
      </c>
      <c r="E119" s="93"/>
      <c r="F119" s="93"/>
      <c r="G119" s="93"/>
      <c r="H119" s="93"/>
      <c r="I119" s="56">
        <f t="shared" si="4"/>
        <v>16.227472527472521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63</v>
      </c>
      <c r="B120" s="63">
        <f>592.43/1.3</f>
        <v>455.71538461538455</v>
      </c>
      <c r="C120" s="63">
        <v>7</v>
      </c>
      <c r="D120" s="63">
        <f>103.64/1.3</f>
        <v>79.723076923076917</v>
      </c>
      <c r="E120" s="93"/>
      <c r="F120" s="93"/>
      <c r="G120" s="93"/>
      <c r="H120" s="93"/>
      <c r="I120" s="56">
        <f t="shared" si="4"/>
        <v>14.839560439560435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70</v>
      </c>
      <c r="B121" s="63">
        <f>609.79/1.3</f>
        <v>469.06923076923073</v>
      </c>
      <c r="C121" s="63">
        <v>8</v>
      </c>
      <c r="D121" s="63">
        <f>609.79/1.3</f>
        <v>469.06923076923073</v>
      </c>
      <c r="E121" s="93"/>
      <c r="F121" s="93"/>
      <c r="G121" s="93"/>
      <c r="H121" s="93"/>
      <c r="I121" s="56">
        <f t="shared" si="4"/>
        <v>13.296703296703299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maritime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17</v>
      </c>
      <c r="B140" s="63">
        <f>164.23/1.3</f>
        <v>126.33076923076922</v>
      </c>
      <c r="C140" s="63">
        <v>1</v>
      </c>
      <c r="D140" s="63">
        <f>(164.23-109.52)/1.3</f>
        <v>42.084615384615375</v>
      </c>
      <c r="E140" s="54"/>
      <c r="F140" s="54">
        <v>0.5</v>
      </c>
      <c r="G140" s="54">
        <v>0.5</v>
      </c>
      <c r="H140" s="54"/>
      <c r="I140" s="60">
        <f>IFERROR(B140/A140,"")</f>
        <v>7.4312217194570129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23</v>
      </c>
      <c r="B141" s="63">
        <f>225.95/1.3</f>
        <v>173.80769230769229</v>
      </c>
      <c r="C141" s="63">
        <v>2</v>
      </c>
      <c r="D141" s="63">
        <f>(225.95-155.62)/1.3</f>
        <v>54.099999999999987</v>
      </c>
      <c r="E141" s="54"/>
      <c r="F141" s="54">
        <v>0.5</v>
      </c>
      <c r="G141" s="54">
        <v>0.5</v>
      </c>
      <c r="H141" s="54"/>
      <c r="I141" s="60">
        <f t="shared" ref="I141:I159" si="5">IF(A141&lt;&gt;0,(B141-(B140-D140))/(A141-A140),"")</f>
        <v>14.926923076923075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29</v>
      </c>
      <c r="B142" s="63">
        <f>273.19/1.3</f>
        <v>210.14615384615385</v>
      </c>
      <c r="C142" s="63">
        <v>3</v>
      </c>
      <c r="D142" s="63">
        <f>(273.19-211.23)/1.3</f>
        <v>47.661538461538463</v>
      </c>
      <c r="E142" s="54">
        <v>0.6</v>
      </c>
      <c r="F142" s="54">
        <v>0.2</v>
      </c>
      <c r="G142" s="54">
        <v>0.2</v>
      </c>
      <c r="H142" s="54"/>
      <c r="I142" s="60">
        <f t="shared" si="5"/>
        <v>15.073076923076925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36</v>
      </c>
      <c r="B143" s="63">
        <f>341.35/1.3</f>
        <v>262.57692307692309</v>
      </c>
      <c r="C143" s="63">
        <v>4</v>
      </c>
      <c r="D143" s="63">
        <f>(341.35-257.43)/1.3</f>
        <v>64.553846153846166</v>
      </c>
      <c r="E143" s="54"/>
      <c r="F143" s="54"/>
      <c r="G143" s="54"/>
      <c r="H143" s="54"/>
      <c r="I143" s="60">
        <f t="shared" si="5"/>
        <v>14.298901098901101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44</v>
      </c>
      <c r="B144" s="63">
        <f>394.1/1.3</f>
        <v>303.15384615384619</v>
      </c>
      <c r="C144" s="63">
        <v>5</v>
      </c>
      <c r="D144" s="63">
        <f>(394.1-310.28)/1.3</f>
        <v>64.476923076923114</v>
      </c>
      <c r="E144" s="54"/>
      <c r="F144" s="54"/>
      <c r="G144" s="54"/>
      <c r="H144" s="54"/>
      <c r="I144" s="60">
        <f t="shared" si="5"/>
        <v>13.141346153846158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52</v>
      </c>
      <c r="B145" s="63">
        <f>431.04/1.3</f>
        <v>331.56923076923078</v>
      </c>
      <c r="C145" s="63">
        <v>6</v>
      </c>
      <c r="D145" s="63">
        <f>(431.36-351.04)/1.3</f>
        <v>61.784615384615378</v>
      </c>
      <c r="E145" s="54"/>
      <c r="F145" s="54"/>
      <c r="G145" s="54"/>
      <c r="H145" s="54"/>
      <c r="I145" s="60">
        <f t="shared" si="5"/>
        <v>11.611538461538466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60</v>
      </c>
      <c r="B146" s="63">
        <f>459.55/1.3</f>
        <v>353.5</v>
      </c>
      <c r="C146" s="63">
        <v>7</v>
      </c>
      <c r="D146" s="63">
        <f>B146</f>
        <v>353.5</v>
      </c>
      <c r="E146" s="54"/>
      <c r="F146" s="54"/>
      <c r="G146" s="54"/>
      <c r="H146" s="54"/>
      <c r="I146" s="60">
        <f t="shared" si="5"/>
        <v>10.464423076923076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Erable sycomore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f>37</f>
        <v>37</v>
      </c>
      <c r="C166" s="53"/>
      <c r="D166" s="63"/>
      <c r="E166" s="54"/>
      <c r="F166" s="54"/>
      <c r="G166" s="54"/>
      <c r="H166" s="54"/>
      <c r="I166" s="52">
        <f>IFERROR(B166/A166,"")</f>
        <v>2.4666666666666668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f>80+15</f>
        <v>95</v>
      </c>
      <c r="C167" s="53">
        <v>1</v>
      </c>
      <c r="D167" s="63">
        <f>28+15</f>
        <v>43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11.6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f>115</f>
        <v>115</v>
      </c>
      <c r="C168" s="53"/>
      <c r="D168" s="63"/>
      <c r="E168" s="54"/>
      <c r="F168" s="54"/>
      <c r="G168" s="54"/>
      <c r="H168" s="54"/>
      <c r="I168" s="52">
        <f t="shared" si="6"/>
        <v>12.6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3">
        <f>147+28</f>
        <v>175</v>
      </c>
      <c r="C169" s="53">
        <v>2</v>
      </c>
      <c r="D169" s="63">
        <f>28+28</f>
        <v>56</v>
      </c>
      <c r="E169" s="54"/>
      <c r="F169" s="54"/>
      <c r="G169" s="54"/>
      <c r="H169" s="54">
        <v>1</v>
      </c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3">
        <f>172</f>
        <v>172</v>
      </c>
      <c r="C170" s="53"/>
      <c r="D170" s="63"/>
      <c r="E170" s="54"/>
      <c r="F170" s="54"/>
      <c r="G170" s="54"/>
      <c r="H170" s="54"/>
      <c r="I170" s="52">
        <f t="shared" si="6"/>
        <v>10.6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3">
        <f>192+28</f>
        <v>220</v>
      </c>
      <c r="C171" s="53">
        <v>3</v>
      </c>
      <c r="D171" s="63">
        <f>28+28</f>
        <v>56</v>
      </c>
      <c r="E171" s="54"/>
      <c r="F171" s="54"/>
      <c r="G171" s="54"/>
      <c r="H171" s="54"/>
      <c r="I171" s="52">
        <f t="shared" si="6"/>
        <v>9.6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3">
        <f>205</f>
        <v>205</v>
      </c>
      <c r="C172" s="53"/>
      <c r="D172" s="63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63">
        <f>218+22</f>
        <v>240</v>
      </c>
      <c r="C173" s="53">
        <v>4</v>
      </c>
      <c r="D173" s="63">
        <f>17+22</f>
        <v>39</v>
      </c>
      <c r="E173" s="54"/>
      <c r="F173" s="54"/>
      <c r="G173" s="54"/>
      <c r="H173" s="54"/>
      <c r="I173" s="52">
        <f t="shared" si="6"/>
        <v>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63">
        <f>233</f>
        <v>233</v>
      </c>
      <c r="C174" s="53"/>
      <c r="D174" s="63"/>
      <c r="E174" s="54"/>
      <c r="F174" s="54"/>
      <c r="G174" s="54"/>
      <c r="H174" s="54"/>
      <c r="I174" s="52">
        <f t="shared" si="6"/>
        <v>6.4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63">
        <f>245+13</f>
        <v>258</v>
      </c>
      <c r="C175" s="53">
        <v>5</v>
      </c>
      <c r="D175" s="63">
        <f>12+13</f>
        <v>25</v>
      </c>
      <c r="E175" s="54"/>
      <c r="F175" s="54"/>
      <c r="G175" s="54"/>
      <c r="H175" s="54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65</v>
      </c>
      <c r="B176" s="63">
        <f>255</f>
        <v>255</v>
      </c>
      <c r="C176" s="53"/>
      <c r="D176" s="63"/>
      <c r="E176" s="54"/>
      <c r="F176" s="54"/>
      <c r="G176" s="54"/>
      <c r="H176" s="54"/>
      <c r="I176" s="52">
        <f t="shared" si="6"/>
        <v>4.4000000000000004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70</v>
      </c>
      <c r="B177" s="63">
        <f>263+11</f>
        <v>274</v>
      </c>
      <c r="C177" s="53">
        <v>6</v>
      </c>
      <c r="D177" s="63">
        <f>10+11</f>
        <v>21</v>
      </c>
      <c r="E177" s="54"/>
      <c r="F177" s="54"/>
      <c r="G177" s="54"/>
      <c r="H177" s="54"/>
      <c r="I177" s="52">
        <f t="shared" si="6"/>
        <v>3.8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75</v>
      </c>
      <c r="B178" s="63">
        <f>270</f>
        <v>270</v>
      </c>
      <c r="C178" s="53"/>
      <c r="D178" s="63"/>
      <c r="E178" s="57"/>
      <c r="F178" s="57"/>
      <c r="G178" s="57"/>
      <c r="H178" s="57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80</v>
      </c>
      <c r="B179" s="63">
        <f>276+9</f>
        <v>285</v>
      </c>
      <c r="C179" s="53">
        <v>7</v>
      </c>
      <c r="D179" s="63">
        <f>B179</f>
        <v>285</v>
      </c>
      <c r="E179" s="57"/>
      <c r="F179" s="57"/>
      <c r="G179" s="57"/>
      <c r="H179" s="57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f>21+0</f>
        <v>21</v>
      </c>
      <c r="C192" s="63"/>
      <c r="D192" s="63"/>
      <c r="E192" s="54"/>
      <c r="F192" s="54"/>
      <c r="G192" s="54"/>
      <c r="H192" s="54"/>
      <c r="I192" s="52">
        <f>IFERROR(B192/A192,"")</f>
        <v>1.05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f>36+0+0</f>
        <v>36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3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f>45+0+0+9</f>
        <v>54</v>
      </c>
      <c r="C194" s="63"/>
      <c r="D194" s="63"/>
      <c r="E194" s="54"/>
      <c r="F194" s="54"/>
      <c r="G194" s="54"/>
      <c r="H194" s="54"/>
      <c r="I194" s="52">
        <f t="shared" si="7"/>
        <v>3.6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f>55+9+8</f>
        <v>72</v>
      </c>
      <c r="C195" s="63">
        <v>1</v>
      </c>
      <c r="D195" s="63">
        <f>9+8</f>
        <v>17</v>
      </c>
      <c r="E195" s="54"/>
      <c r="F195" s="54"/>
      <c r="G195" s="54"/>
      <c r="H195" s="54"/>
      <c r="I195" s="52">
        <f t="shared" si="7"/>
        <v>3.6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f>66+9</f>
        <v>75</v>
      </c>
      <c r="C196" s="63"/>
      <c r="D196" s="63"/>
      <c r="E196" s="54"/>
      <c r="F196" s="54"/>
      <c r="G196" s="54"/>
      <c r="H196" s="54"/>
      <c r="I196" s="52">
        <f t="shared" si="7"/>
        <v>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f>76+9+9</f>
        <v>94</v>
      </c>
      <c r="C197" s="63">
        <v>2</v>
      </c>
      <c r="D197" s="63">
        <f>9+9</f>
        <v>18</v>
      </c>
      <c r="E197" s="54"/>
      <c r="F197" s="54"/>
      <c r="G197" s="54"/>
      <c r="H197" s="54"/>
      <c r="I197" s="52">
        <f t="shared" si="7"/>
        <v>3.8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f>86+9</f>
        <v>95</v>
      </c>
      <c r="C198" s="63"/>
      <c r="D198" s="63"/>
      <c r="E198" s="54"/>
      <c r="F198" s="54"/>
      <c r="G198" s="54"/>
      <c r="H198" s="54"/>
      <c r="I198" s="52">
        <f t="shared" si="7"/>
        <v>3.8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3">
        <f>96+9+10</f>
        <v>115</v>
      </c>
      <c r="C199" s="63">
        <v>3</v>
      </c>
      <c r="D199" s="63">
        <f>9+10</f>
        <v>19</v>
      </c>
      <c r="E199" s="54"/>
      <c r="F199" s="54"/>
      <c r="G199" s="54"/>
      <c r="H199" s="54"/>
      <c r="I199" s="52">
        <f t="shared" si="7"/>
        <v>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63">
        <f>105+10</f>
        <v>115</v>
      </c>
      <c r="C200" s="63"/>
      <c r="D200" s="63"/>
      <c r="E200" s="54"/>
      <c r="F200" s="54"/>
      <c r="G200" s="54"/>
      <c r="H200" s="54"/>
      <c r="I200" s="52">
        <f t="shared" si="7"/>
        <v>3.8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3">
        <f>114+10+10</f>
        <v>134</v>
      </c>
      <c r="C201" s="63">
        <v>4</v>
      </c>
      <c r="D201" s="63">
        <f>10+10</f>
        <v>20</v>
      </c>
      <c r="E201" s="54"/>
      <c r="F201" s="54"/>
      <c r="G201" s="54"/>
      <c r="H201" s="54"/>
      <c r="I201" s="52">
        <f t="shared" si="7"/>
        <v>3.8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3">
        <f>122+10</f>
        <v>132</v>
      </c>
      <c r="C202" s="63"/>
      <c r="D202" s="63"/>
      <c r="E202" s="54"/>
      <c r="F202" s="54"/>
      <c r="G202" s="54"/>
      <c r="H202" s="54"/>
      <c r="I202" s="52">
        <f t="shared" si="7"/>
        <v>3.6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63">
        <f>129+10+10</f>
        <v>149</v>
      </c>
      <c r="C203" s="63">
        <v>5</v>
      </c>
      <c r="D203" s="63">
        <f>10+10</f>
        <v>20</v>
      </c>
      <c r="E203" s="54"/>
      <c r="F203" s="54"/>
      <c r="G203" s="54"/>
      <c r="H203" s="54"/>
      <c r="I203" s="52">
        <f t="shared" si="7"/>
        <v>3.4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3">
        <f>137+9</f>
        <v>146</v>
      </c>
      <c r="C204" s="63"/>
      <c r="D204" s="63"/>
      <c r="E204" s="54"/>
      <c r="F204" s="54"/>
      <c r="G204" s="54"/>
      <c r="H204" s="54"/>
      <c r="I204" s="52">
        <f t="shared" si="7"/>
        <v>3.4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85</v>
      </c>
      <c r="B205" s="63">
        <f>143+9+9</f>
        <v>161</v>
      </c>
      <c r="C205" s="63">
        <v>6</v>
      </c>
      <c r="D205" s="63">
        <f>9+9</f>
        <v>18</v>
      </c>
      <c r="E205" s="54"/>
      <c r="F205" s="54"/>
      <c r="G205" s="54"/>
      <c r="H205" s="54"/>
      <c r="I205" s="52">
        <f t="shared" si="7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90</v>
      </c>
      <c r="B206" s="63">
        <f>150+9</f>
        <v>159</v>
      </c>
      <c r="C206" s="63"/>
      <c r="D206" s="63"/>
      <c r="E206" s="54"/>
      <c r="F206" s="54"/>
      <c r="G206" s="54"/>
      <c r="H206" s="54"/>
      <c r="I206" s="52">
        <f t="shared" si="7"/>
        <v>3.2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95</v>
      </c>
      <c r="B207" s="63">
        <f>155+9+9</f>
        <v>173</v>
      </c>
      <c r="C207" s="63">
        <v>7</v>
      </c>
      <c r="D207" s="63">
        <f>9+9</f>
        <v>18</v>
      </c>
      <c r="E207" s="54"/>
      <c r="F207" s="54"/>
      <c r="G207" s="54"/>
      <c r="H207" s="54"/>
      <c r="I207" s="52">
        <f t="shared" si="7"/>
        <v>2.8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100</v>
      </c>
      <c r="B208" s="63">
        <f>161+9</f>
        <v>170</v>
      </c>
      <c r="C208" s="63"/>
      <c r="D208" s="63"/>
      <c r="E208" s="57"/>
      <c r="F208" s="57"/>
      <c r="G208" s="57"/>
      <c r="H208" s="57"/>
      <c r="I208" s="52">
        <f t="shared" si="7"/>
        <v>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105</v>
      </c>
      <c r="B209" s="63">
        <f>166+9+9</f>
        <v>184</v>
      </c>
      <c r="C209" s="53">
        <v>8</v>
      </c>
      <c r="D209" s="63">
        <f>9+9</f>
        <v>18</v>
      </c>
      <c r="E209" s="54"/>
      <c r="F209" s="54"/>
      <c r="G209" s="54"/>
      <c r="H209" s="54"/>
      <c r="I209" s="52">
        <f t="shared" si="7"/>
        <v>2.8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110</v>
      </c>
      <c r="B210" s="63">
        <f>171+10</f>
        <v>181</v>
      </c>
      <c r="C210" s="53"/>
      <c r="D210" s="63"/>
      <c r="E210" s="54"/>
      <c r="F210" s="54"/>
      <c r="G210" s="54"/>
      <c r="H210" s="54"/>
      <c r="I210" s="52">
        <f t="shared" si="7"/>
        <v>3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120</v>
      </c>
      <c r="B211" s="63">
        <f>181+10+10+10</f>
        <v>211</v>
      </c>
      <c r="C211" s="53">
        <v>9</v>
      </c>
      <c r="D211" s="63">
        <f>B211</f>
        <v>211</v>
      </c>
      <c r="E211" s="54"/>
      <c r="F211" s="54"/>
      <c r="G211" s="54"/>
      <c r="H211" s="54"/>
      <c r="I211" s="52">
        <f t="shared" si="7"/>
        <v>3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Pin de Salzmann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63">
        <v>32</v>
      </c>
      <c r="B218" s="63">
        <v>121</v>
      </c>
      <c r="C218" s="63">
        <v>1</v>
      </c>
      <c r="D218" s="63">
        <v>46</v>
      </c>
      <c r="E218" s="66"/>
      <c r="F218" s="66"/>
      <c r="G218" s="66"/>
      <c r="H218" s="66"/>
      <c r="I218" s="56">
        <f>IFERROR(B218/A218,"")</f>
        <v>3.78125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63">
        <v>40</v>
      </c>
      <c r="B219" s="63">
        <v>151</v>
      </c>
      <c r="C219" s="63">
        <v>2</v>
      </c>
      <c r="D219" s="63">
        <v>56</v>
      </c>
      <c r="E219" s="66"/>
      <c r="F219" s="66"/>
      <c r="G219" s="66"/>
      <c r="H219" s="66"/>
      <c r="I219" s="56">
        <f t="shared" ref="I219:I237" si="8">IF(A219&lt;&gt;0,(B219-(B218-D218))/(A219-A218),"")</f>
        <v>9.5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63">
        <v>49</v>
      </c>
      <c r="B220" s="63">
        <v>184</v>
      </c>
      <c r="C220" s="63">
        <v>3</v>
      </c>
      <c r="D220" s="63">
        <v>64</v>
      </c>
      <c r="E220" s="66"/>
      <c r="F220" s="66"/>
      <c r="G220" s="66"/>
      <c r="H220" s="66"/>
      <c r="I220" s="56">
        <f t="shared" si="8"/>
        <v>9.8888888888888893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63">
        <v>60</v>
      </c>
      <c r="B221" s="63">
        <v>216</v>
      </c>
      <c r="C221" s="63">
        <v>4</v>
      </c>
      <c r="D221" s="63">
        <v>71</v>
      </c>
      <c r="E221" s="66"/>
      <c r="F221" s="66"/>
      <c r="G221" s="66"/>
      <c r="H221" s="66"/>
      <c r="I221" s="56">
        <f t="shared" si="8"/>
        <v>8.7272727272727266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63">
        <v>73</v>
      </c>
      <c r="B222" s="63">
        <v>248</v>
      </c>
      <c r="C222" s="63">
        <v>5</v>
      </c>
      <c r="D222" s="63">
        <v>67</v>
      </c>
      <c r="E222" s="66"/>
      <c r="F222" s="66"/>
      <c r="G222" s="66"/>
      <c r="H222" s="66"/>
      <c r="I222" s="56">
        <f t="shared" si="8"/>
        <v>7.9230769230769234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63">
        <v>89</v>
      </c>
      <c r="B223" s="63">
        <v>281</v>
      </c>
      <c r="C223" s="63">
        <v>6</v>
      </c>
      <c r="D223" s="63">
        <v>281</v>
      </c>
      <c r="E223" s="66"/>
      <c r="F223" s="66"/>
      <c r="G223" s="66"/>
      <c r="H223" s="66"/>
      <c r="I223" s="56">
        <f t="shared" si="8"/>
        <v>6.25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63"/>
      <c r="B224" s="63"/>
      <c r="C224" s="63"/>
      <c r="D224" s="63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8" sqref="B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Douglas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maritime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sycomore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Pin de Salzmann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428.8489304403459</v>
      </c>
      <c r="T3" s="62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475.47920969424894</v>
      </c>
      <c r="AO3" s="62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246.73711856758143</v>
      </c>
      <c r="BJ3" s="62">
        <f>IF('Données projet'!E11&gt;30,$BH$33-$H$33,LOOKUP('Données projet'!$E$11,$A$3:$A$203,BH3:BH203)-LOOKUP('Données projet'!$E$11,$A$3:$A$203,$H$3:$H$203))</f>
        <v>145.54897745089966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321.13335003345236</v>
      </c>
      <c r="CE3" s="62">
        <f>IF('Données projet'!E12&gt;30,$CC$33-$H$33,LOOKUP('Données projet'!$E$12,$A$3:$A$203,CC3:CC203)-LOOKUP('Données projet'!$E$12,$A$3:$A$203,$H$3:$H$203))</f>
        <v>301.26825075712128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260.02504691866199</v>
      </c>
      <c r="CZ3" s="62">
        <f>IF('Données projet'!E13&gt;30,$CX$33-$H$33,LOOKUP('Données projet'!$E$13,$A$3:$A$203,CX3:CX203)-LOOKUP('Données projet'!$E$13,$A$3:$A$203,$H$3:$H$203))</f>
        <v>270.11268336406368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312.53381881960331</v>
      </c>
      <c r="DU3" s="62">
        <f>IF('Données projet'!E14&gt;30,$DS$33-$H$33,LOOKUP('Données projet'!$E$14,$A$3:$A$203,DS3:DS203)-LOOKUP('Données projet'!$E$14,$A$3:$A$203,$H$3:$H$203))</f>
        <v>342.06887933351783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255.59755832175625</v>
      </c>
      <c r="EP3" s="62">
        <f>IF('Données projet'!E15&gt;30,$EN$33-$H$33,LOOKUP('Données projet'!$E$15,$A$3:$A$203,EN3:EN203)-LOOKUP('Données projet'!$E$15,$A$3:$A$203,$H$3:$H$203))</f>
        <v>154.0840647586964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197.08445731383847</v>
      </c>
      <c r="FK3" s="62">
        <f>IF('Données projet'!E16&gt;30,$FI$33-$H$33,LOOKUP('Données projet'!$E$16,$A$3:$A$203,FI3:FI203)-LOOKUP('Données projet'!$E$16,$A$3:$A$203,$H$3:$H$203))</f>
        <v>157.12482557016511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428.8489304403459</v>
      </c>
      <c r="T4" s="62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475.47920969424894</v>
      </c>
      <c r="AO4" s="62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3.4425641025641025</v>
      </c>
      <c r="BD4" s="13">
        <f>IF('Données projet'!$A$88&gt;35,BD3+BC4-BL3,IF(A4&lt;'Données projet'!$A$88,$BA$205^A4,IF(A4='Données projet'!$A$88,'Données projet'!$B$88,BD3+BC4-BL3)))</f>
        <v>1.1671681906248585</v>
      </c>
      <c r="BE4" s="14">
        <f>BD4*VLOOKUP('Données projet'!$B$11,Paramètres!$A$1:$I$89,3,0)*VLOOKUP('Données projet'!$B$11,Paramètres!$A$1:$I$89,5,0)</f>
        <v>0.54623471321243378</v>
      </c>
      <c r="BF4" s="14">
        <f>EXP(-1.0587+0.8836*LN(BE4)+0.284)</f>
        <v>0.27008496636632595</v>
      </c>
      <c r="BG4" s="22">
        <f t="shared" ref="BG4:BG67" si="7">(BE4+BF4)*0.475*44/12</f>
        <v>1.4217567752663396</v>
      </c>
      <c r="BH4" s="62">
        <f t="shared" ref="BH4:BH67" si="8">BG4+(AY4+AZ4)*44/12</f>
        <v>259.31064566415517</v>
      </c>
      <c r="BI4" s="62">
        <f ca="1">AVERAGE(OFFSET($BH$3,0,0,'Données projet'!$E$11+1,1))-AVERAGE(OFFSET($H$3,0,0,'Données projet'!$E$11+1,1))</f>
        <v>246.73711856758143</v>
      </c>
      <c r="BJ4" s="62">
        <f>$BJ$3</f>
        <v>145.54897745089966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8.5743589743589759</v>
      </c>
      <c r="BY4" s="13">
        <f>IF('Données projet'!$A$114&gt;35,BY3+BX4-CG3,IF(A4&lt;'Données projet'!$A$114,$BV$205^A4,IF(A4='Données projet'!$A$114,'Données projet'!$B$114,BY3+BX4-CG3)))</f>
        <v>1.2805631431945952</v>
      </c>
      <c r="BZ4" s="14">
        <f>BY4*VLOOKUP('Données projet'!$B$12,Paramètres!$A$1:$I$89,3,0)*VLOOKUP('Données projet'!$B$12,Paramètres!$A$1:$I$89,5,0)</f>
        <v>0.71583479704577868</v>
      </c>
      <c r="CA4" s="14">
        <f>EXP(-1.0587+0.8836*LN(BZ4)+0.284)</f>
        <v>0.34297673370795467</v>
      </c>
      <c r="CB4" s="22">
        <f t="shared" ref="CB4:CB67" si="10">(BZ4+CA4)*0.475*44/12</f>
        <v>1.8440967493960854</v>
      </c>
      <c r="CC4" s="62">
        <f t="shared" ref="CC4:CC67" si="11">CB4+(BT4+BU4)*44/12</f>
        <v>259.73298563828496</v>
      </c>
      <c r="CD4" s="62">
        <f ca="1">AVERAGE(OFFSET($CC$3,0,0,'Données projet'!$E$12+1,1))-AVERAGE(OFFSET($H$3,0,0,'Données projet'!$E$12+1,1))</f>
        <v>321.13335003345236</v>
      </c>
      <c r="CE4" s="62">
        <f>$CE$3</f>
        <v>301.26825075712128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7.4312217194570129</v>
      </c>
      <c r="CT4" s="13">
        <f>IF('Données projet'!$A$140&gt;35,CT3+CS4-DB3,IF(A4&lt;'Données projet'!$A$140,$CQ$205^A4,IF(A4='Données projet'!$A$140,'Données projet'!$B$140,CT3+CS4-DB3)))</f>
        <v>1.3292852468636394</v>
      </c>
      <c r="CU4" s="18">
        <f>CT4*VLOOKUP('Données projet'!$B$13,Paramètres!$A$1:$I$89,3,0)*VLOOKUP('Données projet'!$B$13,Paramètres!$A$1:$I$89,5,0)</f>
        <v>0.79491257762445644</v>
      </c>
      <c r="CV4" s="14">
        <f>EXP(-1.0587+0.8836*LN(CU4)+0.284)</f>
        <v>0.37624805113513943</v>
      </c>
      <c r="CW4" s="22">
        <f t="shared" ref="CW4:CW67" si="13">(CU4+CV4)*0.475*44/12</f>
        <v>2.0397714284229629</v>
      </c>
      <c r="CX4" s="62">
        <f t="shared" ref="CX4:CX67" si="14">CW4+(CO4+CP4)*44/12</f>
        <v>259.92866031731182</v>
      </c>
      <c r="CY4" s="62">
        <f ca="1">AVERAGE(OFFSET($CX$3,0,0,'Données projet'!$E$13+1,1))-AVERAGE(OFFSET($H$3,0,0,'Données projet'!$E$13+1,1))</f>
        <v>260.02504691866199</v>
      </c>
      <c r="CZ4" s="62">
        <f>$CZ$3</f>
        <v>270.11268336406368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2.4666666666666668</v>
      </c>
      <c r="DO4" s="13">
        <f>IF('Données projet'!$A$166&gt;35,DO3+DN4-DW3,IF(A4&lt;'Données projet'!$A$166,$DL$205^A4,IF(A4='Données projet'!$A$166,'Données projet'!$B$166,DO3+DN4-DW3)))</f>
        <v>1.2721747796233518</v>
      </c>
      <c r="DP4" s="18">
        <f>DO4*VLOOKUP('Données projet'!$B$14,Paramètres!$A$1:$I$89,3,0)*VLOOKUP('Données projet'!$B$14,Paramètres!$A$1:$I$89,5,0)</f>
        <v>1.0121422546683387</v>
      </c>
      <c r="DQ4" s="14">
        <f>EXP(-1.0587+0.8836*LN(DP4)+0.284)</f>
        <v>0.46578286063395047</v>
      </c>
      <c r="DR4" s="22">
        <f t="shared" ref="DR4:DR67" si="16">(DP4+DQ4)*0.475*44/12</f>
        <v>2.574052909151487</v>
      </c>
      <c r="DS4" s="62">
        <f t="shared" ref="DS4:DS67" si="17">DR4+(DJ4+DK4)*44/12</f>
        <v>260.46294179804033</v>
      </c>
      <c r="DT4" s="62">
        <f ca="1">AVERAGE(OFFSET($DS$3,0,0,'Données projet'!$E$14+1,1))-AVERAGE(OFFSET($H$3,0,0,'Données projet'!$E$14+1,1))</f>
        <v>312.53381881960331</v>
      </c>
      <c r="DU4" s="62">
        <f>$DU$3</f>
        <v>342.06887933351783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1.05</v>
      </c>
      <c r="EJ4" s="13">
        <f>IF('Données projet'!$A$192&gt;35,EJ3+EI4-ER3,IF(A4&lt;'Données projet'!$A$192,$EG$205^A4,IF(A4='Données projet'!$A$192,'Données projet'!$B$192,EJ3+EI4-ER3)))</f>
        <v>1.1644235083052243</v>
      </c>
      <c r="EK4" s="18">
        <f>EJ4*VLOOKUP('Données projet'!$B$15,Paramètres!$A$1:$I$89,3,0)*VLOOKUP('Données projet'!$B$15,Paramètres!$A$1:$I$89,5,0)</f>
        <v>1.126230417232813</v>
      </c>
      <c r="EL4" s="14">
        <f>EXP(-1.0587+0.8836*LN(EK4)+0.284)</f>
        <v>0.51188205554259503</v>
      </c>
      <c r="EM4" s="22">
        <f t="shared" ref="EM4:EM67" si="19">(EK4+EL4)*0.475*44/12</f>
        <v>2.8530458900838358</v>
      </c>
      <c r="EN4" s="62">
        <f t="shared" ref="EN4:EN67" si="20">EM4+(EE4+EF4)*44/12</f>
        <v>260.74193477897268</v>
      </c>
      <c r="EO4" s="62">
        <f ca="1">AVERAGE(OFFSET($EN$3,0,0,'Données projet'!$E$15+1,1))-AVERAGE(OFFSET($H$3,0,0,'Données projet'!$E$15+1,1))</f>
        <v>255.59755832175625</v>
      </c>
      <c r="EP4" s="62">
        <f>$EP$3</f>
        <v>154.0840647586964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3.78125</v>
      </c>
      <c r="FE4" s="13">
        <f>IF('Données projet'!$A$218&gt;35,FE3+FD4-FM3,IF(A4&lt;'Données projet'!$A$218,$FB$205^A4,IF(A4='Données projet'!$A$218,'Données projet'!$B$218,FE3+FD4-FM3)))</f>
        <v>1.1616814187717481</v>
      </c>
      <c r="FF4" s="18">
        <f>FE4*VLOOKUP('Données projet'!$B$16,Paramètres!$A$1:$I$89,3,0)*VLOOKUP('Données projet'!$B$16,Paramètres!$A$1:$I$89,5,0)</f>
        <v>0.69468548842550537</v>
      </c>
      <c r="FG4" s="14">
        <f>EXP(-1.0587+0.8836*LN(FF4)+0.284)</f>
        <v>0.33400744097760005</v>
      </c>
      <c r="FH4" s="22">
        <f t="shared" ref="FH4:FH67" si="22">(FF4+FG4)*0.475*44/12</f>
        <v>1.7916401853770756</v>
      </c>
      <c r="FI4" s="62">
        <f t="shared" ref="FI4:FI67" si="23">FH4+(EZ4+FA4)*44/12</f>
        <v>259.68052907426591</v>
      </c>
      <c r="FJ4" s="62">
        <f ca="1">AVERAGE(OFFSET($FI$3,0,0,'Données projet'!$E$16+1,1))-AVERAGE(OFFSET($H$3,0,0,'Données projet'!$E$16+1,1))</f>
        <v>197.08445731383847</v>
      </c>
      <c r="FK4" s="62">
        <f>$FK$3</f>
        <v>157.12482557016511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428.8489304403459</v>
      </c>
      <c r="T5" s="62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475.47920969424894</v>
      </c>
      <c r="AO5" s="62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3.4425641025641025</v>
      </c>
      <c r="BD5" s="13">
        <f>IF('Données projet'!$A$88&gt;35,BD4+BC5-BL4,IF(A5&lt;'Données projet'!$A$88,$BA$205^A5,IF(A5='Données projet'!$A$88,'Données projet'!$B$88,BD4+BC5-BL4)))</f>
        <v>1.3622815852065062</v>
      </c>
      <c r="BE5" s="14">
        <f>BD5*VLOOKUP('Données projet'!$B$11,Paramètres!$A$1:$I$89,3,0)*VLOOKUP('Données projet'!$B$11,Paramètres!$A$1:$I$89,5,0)</f>
        <v>0.63754778187664485</v>
      </c>
      <c r="BF5" s="14">
        <f t="shared" ref="BF5:BF68" si="37">EXP(-1.0587+0.8836*LN(BE5)+0.284)</f>
        <v>0.30961323785545058</v>
      </c>
      <c r="BG5" s="22">
        <f t="shared" si="7"/>
        <v>1.6496387760333995</v>
      </c>
      <c r="BH5" s="62">
        <f t="shared" si="8"/>
        <v>260.76074988714453</v>
      </c>
      <c r="BI5" s="62">
        <f ca="1">AVERAGE(OFFSET($BH$3,0,0,'Données projet'!$E$11+1,1))-AVERAGE(OFFSET($H$3,0,0,'Données projet'!$E$11+1,1))</f>
        <v>246.73711856758143</v>
      </c>
      <c r="BJ5" s="62">
        <f t="shared" ref="BJ5:BJ68" si="38">$BJ$3</f>
        <v>145.54897745089966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8.5743589743589759</v>
      </c>
      <c r="BY5" s="13">
        <f>IF('Données projet'!$A$114&gt;35,BY4+BX5-CG4,IF(A5&lt;'Données projet'!$A$114,$BV$205^A5,IF(A5='Données projet'!$A$114,'Données projet'!$B$114,BY4+BX5-CG4)))</f>
        <v>1.6398419637084214</v>
      </c>
      <c r="BZ5" s="14">
        <f>BY5*VLOOKUP('Données projet'!$B$12,Paramètres!$A$1:$I$89,3,0)*VLOOKUP('Données projet'!$B$12,Paramètres!$A$1:$I$89,5,0)</f>
        <v>0.91667165771300751</v>
      </c>
      <c r="CA5" s="14">
        <f t="shared" ref="CA5:CA68" si="39">EXP(-1.0587+0.8836*LN(BZ5)+0.284)</f>
        <v>0.42674081455780177</v>
      </c>
      <c r="CB5" s="22">
        <f t="shared" si="10"/>
        <v>2.3397767225383261</v>
      </c>
      <c r="CC5" s="62">
        <f t="shared" si="11"/>
        <v>261.45088783364946</v>
      </c>
      <c r="CD5" s="62">
        <f ca="1">AVERAGE(OFFSET($CC$3,0,0,'Données projet'!$E$12+1,1))-AVERAGE(OFFSET($H$3,0,0,'Données projet'!$E$12+1,1))</f>
        <v>321.13335003345236</v>
      </c>
      <c r="CE5" s="62">
        <f t="shared" ref="CE5:CE68" si="40">$CE$3</f>
        <v>301.26825075712128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7.4312217194570129</v>
      </c>
      <c r="CT5" s="13">
        <f>IF('Données projet'!$A$140&gt;35,CT4+CS5-DB4,IF(A5&lt;'Données projet'!$A$140,$CQ$205^A5,IF(A5='Données projet'!$A$140,'Données projet'!$B$140,CT4+CS5-DB4)))</f>
        <v>1.7669992675293267</v>
      </c>
      <c r="CU5" s="18">
        <f>CT5*VLOOKUP('Données projet'!$B$13,Paramètres!$A$1:$I$89,3,0)*VLOOKUP('Données projet'!$B$13,Paramètres!$A$1:$I$89,5,0)</f>
        <v>1.0566655619825374</v>
      </c>
      <c r="CV5" s="14">
        <f t="shared" ref="CV5:CV68" si="41">EXP(-1.0587+0.8836*LN(CU5)+0.284)</f>
        <v>0.48384169076702271</v>
      </c>
      <c r="CW5" s="22">
        <f t="shared" si="13"/>
        <v>2.6830501318721502</v>
      </c>
      <c r="CX5" s="62">
        <f t="shared" si="14"/>
        <v>261.79416124298331</v>
      </c>
      <c r="CY5" s="62">
        <f ca="1">AVERAGE(OFFSET($CX$3,0,0,'Données projet'!$E$13+1,1))-AVERAGE(OFFSET($H$3,0,0,'Données projet'!$E$13+1,1))</f>
        <v>260.02504691866199</v>
      </c>
      <c r="CZ5" s="62">
        <f t="shared" ref="CZ5:CZ68" si="42">$CZ$3</f>
        <v>270.11268336406368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2.4666666666666668</v>
      </c>
      <c r="DO5" s="13">
        <f>IF('Données projet'!$A$166&gt;35,DO4+DN5-DW4,IF(A5&lt;'Données projet'!$A$166,$DL$205^A5,IF(A5='Données projet'!$A$166,'Données projet'!$B$166,DO4+DN5-DW4)))</f>
        <v>1.6184286699097237</v>
      </c>
      <c r="DP5" s="18">
        <f>DO5*VLOOKUP('Données projet'!$B$14,Paramètres!$A$1:$I$89,3,0)*VLOOKUP('Données projet'!$B$14,Paramètres!$A$1:$I$89,5,0)</f>
        <v>1.2876218497801761</v>
      </c>
      <c r="DQ5" s="14">
        <f t="shared" ref="DQ5:DQ68" si="43">EXP(-1.0587+0.8836*LN(DP5)+0.284)</f>
        <v>0.57618379541883336</v>
      </c>
      <c r="DR5" s="22">
        <f t="shared" si="16"/>
        <v>3.2461281653882743</v>
      </c>
      <c r="DS5" s="62">
        <f t="shared" si="17"/>
        <v>262.3572392764994</v>
      </c>
      <c r="DT5" s="62">
        <f ca="1">AVERAGE(OFFSET($DS$3,0,0,'Données projet'!$E$14+1,1))-AVERAGE(OFFSET($H$3,0,0,'Données projet'!$E$14+1,1))</f>
        <v>312.53381881960331</v>
      </c>
      <c r="DU5" s="62">
        <f t="shared" ref="DU5:DU68" si="44">$DU$3</f>
        <v>342.06887933351783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1.05</v>
      </c>
      <c r="EJ5" s="13">
        <f>IF('Données projet'!$A$192&gt;35,EJ4+EI5-ER4,IF(A5&lt;'Données projet'!$A$192,$EG$205^A5,IF(A5='Données projet'!$A$192,'Données projet'!$B$192,EJ4+EI5-ER4)))</f>
        <v>1.3558821066938469</v>
      </c>
      <c r="EK5" s="18">
        <f>EJ5*VLOOKUP('Données projet'!$B$15,Paramètres!$A$1:$I$89,3,0)*VLOOKUP('Données projet'!$B$15,Paramètres!$A$1:$I$89,5,0)</f>
        <v>1.3114091735942888</v>
      </c>
      <c r="EL5" s="14">
        <f t="shared" ref="EL5:EL68" si="45">EXP(-1.0587+0.8836*LN(EK5)+0.284)</f>
        <v>0.58557908091788968</v>
      </c>
      <c r="EM5" s="22">
        <f t="shared" si="19"/>
        <v>3.3039212099420436</v>
      </c>
      <c r="EN5" s="62">
        <f t="shared" si="20"/>
        <v>262.41503232105316</v>
      </c>
      <c r="EO5" s="62">
        <f ca="1">AVERAGE(OFFSET($EN$3,0,0,'Données projet'!$E$15+1,1))-AVERAGE(OFFSET($H$3,0,0,'Données projet'!$E$15+1,1))</f>
        <v>255.59755832175625</v>
      </c>
      <c r="EP5" s="62">
        <f t="shared" ref="EP5:EP68" si="46">$EP$3</f>
        <v>154.0840647586964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3.78125</v>
      </c>
      <c r="FE5" s="13">
        <f>IF('Données projet'!$A$218&gt;35,FE4+FD5-FM4,IF(A5&lt;'Données projet'!$A$218,$FB$205^A5,IF(A5='Données projet'!$A$218,'Données projet'!$B$218,FE4+FD5-FM4)))</f>
        <v>1.3495037187195416</v>
      </c>
      <c r="FF5" s="18">
        <f>FE5*VLOOKUP('Données projet'!$B$16,Paramètres!$A$1:$I$89,3,0)*VLOOKUP('Données projet'!$B$16,Paramètres!$A$1:$I$89,5,0)</f>
        <v>0.80700322379428591</v>
      </c>
      <c r="FG5" s="14">
        <f t="shared" ref="FG5:FG68" si="47">EXP(-1.0587+0.8836*LN(FF5)+0.284)</f>
        <v>0.38130021760086502</v>
      </c>
      <c r="FH5" s="22">
        <f t="shared" si="22"/>
        <v>2.0696284937632212</v>
      </c>
      <c r="FI5" s="62">
        <f t="shared" si="23"/>
        <v>261.18073960487436</v>
      </c>
      <c r="FJ5" s="62">
        <f ca="1">AVERAGE(OFFSET($FI$3,0,0,'Données projet'!$E$16+1,1))-AVERAGE(OFFSET($H$3,0,0,'Données projet'!$E$16+1,1))</f>
        <v>197.08445731383847</v>
      </c>
      <c r="FK5" s="62">
        <f t="shared" ref="FK5:FK68" si="48">$FK$3</f>
        <v>157.12482557016511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428.8489304403459</v>
      </c>
      <c r="T6" s="62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475.47920969424894</v>
      </c>
      <c r="AO6" s="62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3.4425641025641025</v>
      </c>
      <c r="BD6" s="13">
        <f>IF('Données projet'!$A$88&gt;35,BD5+BC6-BL5,IF(A6&lt;'Données projet'!$A$88,$BA$205^A6,IF(A6='Données projet'!$A$88,'Données projet'!$B$88,BD5+BC6-BL5)))</f>
        <v>1.590011732927042</v>
      </c>
      <c r="BE6" s="14">
        <f>BD6*VLOOKUP('Données projet'!$B$11,Paramètres!$A$1:$I$89,3,0)*VLOOKUP('Données projet'!$B$11,Paramètres!$A$1:$I$89,5,0)</f>
        <v>0.7441254910098557</v>
      </c>
      <c r="BF6" s="14">
        <f t="shared" si="37"/>
        <v>0.35492666750402163</v>
      </c>
      <c r="BG6" s="22">
        <f t="shared" si="7"/>
        <v>1.9141825094116696</v>
      </c>
      <c r="BH6" s="62">
        <f t="shared" si="8"/>
        <v>262.24751584274497</v>
      </c>
      <c r="BI6" s="62">
        <f ca="1">AVERAGE(OFFSET($BH$3,0,0,'Données projet'!$E$11+1,1))-AVERAGE(OFFSET($H$3,0,0,'Données projet'!$E$11+1,1))</f>
        <v>246.73711856758143</v>
      </c>
      <c r="BJ6" s="62">
        <f t="shared" si="38"/>
        <v>145.54897745089966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8.5743589743589759</v>
      </c>
      <c r="BY6" s="13">
        <f>IF('Données projet'!$A$114&gt;35,BY5+BX6-CG5,IF(A6&lt;'Données projet'!$A$114,$BV$205^A6,IF(A6='Données projet'!$A$114,'Données projet'!$B$114,BY5+BX6-CG5)))</f>
        <v>2.0999211793888533</v>
      </c>
      <c r="BZ6" s="14">
        <f>BY6*VLOOKUP('Données projet'!$B$12,Paramètres!$A$1:$I$89,3,0)*VLOOKUP('Données projet'!$B$12,Paramètres!$A$1:$I$89,5,0)</f>
        <v>1.173855939278369</v>
      </c>
      <c r="CA6" s="14">
        <f t="shared" si="39"/>
        <v>0.53096232167316981</v>
      </c>
      <c r="CB6" s="22">
        <f t="shared" si="10"/>
        <v>2.9692251378239298</v>
      </c>
      <c r="CC6" s="62">
        <f t="shared" si="11"/>
        <v>263.30255847115723</v>
      </c>
      <c r="CD6" s="62">
        <f ca="1">AVERAGE(OFFSET($CC$3,0,0,'Données projet'!$E$12+1,1))-AVERAGE(OFFSET($H$3,0,0,'Données projet'!$E$12+1,1))</f>
        <v>321.13335003345236</v>
      </c>
      <c r="CE6" s="62">
        <f t="shared" si="40"/>
        <v>301.26825075712128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7.4312217194570129</v>
      </c>
      <c r="CT6" s="13">
        <f>IF('Données projet'!$A$140&gt;35,CT5+CS6-DB5,IF(A6&lt;'Données projet'!$A$140,$CQ$205^A6,IF(A6='Données projet'!$A$140,'Données projet'!$B$140,CT5+CS6-DB5)))</f>
        <v>2.3488460575455909</v>
      </c>
      <c r="CU6" s="18">
        <f>CT6*VLOOKUP('Données projet'!$B$13,Paramètres!$A$1:$I$89,3,0)*VLOOKUP('Données projet'!$B$13,Paramètres!$A$1:$I$89,5,0)</f>
        <v>1.4046099424122636</v>
      </c>
      <c r="CV6" s="14">
        <f t="shared" si="41"/>
        <v>0.62220330714804695</v>
      </c>
      <c r="CW6" s="22">
        <f t="shared" si="13"/>
        <v>3.5300330763175403</v>
      </c>
      <c r="CX6" s="62">
        <f t="shared" si="14"/>
        <v>263.86336640965084</v>
      </c>
      <c r="CY6" s="62">
        <f ca="1">AVERAGE(OFFSET($CX$3,0,0,'Données projet'!$E$13+1,1))-AVERAGE(OFFSET($H$3,0,0,'Données projet'!$E$13+1,1))</f>
        <v>260.02504691866199</v>
      </c>
      <c r="CZ6" s="62">
        <f t="shared" si="42"/>
        <v>270.11268336406368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2.4666666666666668</v>
      </c>
      <c r="DO6" s="13">
        <f>IF('Données projet'!$A$166&gt;35,DO5+DN6-DW5,IF(A6&lt;'Données projet'!$A$166,$DL$205^A6,IF(A6='Données projet'!$A$166,'Données projet'!$B$166,DO5+DN6-DW5)))</f>
        <v>2.0589241364785171</v>
      </c>
      <c r="DP6" s="18">
        <f>DO6*VLOOKUP('Données projet'!$B$14,Paramètres!$A$1:$I$89,3,0)*VLOOKUP('Données projet'!$B$14,Paramètres!$A$1:$I$89,5,0)</f>
        <v>1.6380800429823084</v>
      </c>
      <c r="DQ6" s="14">
        <f t="shared" si="43"/>
        <v>0.71275221602487127</v>
      </c>
      <c r="DR6" s="22">
        <f t="shared" si="16"/>
        <v>4.0943661844375043</v>
      </c>
      <c r="DS6" s="62">
        <f t="shared" si="17"/>
        <v>264.4276995177708</v>
      </c>
      <c r="DT6" s="62">
        <f ca="1">AVERAGE(OFFSET($DS$3,0,0,'Données projet'!$E$14+1,1))-AVERAGE(OFFSET($H$3,0,0,'Données projet'!$E$14+1,1))</f>
        <v>312.53381881960331</v>
      </c>
      <c r="DU6" s="62">
        <f t="shared" si="44"/>
        <v>342.06887933351783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1.05</v>
      </c>
      <c r="EJ6" s="13">
        <f>IF('Données projet'!$A$192&gt;35,EJ5+EI6-ER5,IF(A6&lt;'Données projet'!$A$192,$EG$205^A6,IF(A6='Données projet'!$A$192,'Données projet'!$B$192,EJ5+EI6-ER5)))</f>
        <v>1.5788209995247278</v>
      </c>
      <c r="EK6" s="18">
        <f>EJ6*VLOOKUP('Données projet'!$B$15,Paramètres!$A$1:$I$89,3,0)*VLOOKUP('Données projet'!$B$15,Paramètres!$A$1:$I$89,5,0)</f>
        <v>1.5270356707403168</v>
      </c>
      <c r="EL6" s="14">
        <f t="shared" si="45"/>
        <v>0.66988646367992577</v>
      </c>
      <c r="EM6" s="22">
        <f t="shared" si="19"/>
        <v>3.8263060507819229</v>
      </c>
      <c r="EN6" s="62">
        <f t="shared" si="20"/>
        <v>264.15963938411522</v>
      </c>
      <c r="EO6" s="62">
        <f ca="1">AVERAGE(OFFSET($EN$3,0,0,'Données projet'!$E$15+1,1))-AVERAGE(OFFSET($H$3,0,0,'Données projet'!$E$15+1,1))</f>
        <v>255.59755832175625</v>
      </c>
      <c r="EP6" s="62">
        <f t="shared" si="46"/>
        <v>154.0840647586964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3.78125</v>
      </c>
      <c r="FE6" s="13">
        <f>IF('Données projet'!$A$218&gt;35,FE5+FD6-FM5,IF(A6&lt;'Données projet'!$A$218,$FB$205^A6,IF(A6='Données projet'!$A$218,'Données projet'!$B$218,FE5+FD6-FM5)))</f>
        <v>1.5676933945998672</v>
      </c>
      <c r="FF6" s="18">
        <f>FE6*VLOOKUP('Données projet'!$B$16,Paramètres!$A$1:$I$89,3,0)*VLOOKUP('Données projet'!$B$16,Paramètres!$A$1:$I$89,5,0)</f>
        <v>0.93748064997072067</v>
      </c>
      <c r="FG6" s="14">
        <f t="shared" si="47"/>
        <v>0.4352892723495268</v>
      </c>
      <c r="FH6" s="22">
        <f t="shared" si="22"/>
        <v>2.3909076147077641</v>
      </c>
      <c r="FI6" s="62">
        <f t="shared" si="23"/>
        <v>262.72424094804109</v>
      </c>
      <c r="FJ6" s="62">
        <f ca="1">AVERAGE(OFFSET($FI$3,0,0,'Données projet'!$E$16+1,1))-AVERAGE(OFFSET($H$3,0,0,'Données projet'!$E$16+1,1))</f>
        <v>197.08445731383847</v>
      </c>
      <c r="FK6" s="62">
        <f t="shared" si="48"/>
        <v>157.12482557016511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428.8489304403459</v>
      </c>
      <c r="T7" s="62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475.47920969424894</v>
      </c>
      <c r="AO7" s="62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3.4425641025641025</v>
      </c>
      <c r="BD7" s="13">
        <f>IF('Données projet'!$A$88&gt;35,BD6+BC7-BL6,IF(A7&lt;'Données projet'!$A$88,$BA$205^A7,IF(A7='Données projet'!$A$88,'Données projet'!$B$88,BD6+BC7-BL6)))</f>
        <v>1.8558111173927514</v>
      </c>
      <c r="BE7" s="14">
        <f>BD7*VLOOKUP('Données projet'!$B$11,Paramètres!$A$1:$I$89,3,0)*VLOOKUP('Données projet'!$B$11,Paramètres!$A$1:$I$89,5,0)</f>
        <v>0.86851960293980757</v>
      </c>
      <c r="BF7" s="14">
        <f t="shared" si="37"/>
        <v>0.40687194183965542</v>
      </c>
      <c r="BG7" s="22">
        <f t="shared" si="7"/>
        <v>2.2213069404908978</v>
      </c>
      <c r="BH7" s="62">
        <f t="shared" si="8"/>
        <v>263.77686249604642</v>
      </c>
      <c r="BI7" s="62">
        <f ca="1">AVERAGE(OFFSET($BH$3,0,0,'Données projet'!$E$11+1,1))-AVERAGE(OFFSET($H$3,0,0,'Données projet'!$E$11+1,1))</f>
        <v>246.73711856758143</v>
      </c>
      <c r="BJ7" s="62">
        <f t="shared" si="38"/>
        <v>145.54897745089966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8.5743589743589759</v>
      </c>
      <c r="BY7" s="13">
        <f>IF('Données projet'!$A$114&gt;35,BY6+BX7-CG6,IF(A7&lt;'Données projet'!$A$114,$BV$205^A7,IF(A7='Données projet'!$A$114,'Données projet'!$B$114,BY6+BX7-CG6)))</f>
        <v>2.6890816659390917</v>
      </c>
      <c r="BZ7" s="14">
        <f>BY7*VLOOKUP('Données projet'!$B$12,Paramètres!$A$1:$I$89,3,0)*VLOOKUP('Données projet'!$B$12,Paramètres!$A$1:$I$89,5,0)</f>
        <v>1.5031966512599522</v>
      </c>
      <c r="CA7" s="14">
        <f t="shared" si="39"/>
        <v>0.66063750505958863</v>
      </c>
      <c r="CB7" s="22">
        <f t="shared" si="10"/>
        <v>3.7686778222565338</v>
      </c>
      <c r="CC7" s="62">
        <f t="shared" si="11"/>
        <v>265.32423337781205</v>
      </c>
      <c r="CD7" s="62">
        <f ca="1">AVERAGE(OFFSET($CC$3,0,0,'Données projet'!$E$12+1,1))-AVERAGE(OFFSET($H$3,0,0,'Données projet'!$E$12+1,1))</f>
        <v>321.13335003345236</v>
      </c>
      <c r="CE7" s="62">
        <f t="shared" si="40"/>
        <v>301.26825075712128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7.4312217194570129</v>
      </c>
      <c r="CT7" s="13">
        <f>IF('Données projet'!$A$140&gt;35,CT6+CS7-DB6,IF(A7&lt;'Données projet'!$A$140,$CQ$205^A7,IF(A7='Données projet'!$A$140,'Données projet'!$B$140,CT6+CS7-DB6)))</f>
        <v>3.1222864114491768</v>
      </c>
      <c r="CU7" s="18">
        <f>CT7*VLOOKUP('Données projet'!$B$13,Paramètres!$A$1:$I$89,3,0)*VLOOKUP('Données projet'!$B$13,Paramètres!$A$1:$I$89,5,0)</f>
        <v>1.8671272740466078</v>
      </c>
      <c r="CV7" s="14">
        <f t="shared" si="41"/>
        <v>0.80013145376589556</v>
      </c>
      <c r="CW7" s="22">
        <f t="shared" si="13"/>
        <v>4.6454756176067766</v>
      </c>
      <c r="CX7" s="62">
        <f t="shared" si="14"/>
        <v>266.20103117316233</v>
      </c>
      <c r="CY7" s="62">
        <f ca="1">AVERAGE(OFFSET($CX$3,0,0,'Données projet'!$E$13+1,1))-AVERAGE(OFFSET($H$3,0,0,'Données projet'!$E$13+1,1))</f>
        <v>260.02504691866199</v>
      </c>
      <c r="CZ7" s="62">
        <f t="shared" si="42"/>
        <v>270.11268336406368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2.4666666666666668</v>
      </c>
      <c r="DO7" s="13">
        <f>IF('Données projet'!$A$166&gt;35,DO6+DN7-DW6,IF(A7&lt;'Données projet'!$A$166,$DL$205^A7,IF(A7='Données projet'!$A$166,'Données projet'!$B$166,DO6+DN7-DW6)))</f>
        <v>2.6193113595857573</v>
      </c>
      <c r="DP7" s="18">
        <f>DO7*VLOOKUP('Données projet'!$B$14,Paramètres!$A$1:$I$89,3,0)*VLOOKUP('Données projet'!$B$14,Paramètres!$A$1:$I$89,5,0)</f>
        <v>2.0839241176864287</v>
      </c>
      <c r="DQ7" s="14">
        <f t="shared" si="43"/>
        <v>0.88169040068036508</v>
      </c>
      <c r="DR7" s="22">
        <f t="shared" si="16"/>
        <v>5.1651119528221656</v>
      </c>
      <c r="DS7" s="62">
        <f t="shared" si="17"/>
        <v>266.72066750837769</v>
      </c>
      <c r="DT7" s="62">
        <f ca="1">AVERAGE(OFFSET($DS$3,0,0,'Données projet'!$E$14+1,1))-AVERAGE(OFFSET($H$3,0,0,'Données projet'!$E$14+1,1))</f>
        <v>312.53381881960331</v>
      </c>
      <c r="DU7" s="62">
        <f t="shared" si="44"/>
        <v>342.06887933351783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1.05</v>
      </c>
      <c r="EJ7" s="13">
        <f>IF('Données projet'!$A$192&gt;35,EJ6+EI7-ER6,IF(A7&lt;'Données projet'!$A$192,$EG$205^A7,IF(A7='Données projet'!$A$192,'Données projet'!$B$192,EJ6+EI7-ER6)))</f>
        <v>1.8384162872525445</v>
      </c>
      <c r="EK7" s="18">
        <f>EJ7*VLOOKUP('Données projet'!$B$15,Paramètres!$A$1:$I$89,3,0)*VLOOKUP('Données projet'!$B$15,Paramètres!$A$1:$I$89,5,0)</f>
        <v>1.778116233030661</v>
      </c>
      <c r="EL7" s="14">
        <f t="shared" si="45"/>
        <v>0.76633180529295619</v>
      </c>
      <c r="EM7" s="22">
        <f t="shared" si="19"/>
        <v>4.431580333413633</v>
      </c>
      <c r="EN7" s="62">
        <f t="shared" si="20"/>
        <v>265.98713588896919</v>
      </c>
      <c r="EO7" s="62">
        <f ca="1">AVERAGE(OFFSET($EN$3,0,0,'Données projet'!$E$15+1,1))-AVERAGE(OFFSET($H$3,0,0,'Données projet'!$E$15+1,1))</f>
        <v>255.59755832175625</v>
      </c>
      <c r="EP7" s="62">
        <f t="shared" si="46"/>
        <v>154.0840647586964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3.78125</v>
      </c>
      <c r="FE7" s="13">
        <f>IF('Données projet'!$A$218&gt;35,FE6+FD7-FM6,IF(A7&lt;'Données projet'!$A$218,$FB$205^A7,IF(A7='Données projet'!$A$218,'Données projet'!$B$218,FE6+FD7-FM6)))</f>
        <v>1.8211602868378716</v>
      </c>
      <c r="FF7" s="18">
        <f>FE7*VLOOKUP('Données projet'!$B$16,Paramètres!$A$1:$I$89,3,0)*VLOOKUP('Données projet'!$B$16,Paramètres!$A$1:$I$89,5,0)</f>
        <v>1.0890538515290473</v>
      </c>
      <c r="FG7" s="14">
        <f t="shared" si="47"/>
        <v>0.49692274453648416</v>
      </c>
      <c r="FH7" s="22">
        <f t="shared" si="22"/>
        <v>2.7622425714808005</v>
      </c>
      <c r="FI7" s="62">
        <f t="shared" si="23"/>
        <v>264.31779812703633</v>
      </c>
      <c r="FJ7" s="62">
        <f ca="1">AVERAGE(OFFSET($FI$3,0,0,'Données projet'!$E$16+1,1))-AVERAGE(OFFSET($H$3,0,0,'Données projet'!$E$16+1,1))</f>
        <v>197.08445731383847</v>
      </c>
      <c r="FK7" s="62">
        <f t="shared" si="48"/>
        <v>157.12482557016511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428.8489304403459</v>
      </c>
      <c r="T8" s="62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475.47920969424894</v>
      </c>
      <c r="AO8" s="62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3.4425641025641025</v>
      </c>
      <c r="BD8" s="13">
        <f>IF('Données projet'!$A$88&gt;35,BD7+BC8-BL7,IF(A8&lt;'Données projet'!$A$88,$BA$205^A8,IF(A8='Données projet'!$A$88,'Données projet'!$B$88,BD7+BC8-BL7)))</f>
        <v>2.1660437040287945</v>
      </c>
      <c r="BE8" s="14">
        <f>BD8*VLOOKUP('Données projet'!$B$11,Paramètres!$A$1:$I$89,3,0)*VLOOKUP('Données projet'!$B$11,Paramètres!$A$1:$I$89,5,0)</f>
        <v>1.0137084534854759</v>
      </c>
      <c r="BF8" s="14">
        <f t="shared" si="37"/>
        <v>0.46641966415357117</v>
      </c>
      <c r="BG8" s="22">
        <f t="shared" si="7"/>
        <v>2.5778898048880068</v>
      </c>
      <c r="BH8" s="62">
        <f t="shared" si="8"/>
        <v>265.35566758266577</v>
      </c>
      <c r="BI8" s="62">
        <f ca="1">AVERAGE(OFFSET($BH$3,0,0,'Données projet'!$E$11+1,1))-AVERAGE(OFFSET($H$3,0,0,'Données projet'!$E$11+1,1))</f>
        <v>246.73711856758143</v>
      </c>
      <c r="BJ8" s="62">
        <f t="shared" si="38"/>
        <v>145.54897745089966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8.5743589743589759</v>
      </c>
      <c r="BY8" s="13">
        <f>IF('Données projet'!$A$114&gt;35,BY7+BX8-CG7,IF(A8&lt;'Données projet'!$A$114,$BV$205^A8,IF(A8='Données projet'!$A$114,'Données projet'!$B$114,BY7+BX8-CG7)))</f>
        <v>3.4435388704419219</v>
      </c>
      <c r="BZ8" s="14">
        <f>BY8*VLOOKUP('Données projet'!$B$12,Paramètres!$A$1:$I$89,3,0)*VLOOKUP('Données projet'!$B$12,Paramètres!$A$1:$I$89,5,0)</f>
        <v>1.9249382285770344</v>
      </c>
      <c r="CA8" s="14">
        <f t="shared" si="39"/>
        <v>0.8219828324466435</v>
      </c>
      <c r="CB8" s="22">
        <f t="shared" si="10"/>
        <v>4.7842208479495723</v>
      </c>
      <c r="CC8" s="62">
        <f t="shared" si="11"/>
        <v>267.56199862572737</v>
      </c>
      <c r="CD8" s="62">
        <f ca="1">AVERAGE(OFFSET($CC$3,0,0,'Données projet'!$E$12+1,1))-AVERAGE(OFFSET($H$3,0,0,'Données projet'!$E$12+1,1))</f>
        <v>321.13335003345236</v>
      </c>
      <c r="CE8" s="62">
        <f t="shared" si="40"/>
        <v>301.26825075712128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7.4312217194570129</v>
      </c>
      <c r="CT8" s="13">
        <f>IF('Données projet'!$A$140&gt;35,CT7+CS8-DB7,IF(A8&lt;'Données projet'!$A$140,$CQ$205^A8,IF(A8='Données projet'!$A$140,'Données projet'!$B$140,CT7+CS8-DB7)))</f>
        <v>4.1504092632222056</v>
      </c>
      <c r="CU8" s="18">
        <f>CT8*VLOOKUP('Données projet'!$B$13,Paramètres!$A$1:$I$89,3,0)*VLOOKUP('Données projet'!$B$13,Paramètres!$A$1:$I$89,5,0)</f>
        <v>2.4819447394068792</v>
      </c>
      <c r="CV8" s="14">
        <f t="shared" si="41"/>
        <v>1.0289407593154982</v>
      </c>
      <c r="CW8" s="22">
        <f t="shared" si="13"/>
        <v>6.1147922436081394</v>
      </c>
      <c r="CX8" s="62">
        <f t="shared" si="14"/>
        <v>268.89257002138589</v>
      </c>
      <c r="CY8" s="62">
        <f ca="1">AVERAGE(OFFSET($CX$3,0,0,'Données projet'!$E$13+1,1))-AVERAGE(OFFSET($H$3,0,0,'Données projet'!$E$13+1,1))</f>
        <v>260.02504691866199</v>
      </c>
      <c r="CZ8" s="62">
        <f t="shared" si="42"/>
        <v>270.11268336406368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2.4666666666666668</v>
      </c>
      <c r="DO8" s="13">
        <f>IF('Données projet'!$A$166&gt;35,DO7+DN8-DW7,IF(A8&lt;'Données projet'!$A$166,$DL$205^A8,IF(A8='Données projet'!$A$166,'Données projet'!$B$166,DO7+DN8-DW7)))</f>
        <v>3.332221851645953</v>
      </c>
      <c r="DP8" s="18">
        <f>DO8*VLOOKUP('Données projet'!$B$14,Paramètres!$A$1:$I$89,3,0)*VLOOKUP('Données projet'!$B$14,Paramètres!$A$1:$I$89,5,0)</f>
        <v>2.6511157051695204</v>
      </c>
      <c r="DQ8" s="14">
        <f t="shared" si="43"/>
        <v>1.0906707059957799</v>
      </c>
      <c r="DR8" s="22">
        <f t="shared" si="16"/>
        <v>6.5169446661128978</v>
      </c>
      <c r="DS8" s="62">
        <f t="shared" si="17"/>
        <v>269.29472244389069</v>
      </c>
      <c r="DT8" s="62">
        <f ca="1">AVERAGE(OFFSET($DS$3,0,0,'Données projet'!$E$14+1,1))-AVERAGE(OFFSET($H$3,0,0,'Données projet'!$E$14+1,1))</f>
        <v>312.53381881960331</v>
      </c>
      <c r="DU8" s="62">
        <f t="shared" si="44"/>
        <v>342.06887933351783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1.05</v>
      </c>
      <c r="EJ8" s="13">
        <f>IF('Données projet'!$A$192&gt;35,EJ7+EI8-ER7,IF(A8&lt;'Données projet'!$A$192,$EG$205^A8,IF(A8='Données projet'!$A$192,'Données projet'!$B$192,EJ7+EI8-ER7)))</f>
        <v>2.1406951429280729</v>
      </c>
      <c r="EK8" s="18">
        <f>EJ8*VLOOKUP('Données projet'!$B$15,Paramètres!$A$1:$I$89,3,0)*VLOOKUP('Données projet'!$B$15,Paramètres!$A$1:$I$89,5,0)</f>
        <v>2.0704803422400322</v>
      </c>
      <c r="EL8" s="14">
        <f t="shared" si="45"/>
        <v>0.87666264008009354</v>
      </c>
      <c r="EM8" s="22">
        <f t="shared" si="19"/>
        <v>5.1329406942075515</v>
      </c>
      <c r="EN8" s="62">
        <f t="shared" si="20"/>
        <v>267.91071847198532</v>
      </c>
      <c r="EO8" s="62">
        <f ca="1">AVERAGE(OFFSET($EN$3,0,0,'Données projet'!$E$15+1,1))-AVERAGE(OFFSET($H$3,0,0,'Données projet'!$E$15+1,1))</f>
        <v>255.59755832175625</v>
      </c>
      <c r="EP8" s="62">
        <f t="shared" si="46"/>
        <v>154.0840647586964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3.78125</v>
      </c>
      <c r="FE8" s="13">
        <f>IF('Données projet'!$A$218&gt;35,FE7+FD8-FM7,IF(A8&lt;'Données projet'!$A$218,$FB$205^A8,IF(A8='Données projet'!$A$218,'Données projet'!$B$218,FE7+FD8-FM7)))</f>
        <v>2.1156080658245826</v>
      </c>
      <c r="FF8" s="18">
        <f>FE8*VLOOKUP('Données projet'!$B$16,Paramètres!$A$1:$I$89,3,0)*VLOOKUP('Données projet'!$B$16,Paramètres!$A$1:$I$89,5,0)</f>
        <v>1.2651336233631005</v>
      </c>
      <c r="FG8" s="14">
        <f t="shared" si="47"/>
        <v>0.56728302240214945</v>
      </c>
      <c r="FH8" s="22">
        <f t="shared" si="22"/>
        <v>3.1914589913744771</v>
      </c>
      <c r="FI8" s="62">
        <f t="shared" si="23"/>
        <v>265.96923676915225</v>
      </c>
      <c r="FJ8" s="62">
        <f ca="1">AVERAGE(OFFSET($FI$3,0,0,'Données projet'!$E$16+1,1))-AVERAGE(OFFSET($H$3,0,0,'Données projet'!$E$16+1,1))</f>
        <v>197.08445731383847</v>
      </c>
      <c r="FK8" s="62">
        <f t="shared" si="48"/>
        <v>157.12482557016511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428.8489304403459</v>
      </c>
      <c r="T9" s="62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475.47920969424894</v>
      </c>
      <c r="AO9" s="62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3.4425641025641025</v>
      </c>
      <c r="BD9" s="13">
        <f>IF('Données projet'!$A$88&gt;35,BD8+BC9-BL8,IF(A9&lt;'Données projet'!$A$88,$BA$205^A9,IF(A9='Données projet'!$A$88,'Données projet'!$B$88,BD8+BC9-BL8)))</f>
        <v>2.5281373108456551</v>
      </c>
      <c r="BE9" s="14">
        <f>BD9*VLOOKUP('Données projet'!$B$11,Paramètres!$A$1:$I$89,3,0)*VLOOKUP('Données projet'!$B$11,Paramètres!$A$1:$I$89,5,0)</f>
        <v>1.1831682614757666</v>
      </c>
      <c r="BF9" s="14">
        <f t="shared" si="37"/>
        <v>0.53468249033221249</v>
      </c>
      <c r="BG9" s="22">
        <f t="shared" si="7"/>
        <v>2.9919233927322302</v>
      </c>
      <c r="BH9" s="62">
        <f t="shared" si="8"/>
        <v>266.99192339273225</v>
      </c>
      <c r="BI9" s="62">
        <f ca="1">AVERAGE(OFFSET($BH$3,0,0,'Données projet'!$E$11+1,1))-AVERAGE(OFFSET($H$3,0,0,'Données projet'!$E$11+1,1))</f>
        <v>246.73711856758143</v>
      </c>
      <c r="BJ9" s="62">
        <f t="shared" si="38"/>
        <v>145.54897745089966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8.5743589743589759</v>
      </c>
      <c r="BY9" s="13">
        <f>IF('Données projet'!$A$114&gt;35,BY8+BX9-CG8,IF(A9&lt;'Données projet'!$A$114,$BV$205^A9,IF(A9='Données projet'!$A$114,'Données projet'!$B$114,BY8+BX9-CG8)))</f>
        <v>4.4096689596458729</v>
      </c>
      <c r="BZ9" s="14">
        <f>BY9*VLOOKUP('Données projet'!$B$12,Paramètres!$A$1:$I$89,3,0)*VLOOKUP('Données projet'!$B$12,Paramètres!$A$1:$I$89,5,0)</f>
        <v>2.4650049484420431</v>
      </c>
      <c r="CA9" s="14">
        <f t="shared" si="39"/>
        <v>1.0227329990537903</v>
      </c>
      <c r="CB9" s="22">
        <f t="shared" si="10"/>
        <v>6.0744769252219095</v>
      </c>
      <c r="CC9" s="62">
        <f t="shared" si="11"/>
        <v>270.07447692522192</v>
      </c>
      <c r="CD9" s="62">
        <f ca="1">AVERAGE(OFFSET($CC$3,0,0,'Données projet'!$E$12+1,1))-AVERAGE(OFFSET($H$3,0,0,'Données projet'!$E$12+1,1))</f>
        <v>321.13335003345236</v>
      </c>
      <c r="CE9" s="62">
        <f t="shared" si="40"/>
        <v>301.26825075712128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7.4312217194570129</v>
      </c>
      <c r="CT9" s="13">
        <f>IF('Données projet'!$A$140&gt;35,CT8+CS9-DB8,IF(A9&lt;'Données projet'!$A$140,$CQ$205^A9,IF(A9='Données projet'!$A$140,'Données projet'!$B$140,CT8+CS9-DB8)))</f>
        <v>5.5170778020474653</v>
      </c>
      <c r="CU9" s="18">
        <f>CT9*VLOOKUP('Données projet'!$B$13,Paramètres!$A$1:$I$89,3,0)*VLOOKUP('Données projet'!$B$13,Paramètres!$A$1:$I$89,5,0)</f>
        <v>3.2992125256243843</v>
      </c>
      <c r="CV9" s="14">
        <f t="shared" si="41"/>
        <v>1.3231814362474952</v>
      </c>
      <c r="CW9" s="22">
        <f t="shared" si="13"/>
        <v>8.0506694835935235</v>
      </c>
      <c r="CX9" s="62">
        <f t="shared" si="14"/>
        <v>272.05066948359354</v>
      </c>
      <c r="CY9" s="62">
        <f ca="1">AVERAGE(OFFSET($CX$3,0,0,'Données projet'!$E$13+1,1))-AVERAGE(OFFSET($H$3,0,0,'Données projet'!$E$13+1,1))</f>
        <v>260.02504691866199</v>
      </c>
      <c r="CZ9" s="62">
        <f t="shared" si="42"/>
        <v>270.11268336406368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2.4666666666666668</v>
      </c>
      <c r="DO9" s="13">
        <f>IF('Données projet'!$A$166&gt;35,DO8+DN9-DW8,IF(A9&lt;'Données projet'!$A$166,$DL$205^A9,IF(A9='Données projet'!$A$166,'Données projet'!$B$166,DO8+DN9-DW8)))</f>
        <v>4.2391685997738069</v>
      </c>
      <c r="DP9" s="18">
        <f>DO9*VLOOKUP('Données projet'!$B$14,Paramètres!$A$1:$I$89,3,0)*VLOOKUP('Données projet'!$B$14,Paramètres!$A$1:$I$89,5,0)</f>
        <v>3.3726825379800407</v>
      </c>
      <c r="DQ9" s="14">
        <f t="shared" si="43"/>
        <v>1.3491840083541735</v>
      </c>
      <c r="DR9" s="22">
        <f t="shared" si="16"/>
        <v>8.2239175681987557</v>
      </c>
      <c r="DS9" s="62">
        <f t="shared" si="17"/>
        <v>272.22391756819877</v>
      </c>
      <c r="DT9" s="62">
        <f ca="1">AVERAGE(OFFSET($DS$3,0,0,'Données projet'!$E$14+1,1))-AVERAGE(OFFSET($H$3,0,0,'Données projet'!$E$14+1,1))</f>
        <v>312.53381881960331</v>
      </c>
      <c r="DU9" s="62">
        <f t="shared" si="44"/>
        <v>342.06887933351783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1.05</v>
      </c>
      <c r="EJ9" s="13">
        <f>IF('Données projet'!$A$192&gt;35,EJ8+EI9-ER8,IF(A9&lt;'Données projet'!$A$192,$EG$205^A9,IF(A9='Données projet'!$A$192,'Données projet'!$B$192,EJ8+EI9-ER8)))</f>
        <v>2.4926757485402602</v>
      </c>
      <c r="EK9" s="18">
        <f>EJ9*VLOOKUP('Données projet'!$B$15,Paramètres!$A$1:$I$89,3,0)*VLOOKUP('Données projet'!$B$15,Paramètres!$A$1:$I$89,5,0)</f>
        <v>2.41091598398814</v>
      </c>
      <c r="EL9" s="14">
        <f t="shared" si="45"/>
        <v>1.0028780995438396</v>
      </c>
      <c r="EM9" s="22">
        <f t="shared" si="19"/>
        <v>5.945691362151531</v>
      </c>
      <c r="EN9" s="62">
        <f t="shared" si="20"/>
        <v>269.94569136215154</v>
      </c>
      <c r="EO9" s="62">
        <f ca="1">AVERAGE(OFFSET($EN$3,0,0,'Données projet'!$E$15+1,1))-AVERAGE(OFFSET($H$3,0,0,'Données projet'!$E$15+1,1))</f>
        <v>255.59755832175625</v>
      </c>
      <c r="EP9" s="62">
        <f t="shared" si="46"/>
        <v>154.0840647586964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3.78125</v>
      </c>
      <c r="FE9" s="13">
        <f>IF('Données projet'!$A$218&gt;35,FE8+FD9-FM8,IF(A9&lt;'Données projet'!$A$218,$FB$205^A9,IF(A9='Données projet'!$A$218,'Données projet'!$B$218,FE8+FD9-FM8)))</f>
        <v>2.4576625794720548</v>
      </c>
      <c r="FF9" s="18">
        <f>FE9*VLOOKUP('Données projet'!$B$16,Paramètres!$A$1:$I$89,3,0)*VLOOKUP('Données projet'!$B$16,Paramètres!$A$1:$I$89,5,0)</f>
        <v>1.4696822225242889</v>
      </c>
      <c r="FG9" s="14">
        <f t="shared" si="47"/>
        <v>0.64760575168659895</v>
      </c>
      <c r="FH9" s="22">
        <f t="shared" si="22"/>
        <v>3.6876098884172968</v>
      </c>
      <c r="FI9" s="62">
        <f t="shared" si="23"/>
        <v>267.68760988841728</v>
      </c>
      <c r="FJ9" s="62">
        <f ca="1">AVERAGE(OFFSET($FI$3,0,0,'Données projet'!$E$16+1,1))-AVERAGE(OFFSET($H$3,0,0,'Données projet'!$E$16+1,1))</f>
        <v>197.08445731383847</v>
      </c>
      <c r="FK9" s="62">
        <f t="shared" si="48"/>
        <v>157.12482557016511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428.8489304403459</v>
      </c>
      <c r="T10" s="62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475.47920969424894</v>
      </c>
      <c r="AO10" s="62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3.4425641025641025</v>
      </c>
      <c r="BD10" s="13">
        <f>IF('Données projet'!$A$88&gt;35,BD9+BC10-BL9,IF(A10&lt;'Données projet'!$A$88,$BA$205^A10,IF(A10='Données projet'!$A$88,'Données projet'!$B$88,BD9+BC10-BL9)))</f>
        <v>2.9507614507509188</v>
      </c>
      <c r="BE10" s="14">
        <f>BD10*VLOOKUP('Données projet'!$B$11,Paramètres!$A$1:$I$89,3,0)*VLOOKUP('Données projet'!$B$11,Paramètres!$A$1:$I$89,5,0)</f>
        <v>1.38095635895143</v>
      </c>
      <c r="BF10" s="14">
        <f t="shared" si="37"/>
        <v>0.61293591895758326</v>
      </c>
      <c r="BG10" s="22">
        <f t="shared" si="7"/>
        <v>3.472695717358198</v>
      </c>
      <c r="BH10" s="62">
        <f t="shared" si="8"/>
        <v>268.69491793958042</v>
      </c>
      <c r="BI10" s="62">
        <f ca="1">AVERAGE(OFFSET($BH$3,0,0,'Données projet'!$E$11+1,1))-AVERAGE(OFFSET($H$3,0,0,'Données projet'!$E$11+1,1))</f>
        <v>246.73711856758143</v>
      </c>
      <c r="BJ10" s="62">
        <f t="shared" si="38"/>
        <v>145.54897745089966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8.5743589743589759</v>
      </c>
      <c r="BY10" s="13">
        <f>IF('Données projet'!$A$114&gt;35,BY9+BX10-CG9,IF(A10&lt;'Données projet'!$A$114,$BV$205^A10,IF(A10='Données projet'!$A$114,'Données projet'!$B$114,BY9+BX10-CG9)))</f>
        <v>5.6468595434117601</v>
      </c>
      <c r="BZ10" s="14">
        <f>BY10*VLOOKUP('Données projet'!$B$12,Paramètres!$A$1:$I$89,3,0)*VLOOKUP('Données projet'!$B$12,Paramètres!$A$1:$I$89,5,0)</f>
        <v>3.1565944847671736</v>
      </c>
      <c r="CA10" s="14">
        <f t="shared" si="39"/>
        <v>1.2725117193021875</v>
      </c>
      <c r="CB10" s="22">
        <f t="shared" si="10"/>
        <v>7.7140266387541381</v>
      </c>
      <c r="CC10" s="62">
        <f t="shared" si="11"/>
        <v>272.93624886097638</v>
      </c>
      <c r="CD10" s="62">
        <f ca="1">AVERAGE(OFFSET($CC$3,0,0,'Données projet'!$E$12+1,1))-AVERAGE(OFFSET($H$3,0,0,'Données projet'!$E$12+1,1))</f>
        <v>321.13335003345236</v>
      </c>
      <c r="CE10" s="62">
        <f t="shared" si="40"/>
        <v>301.26825075712128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7.4312217194570129</v>
      </c>
      <c r="CT10" s="13">
        <f>IF('Données projet'!$A$140&gt;35,CT9+CS10-DB9,IF(A10&lt;'Données projet'!$A$140,$CQ$205^A10,IF(A10='Données projet'!$A$140,'Données projet'!$B$140,CT9+CS10-DB9)))</f>
        <v>7.3337701280605696</v>
      </c>
      <c r="CU10" s="18">
        <f>CT10*VLOOKUP('Données projet'!$B$13,Paramètres!$A$1:$I$89,3,0)*VLOOKUP('Données projet'!$B$13,Paramètres!$A$1:$I$89,5,0)</f>
        <v>4.3855945365802205</v>
      </c>
      <c r="CV10" s="14">
        <f t="shared" si="41"/>
        <v>1.7015645433219191</v>
      </c>
      <c r="CW10" s="22">
        <f t="shared" si="13"/>
        <v>10.601802064162893</v>
      </c>
      <c r="CX10" s="62">
        <f t="shared" si="14"/>
        <v>275.82402428638511</v>
      </c>
      <c r="CY10" s="62">
        <f ca="1">AVERAGE(OFFSET($CX$3,0,0,'Données projet'!$E$13+1,1))-AVERAGE(OFFSET($H$3,0,0,'Données projet'!$E$13+1,1))</f>
        <v>260.02504691866199</v>
      </c>
      <c r="CZ10" s="62">
        <f t="shared" si="42"/>
        <v>270.11268336406368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2.4666666666666668</v>
      </c>
      <c r="DO10" s="13">
        <f>IF('Données projet'!$A$166&gt;35,DO9+DN10-DW9,IF(A10&lt;'Données projet'!$A$166,$DL$205^A10,IF(A10='Données projet'!$A$166,'Données projet'!$B$166,DO9+DN10-DW9)))</f>
        <v>5.3929633792034757</v>
      </c>
      <c r="DP10" s="18">
        <f>DO10*VLOOKUP('Données projet'!$B$14,Paramètres!$A$1:$I$89,3,0)*VLOOKUP('Données projet'!$B$14,Paramètres!$A$1:$I$89,5,0)</f>
        <v>4.2906416644942853</v>
      </c>
      <c r="DQ10" s="14">
        <f t="shared" si="43"/>
        <v>1.6689707336887791</v>
      </c>
      <c r="DR10" s="22">
        <f t="shared" si="16"/>
        <v>10.379658260168837</v>
      </c>
      <c r="DS10" s="62">
        <f t="shared" si="17"/>
        <v>275.60188048239104</v>
      </c>
      <c r="DT10" s="62">
        <f ca="1">AVERAGE(OFFSET($DS$3,0,0,'Données projet'!$E$14+1,1))-AVERAGE(OFFSET($H$3,0,0,'Données projet'!$E$14+1,1))</f>
        <v>312.53381881960331</v>
      </c>
      <c r="DU10" s="62">
        <f t="shared" si="44"/>
        <v>342.06887933351783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1.05</v>
      </c>
      <c r="EJ10" s="13">
        <f>IF('Données projet'!$A$192&gt;35,EJ9+EI10-ER9,IF(A10&lt;'Données projet'!$A$192,$EG$205^A10,IF(A10='Données projet'!$A$192,'Données projet'!$B$192,EJ9+EI10-ER9)))</f>
        <v>2.9025302401826014</v>
      </c>
      <c r="EK10" s="18">
        <f>EJ10*VLOOKUP('Données projet'!$B$15,Paramètres!$A$1:$I$89,3,0)*VLOOKUP('Données projet'!$B$15,Paramètres!$A$1:$I$89,5,0)</f>
        <v>2.8073272483046123</v>
      </c>
      <c r="EL10" s="14">
        <f t="shared" si="45"/>
        <v>1.1472651354833312</v>
      </c>
      <c r="EM10" s="22">
        <f t="shared" si="19"/>
        <v>6.887581735097335</v>
      </c>
      <c r="EN10" s="62">
        <f t="shared" si="20"/>
        <v>272.10980395731957</v>
      </c>
      <c r="EO10" s="62">
        <f ca="1">AVERAGE(OFFSET($EN$3,0,0,'Données projet'!$E$15+1,1))-AVERAGE(OFFSET($H$3,0,0,'Données projet'!$E$15+1,1))</f>
        <v>255.59755832175625</v>
      </c>
      <c r="EP10" s="62">
        <f t="shared" si="46"/>
        <v>154.0840647586964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3.78125</v>
      </c>
      <c r="FE10" s="13">
        <f>IF('Données projet'!$A$218&gt;35,FE9+FD10-FM9,IF(A10&lt;'Données projet'!$A$218,$FB$205^A10,IF(A10='Données projet'!$A$218,'Données projet'!$B$218,FE9+FD10-FM9)))</f>
        <v>2.855020952183331</v>
      </c>
      <c r="FF10" s="18">
        <f>FE10*VLOOKUP('Données projet'!$B$16,Paramètres!$A$1:$I$89,3,0)*VLOOKUP('Données projet'!$B$16,Paramètres!$A$1:$I$89,5,0)</f>
        <v>1.7073025294056321</v>
      </c>
      <c r="FG10" s="14">
        <f t="shared" si="47"/>
        <v>0.7393015356631899</v>
      </c>
      <c r="FH10" s="22">
        <f t="shared" si="22"/>
        <v>4.2611687466615322</v>
      </c>
      <c r="FI10" s="62">
        <f t="shared" si="23"/>
        <v>269.48339096888378</v>
      </c>
      <c r="FJ10" s="62">
        <f ca="1">AVERAGE(OFFSET($FI$3,0,0,'Données projet'!$E$16+1,1))-AVERAGE(OFFSET($H$3,0,0,'Données projet'!$E$16+1,1))</f>
        <v>197.08445731383847</v>
      </c>
      <c r="FK10" s="62">
        <f t="shared" si="48"/>
        <v>157.12482557016511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428.8489304403459</v>
      </c>
      <c r="T11" s="62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475.47920969424894</v>
      </c>
      <c r="AO11" s="62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3.4425641025641025</v>
      </c>
      <c r="BD11" s="13">
        <f>IF('Données projet'!$A$88&gt;35,BD10+BC11-BL10,IF(A11&lt;'Données projet'!$A$88,$BA$205^A11,IF(A11='Données projet'!$A$88,'Données projet'!$B$88,BD10+BC11-BL10)))</f>
        <v>3.4440349034385327</v>
      </c>
      <c r="BE11" s="14">
        <f>BD11*VLOOKUP('Données projet'!$B$11,Paramètres!$A$1:$I$89,3,0)*VLOOKUP('Données projet'!$B$11,Paramètres!$A$1:$I$89,5,0)</f>
        <v>1.6118083348092334</v>
      </c>
      <c r="BF11" s="14">
        <f t="shared" si="37"/>
        <v>0.70264212414165761</v>
      </c>
      <c r="BG11" s="22">
        <f t="shared" si="7"/>
        <v>4.0310012160061346</v>
      </c>
      <c r="BH11" s="62">
        <f t="shared" si="8"/>
        <v>270.47544566045059</v>
      </c>
      <c r="BI11" s="62">
        <f ca="1">AVERAGE(OFFSET($BH$3,0,0,'Données projet'!$E$11+1,1))-AVERAGE(OFFSET($H$3,0,0,'Données projet'!$E$11+1,1))</f>
        <v>246.73711856758143</v>
      </c>
      <c r="BJ11" s="62">
        <f t="shared" si="38"/>
        <v>145.54897745089966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8.5743589743589759</v>
      </c>
      <c r="BY11" s="13">
        <f>IF('Données projet'!$A$114&gt;35,BY10+BX11-CG10,IF(A11&lt;'Données projet'!$A$114,$BV$205^A11,IF(A11='Données projet'!$A$114,'Données projet'!$B$114,BY10+BX11-CG10)))</f>
        <v>7.2311602060897604</v>
      </c>
      <c r="BZ11" s="14">
        <f>BY11*VLOOKUP('Données projet'!$B$12,Paramètres!$A$1:$I$89,3,0)*VLOOKUP('Données projet'!$B$12,Paramètres!$A$1:$I$89,5,0)</f>
        <v>4.0422185552041761</v>
      </c>
      <c r="CA11" s="14">
        <f t="shared" si="39"/>
        <v>1.5832930757681005</v>
      </c>
      <c r="CB11" s="22">
        <f t="shared" si="10"/>
        <v>9.7977660906100486</v>
      </c>
      <c r="CC11" s="62">
        <f t="shared" si="11"/>
        <v>276.24221053505448</v>
      </c>
      <c r="CD11" s="62">
        <f ca="1">AVERAGE(OFFSET($CC$3,0,0,'Données projet'!$E$12+1,1))-AVERAGE(OFFSET($H$3,0,0,'Données projet'!$E$12+1,1))</f>
        <v>321.13335003345236</v>
      </c>
      <c r="CE11" s="62">
        <f t="shared" si="40"/>
        <v>301.26825075712128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7.4312217194570129</v>
      </c>
      <c r="CT11" s="13">
        <f>IF('Données projet'!$A$140&gt;35,CT10+CS11-DB10,IF(A11&lt;'Données projet'!$A$140,$CQ$205^A11,IF(A11='Données projet'!$A$140,'Données projet'!$B$140,CT10+CS11-DB10)))</f>
        <v>9.748672435120179</v>
      </c>
      <c r="CU11" s="18">
        <f>CT11*VLOOKUP('Données projet'!$B$13,Paramètres!$A$1:$I$89,3,0)*VLOOKUP('Données projet'!$B$13,Paramètres!$A$1:$I$89,5,0)</f>
        <v>5.8297061162018684</v>
      </c>
      <c r="CV11" s="14">
        <f t="shared" si="41"/>
        <v>2.1881518405377438</v>
      </c>
      <c r="CW11" s="22">
        <f t="shared" si="13"/>
        <v>13.96443594132149</v>
      </c>
      <c r="CX11" s="62">
        <f t="shared" si="14"/>
        <v>280.40888038576594</v>
      </c>
      <c r="CY11" s="62">
        <f ca="1">AVERAGE(OFFSET($CX$3,0,0,'Données projet'!$E$13+1,1))-AVERAGE(OFFSET($H$3,0,0,'Données projet'!$E$13+1,1))</f>
        <v>260.02504691866199</v>
      </c>
      <c r="CZ11" s="62">
        <f t="shared" si="42"/>
        <v>270.11268336406368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2.4666666666666668</v>
      </c>
      <c r="DO11" s="13">
        <f>IF('Données projet'!$A$166&gt;35,DO10+DN11-DW10,IF(A11&lt;'Données projet'!$A$166,$DL$205^A11,IF(A11='Données projet'!$A$166,'Données projet'!$B$166,DO10+DN11-DW10)))</f>
        <v>6.8607919984549888</v>
      </c>
      <c r="DP11" s="18">
        <f>DO11*VLOOKUP('Données projet'!$B$14,Paramètres!$A$1:$I$89,3,0)*VLOOKUP('Données projet'!$B$14,Paramètres!$A$1:$I$89,5,0)</f>
        <v>5.4584461139707896</v>
      </c>
      <c r="DQ11" s="14">
        <f t="shared" si="43"/>
        <v>2.0645540509389519</v>
      </c>
      <c r="DR11" s="22">
        <f t="shared" si="16"/>
        <v>13.102558620551131</v>
      </c>
      <c r="DS11" s="62">
        <f t="shared" si="17"/>
        <v>279.54700306499558</v>
      </c>
      <c r="DT11" s="62">
        <f ca="1">AVERAGE(OFFSET($DS$3,0,0,'Données projet'!$E$14+1,1))-AVERAGE(OFFSET($H$3,0,0,'Données projet'!$E$14+1,1))</f>
        <v>312.53381881960331</v>
      </c>
      <c r="DU11" s="62">
        <f t="shared" si="44"/>
        <v>342.06887933351783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1.05</v>
      </c>
      <c r="EJ11" s="13">
        <f>IF('Données projet'!$A$192&gt;35,EJ10+EI11-ER10,IF(A11&lt;'Données projet'!$A$192,$EG$205^A11,IF(A11='Données projet'!$A$192,'Données projet'!$B$192,EJ10+EI11-ER10)))</f>
        <v>3.3797744452354301</v>
      </c>
      <c r="EK11" s="18">
        <f>EJ11*VLOOKUP('Données projet'!$B$15,Paramètres!$A$1:$I$89,3,0)*VLOOKUP('Données projet'!$B$15,Paramètres!$A$1:$I$89,5,0)</f>
        <v>3.2689178434317077</v>
      </c>
      <c r="EL11" s="14">
        <f t="shared" si="45"/>
        <v>1.3124399582504287</v>
      </c>
      <c r="EM11" s="22">
        <f t="shared" si="19"/>
        <v>7.9791981712630529</v>
      </c>
      <c r="EN11" s="62">
        <f t="shared" si="20"/>
        <v>274.42364261570754</v>
      </c>
      <c r="EO11" s="62">
        <f ca="1">AVERAGE(OFFSET($EN$3,0,0,'Données projet'!$E$15+1,1))-AVERAGE(OFFSET($H$3,0,0,'Données projet'!$E$15+1,1))</f>
        <v>255.59755832175625</v>
      </c>
      <c r="EP11" s="62">
        <f t="shared" si="46"/>
        <v>154.0840647586964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3.78125</v>
      </c>
      <c r="FE11" s="13">
        <f>IF('Données projet'!$A$218&gt;35,FE10+FD11-FM10,IF(A11&lt;'Données projet'!$A$218,$FB$205^A11,IF(A11='Données projet'!$A$218,'Données projet'!$B$218,FE10+FD11-FM10)))</f>
        <v>3.3166247903553985</v>
      </c>
      <c r="FF11" s="18">
        <f>FE11*VLOOKUP('Données projet'!$B$16,Paramètres!$A$1:$I$89,3,0)*VLOOKUP('Données projet'!$B$16,Paramètres!$A$1:$I$89,5,0)</f>
        <v>1.9833416246325284</v>
      </c>
      <c r="FG11" s="14">
        <f t="shared" si="47"/>
        <v>0.84398070772301459</v>
      </c>
      <c r="FH11" s="22">
        <f t="shared" si="22"/>
        <v>4.9242530621859038</v>
      </c>
      <c r="FI11" s="62">
        <f t="shared" si="23"/>
        <v>271.36869750663038</v>
      </c>
      <c r="FJ11" s="62">
        <f ca="1">AVERAGE(OFFSET($FI$3,0,0,'Données projet'!$E$16+1,1))-AVERAGE(OFFSET($H$3,0,0,'Données projet'!$E$16+1,1))</f>
        <v>197.08445731383847</v>
      </c>
      <c r="FK11" s="62">
        <f t="shared" si="48"/>
        <v>157.12482557016511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428.8489304403459</v>
      </c>
      <c r="T12" s="62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475.47920969424894</v>
      </c>
      <c r="AO12" s="62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3.4425641025641025</v>
      </c>
      <c r="BD12" s="13">
        <f>IF('Données projet'!$A$88&gt;35,BD11+BC12-BL11,IF(A12&lt;'Données projet'!$A$88,$BA$205^A12,IF(A12='Données projet'!$A$88,'Données projet'!$B$88,BD11+BC12-BL11)))</f>
        <v>4.0197679866952116</v>
      </c>
      <c r="BE12" s="14">
        <f>BD12*VLOOKUP('Données projet'!$B$11,Paramètres!$A$1:$I$89,3,0)*VLOOKUP('Données projet'!$B$11,Paramètres!$A$1:$I$89,5,0)</f>
        <v>1.881251417773359</v>
      </c>
      <c r="BF12" s="14">
        <f t="shared" si="37"/>
        <v>0.80547727641405575</v>
      </c>
      <c r="BG12" s="22">
        <f t="shared" si="7"/>
        <v>4.6793858090430804</v>
      </c>
      <c r="BH12" s="62">
        <f t="shared" si="8"/>
        <v>272.34605247570977</v>
      </c>
      <c r="BI12" s="62">
        <f ca="1">AVERAGE(OFFSET($BH$3,0,0,'Données projet'!$E$11+1,1))-AVERAGE(OFFSET($H$3,0,0,'Données projet'!$E$11+1,1))</f>
        <v>246.73711856758143</v>
      </c>
      <c r="BJ12" s="62">
        <f t="shared" si="38"/>
        <v>145.54897745089966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8.5743589743589759</v>
      </c>
      <c r="BY12" s="13">
        <f>IF('Données projet'!$A$114&gt;35,BY11+BX12-CG11,IF(A12&lt;'Données projet'!$A$114,$BV$205^A12,IF(A12='Données projet'!$A$114,'Données projet'!$B$114,BY11+BX12-CG11)))</f>
        <v>9.2599572424539804</v>
      </c>
      <c r="BZ12" s="14">
        <f>BY12*VLOOKUP('Données projet'!$B$12,Paramètres!$A$1:$I$89,3,0)*VLOOKUP('Données projet'!$B$12,Paramètres!$A$1:$I$89,5,0)</f>
        <v>5.1763160985317747</v>
      </c>
      <c r="CA12" s="14">
        <f t="shared" si="39"/>
        <v>1.969975541875469</v>
      </c>
      <c r="CB12" s="22">
        <f t="shared" si="10"/>
        <v>12.446457940375948</v>
      </c>
      <c r="CC12" s="62">
        <f t="shared" si="11"/>
        <v>280.11312460704261</v>
      </c>
      <c r="CD12" s="62">
        <f ca="1">AVERAGE(OFFSET($CC$3,0,0,'Données projet'!$E$12+1,1))-AVERAGE(OFFSET($H$3,0,0,'Données projet'!$E$12+1,1))</f>
        <v>321.13335003345236</v>
      </c>
      <c r="CE12" s="62">
        <f t="shared" si="40"/>
        <v>301.26825075712128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7.4312217194570129</v>
      </c>
      <c r="CT12" s="13">
        <f>IF('Données projet'!$A$140&gt;35,CT11+CS12-DB11,IF(A12&lt;'Données projet'!$A$140,$CQ$205^A12,IF(A12='Données projet'!$A$140,'Données projet'!$B$140,CT11+CS12-DB11)))</f>
        <v>12.958766444511483</v>
      </c>
      <c r="CU12" s="18">
        <f>CT12*VLOOKUP('Données projet'!$B$13,Paramètres!$A$1:$I$89,3,0)*VLOOKUP('Données projet'!$B$13,Paramètres!$A$1:$I$89,5,0)</f>
        <v>7.7493423338178671</v>
      </c>
      <c r="CV12" s="14">
        <f t="shared" si="41"/>
        <v>2.8138859005026107</v>
      </c>
      <c r="CW12" s="22">
        <f t="shared" si="13"/>
        <v>18.397622508108167</v>
      </c>
      <c r="CX12" s="62">
        <f t="shared" si="14"/>
        <v>286.06428917477484</v>
      </c>
      <c r="CY12" s="62">
        <f ca="1">AVERAGE(OFFSET($CX$3,0,0,'Données projet'!$E$13+1,1))-AVERAGE(OFFSET($H$3,0,0,'Données projet'!$E$13+1,1))</f>
        <v>260.02504691866199</v>
      </c>
      <c r="CZ12" s="62">
        <f t="shared" si="42"/>
        <v>270.11268336406368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2.4666666666666668</v>
      </c>
      <c r="DO12" s="13">
        <f>IF('Données projet'!$A$166&gt;35,DO11+DN12-DW11,IF(A12&lt;'Données projet'!$A$166,$DL$205^A12,IF(A12='Données projet'!$A$166,'Données projet'!$B$166,DO11+DN12-DW11)))</f>
        <v>8.7281265486761299</v>
      </c>
      <c r="DP12" s="18">
        <f>DO12*VLOOKUP('Données projet'!$B$14,Paramètres!$A$1:$I$89,3,0)*VLOOKUP('Données projet'!$B$14,Paramètres!$A$1:$I$89,5,0)</f>
        <v>6.9440974821267289</v>
      </c>
      <c r="DQ12" s="14">
        <f t="shared" si="43"/>
        <v>2.5538994442566798</v>
      </c>
      <c r="DR12" s="22">
        <f t="shared" si="16"/>
        <v>16.542344646784436</v>
      </c>
      <c r="DS12" s="62">
        <f t="shared" si="17"/>
        <v>284.20901131345113</v>
      </c>
      <c r="DT12" s="62">
        <f ca="1">AVERAGE(OFFSET($DS$3,0,0,'Données projet'!$E$14+1,1))-AVERAGE(OFFSET($H$3,0,0,'Données projet'!$E$14+1,1))</f>
        <v>312.53381881960331</v>
      </c>
      <c r="DU12" s="62">
        <f t="shared" si="44"/>
        <v>342.06887933351783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1.05</v>
      </c>
      <c r="EJ12" s="13">
        <f>IF('Données projet'!$A$192&gt;35,EJ11+EI12-ER11,IF(A12&lt;'Données projet'!$A$192,$EG$205^A12,IF(A12='Données projet'!$A$192,'Données projet'!$B$192,EJ11+EI12-ER11)))</f>
        <v>3.9354888168013828</v>
      </c>
      <c r="EK12" s="18">
        <f>EJ12*VLOOKUP('Données projet'!$B$15,Paramètres!$A$1:$I$89,3,0)*VLOOKUP('Données projet'!$B$15,Paramètres!$A$1:$I$89,5,0)</f>
        <v>3.8064047836102977</v>
      </c>
      <c r="EL12" s="14">
        <f t="shared" si="45"/>
        <v>1.5013954409821026</v>
      </c>
      <c r="EM12" s="22">
        <f t="shared" si="19"/>
        <v>9.2444187244984306</v>
      </c>
      <c r="EN12" s="62">
        <f t="shared" si="20"/>
        <v>276.9110853911651</v>
      </c>
      <c r="EO12" s="62">
        <f ca="1">AVERAGE(OFFSET($EN$3,0,0,'Données projet'!$E$15+1,1))-AVERAGE(OFFSET($H$3,0,0,'Données projet'!$E$15+1,1))</f>
        <v>255.59755832175625</v>
      </c>
      <c r="EP12" s="62">
        <f t="shared" si="46"/>
        <v>154.0840647586964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3.78125</v>
      </c>
      <c r="FE12" s="13">
        <f>IF('Données projet'!$A$218&gt;35,FE11+FD12-FM11,IF(A12&lt;'Données projet'!$A$218,$FB$205^A12,IF(A12='Données projet'!$A$218,'Données projet'!$B$218,FE11+FD12-FM11)))</f>
        <v>3.8528613919936112</v>
      </c>
      <c r="FF12" s="18">
        <f>FE12*VLOOKUP('Données projet'!$B$16,Paramètres!$A$1:$I$89,3,0)*VLOOKUP('Données projet'!$B$16,Paramètres!$A$1:$I$89,5,0)</f>
        <v>2.3040111124121796</v>
      </c>
      <c r="FG12" s="14">
        <f t="shared" si="47"/>
        <v>0.96348161155876633</v>
      </c>
      <c r="FH12" s="22">
        <f t="shared" si="22"/>
        <v>5.6908831609160648</v>
      </c>
      <c r="FI12" s="62">
        <f t="shared" si="23"/>
        <v>273.35754982758277</v>
      </c>
      <c r="FJ12" s="62">
        <f ca="1">AVERAGE(OFFSET($FI$3,0,0,'Données projet'!$E$16+1,1))-AVERAGE(OFFSET($H$3,0,0,'Données projet'!$E$16+1,1))</f>
        <v>197.08445731383847</v>
      </c>
      <c r="FK12" s="62">
        <f t="shared" si="48"/>
        <v>157.12482557016511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428.8489304403459</v>
      </c>
      <c r="T13" s="62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475.47920969424894</v>
      </c>
      <c r="AO13" s="62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3.4425641025641025</v>
      </c>
      <c r="BD13" s="13">
        <f>IF('Données projet'!$A$88&gt;35,BD12+BC13-BL12,IF(A13&lt;'Données projet'!$A$88,$BA$205^A13,IF(A13='Données projet'!$A$88,'Données projet'!$B$88,BD12+BC13-BL12)))</f>
        <v>4.6917453277627805</v>
      </c>
      <c r="BE13" s="14">
        <f>BD13*VLOOKUP('Données projet'!$B$11,Paramètres!$A$1:$I$89,3,0)*VLOOKUP('Données projet'!$B$11,Paramètres!$A$1:$I$89,5,0)</f>
        <v>2.1957368133929811</v>
      </c>
      <c r="BF13" s="14">
        <f t="shared" si="37"/>
        <v>0.9233628621568436</v>
      </c>
      <c r="BG13" s="22">
        <f t="shared" si="7"/>
        <v>5.432431934915944</v>
      </c>
      <c r="BH13" s="62">
        <f t="shared" si="8"/>
        <v>274.3213208238048</v>
      </c>
      <c r="BI13" s="62">
        <f ca="1">AVERAGE(OFFSET($BH$3,0,0,'Données projet'!$E$11+1,1))-AVERAGE(OFFSET($H$3,0,0,'Données projet'!$E$11+1,1))</f>
        <v>246.73711856758143</v>
      </c>
      <c r="BJ13" s="62">
        <f t="shared" si="38"/>
        <v>145.54897745089966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8.5743589743589759</v>
      </c>
      <c r="BY13" s="13">
        <f>IF('Données projet'!$A$114&gt;35,BY12+BX13-CG12,IF(A13&lt;'Données projet'!$A$114,$BV$205^A13,IF(A13='Données projet'!$A$114,'Données projet'!$B$114,BY12+BX13-CG12)))</f>
        <v>11.857959952244427</v>
      </c>
      <c r="BZ13" s="14">
        <f>BY13*VLOOKUP('Données projet'!$B$12,Paramètres!$A$1:$I$89,3,0)*VLOOKUP('Données projet'!$B$12,Paramètres!$A$1:$I$89,5,0)</f>
        <v>6.6285996133046341</v>
      </c>
      <c r="CA13" s="14">
        <f t="shared" si="39"/>
        <v>2.4510961962647757</v>
      </c>
      <c r="CB13" s="22">
        <f t="shared" si="10"/>
        <v>15.813803535000055</v>
      </c>
      <c r="CC13" s="62">
        <f t="shared" si="11"/>
        <v>284.70269242388889</v>
      </c>
      <c r="CD13" s="62">
        <f ca="1">AVERAGE(OFFSET($CC$3,0,0,'Données projet'!$E$12+1,1))-AVERAGE(OFFSET($H$3,0,0,'Données projet'!$E$12+1,1))</f>
        <v>321.13335003345236</v>
      </c>
      <c r="CE13" s="62">
        <f t="shared" si="40"/>
        <v>301.26825075712128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7.4312217194570129</v>
      </c>
      <c r="CT13" s="13">
        <f>IF('Données projet'!$A$140&gt;35,CT12+CS13-DB12,IF(A13&lt;'Données projet'!$A$140,$CQ$205^A13,IF(A13='Données projet'!$A$140,'Données projet'!$B$140,CT12+CS13-DB12)))</f>
        <v>17.225897052240693</v>
      </c>
      <c r="CU13" s="18">
        <f>CT13*VLOOKUP('Données projet'!$B$13,Paramètres!$A$1:$I$89,3,0)*VLOOKUP('Données projet'!$B$13,Paramètres!$A$1:$I$89,5,0)</f>
        <v>10.301086437239935</v>
      </c>
      <c r="CV13" s="14">
        <f t="shared" si="41"/>
        <v>3.6185577775542006</v>
      </c>
      <c r="CW13" s="22">
        <f t="shared" si="13"/>
        <v>24.243380340766453</v>
      </c>
      <c r="CX13" s="62">
        <f t="shared" si="14"/>
        <v>293.13226922965532</v>
      </c>
      <c r="CY13" s="62">
        <f ca="1">AVERAGE(OFFSET($CX$3,0,0,'Données projet'!$E$13+1,1))-AVERAGE(OFFSET($H$3,0,0,'Données projet'!$E$13+1,1))</f>
        <v>260.02504691866199</v>
      </c>
      <c r="CZ13" s="62">
        <f t="shared" si="42"/>
        <v>270.11268336406368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2.4666666666666668</v>
      </c>
      <c r="DO13" s="13">
        <f>IF('Données projet'!$A$166&gt;35,DO12+DN13-DW12,IF(A13&lt;'Données projet'!$A$166,$DL$205^A13,IF(A13='Données projet'!$A$166,'Données projet'!$B$166,DO12+DN13-DW12)))</f>
        <v>11.103702468586782</v>
      </c>
      <c r="DP13" s="18">
        <f>DO13*VLOOKUP('Données projet'!$B$14,Paramètres!$A$1:$I$89,3,0)*VLOOKUP('Données projet'!$B$14,Paramètres!$A$1:$I$89,5,0)</f>
        <v>8.8341056840076444</v>
      </c>
      <c r="DQ13" s="14">
        <f t="shared" si="43"/>
        <v>3.1592306185484516</v>
      </c>
      <c r="DR13" s="22">
        <f t="shared" si="16"/>
        <v>20.888394060285197</v>
      </c>
      <c r="DS13" s="62">
        <f t="shared" si="17"/>
        <v>289.77728294917404</v>
      </c>
      <c r="DT13" s="62">
        <f ca="1">AVERAGE(OFFSET($DS$3,0,0,'Données projet'!$E$14+1,1))-AVERAGE(OFFSET($H$3,0,0,'Données projet'!$E$14+1,1))</f>
        <v>312.53381881960331</v>
      </c>
      <c r="DU13" s="62">
        <f t="shared" si="44"/>
        <v>342.06887933351783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1.05</v>
      </c>
      <c r="EJ13" s="13">
        <f>IF('Données projet'!$A$192&gt;35,EJ12+EI13-ER12,IF(A13&lt;'Données projet'!$A$192,$EG$205^A13,IF(A13='Données projet'!$A$192,'Données projet'!$B$192,EJ12+EI13-ER12)))</f>
        <v>4.5825756949558425</v>
      </c>
      <c r="EK13" s="18">
        <f>EJ13*VLOOKUP('Données projet'!$B$15,Paramètres!$A$1:$I$89,3,0)*VLOOKUP('Données projet'!$B$15,Paramètres!$A$1:$I$89,5,0)</f>
        <v>4.4322672121612907</v>
      </c>
      <c r="EL13" s="14">
        <f t="shared" si="45"/>
        <v>1.7175553487466402</v>
      </c>
      <c r="EM13" s="22">
        <f t="shared" si="19"/>
        <v>10.71094096024798</v>
      </c>
      <c r="EN13" s="62">
        <f t="shared" si="20"/>
        <v>279.59982984913682</v>
      </c>
      <c r="EO13" s="62">
        <f ca="1">AVERAGE(OFFSET($EN$3,0,0,'Données projet'!$E$15+1,1))-AVERAGE(OFFSET($H$3,0,0,'Données projet'!$E$15+1,1))</f>
        <v>255.59755832175625</v>
      </c>
      <c r="EP13" s="62">
        <f t="shared" si="46"/>
        <v>154.0840647586964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3.78125</v>
      </c>
      <c r="FE13" s="13">
        <f>IF('Données projet'!$A$218&gt;35,FE12+FD13-FM12,IF(A13&lt;'Données projet'!$A$218,$FB$205^A13,IF(A13='Données projet'!$A$218,'Données projet'!$B$218,FE12+FD13-FM12)))</f>
        <v>4.4757974881820299</v>
      </c>
      <c r="FF13" s="18">
        <f>FE13*VLOOKUP('Données projet'!$B$16,Paramètres!$A$1:$I$89,3,0)*VLOOKUP('Données projet'!$B$16,Paramètres!$A$1:$I$89,5,0)</f>
        <v>2.6765268979328538</v>
      </c>
      <c r="FG13" s="14">
        <f t="shared" si="47"/>
        <v>1.0999028855959752</v>
      </c>
      <c r="FH13" s="22">
        <f t="shared" si="22"/>
        <v>6.5772818729793769</v>
      </c>
      <c r="FI13" s="62">
        <f t="shared" si="23"/>
        <v>275.46617076186823</v>
      </c>
      <c r="FJ13" s="62">
        <f ca="1">AVERAGE(OFFSET($FI$3,0,0,'Données projet'!$E$16+1,1))-AVERAGE(OFFSET($H$3,0,0,'Données projet'!$E$16+1,1))</f>
        <v>197.08445731383847</v>
      </c>
      <c r="FK13" s="62">
        <f t="shared" si="48"/>
        <v>157.12482557016511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428.8489304403459</v>
      </c>
      <c r="T14" s="62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475.47920969424894</v>
      </c>
      <c r="AO14" s="62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3.4425641025641025</v>
      </c>
      <c r="BD14" s="13">
        <f>IF('Données projet'!$A$88&gt;35,BD13+BC14-BL13,IF(A14&lt;'Données projet'!$A$88,$BA$205^A14,IF(A14='Données projet'!$A$88,'Données projet'!$B$88,BD13+BC14-BL13)))</f>
        <v>5.4760559050775193</v>
      </c>
      <c r="BE14" s="14">
        <f>BD14*VLOOKUP('Données projet'!$B$11,Paramètres!$A$1:$I$89,3,0)*VLOOKUP('Données projet'!$B$11,Paramètres!$A$1:$I$89,5,0)</f>
        <v>2.562794163576279</v>
      </c>
      <c r="BF14" s="14">
        <f t="shared" si="37"/>
        <v>1.0585015867936163</v>
      </c>
      <c r="BG14" s="22">
        <f t="shared" si="7"/>
        <v>6.3070900985608995</v>
      </c>
      <c r="BH14" s="62">
        <f t="shared" si="8"/>
        <v>276.41820120967202</v>
      </c>
      <c r="BI14" s="62">
        <f ca="1">AVERAGE(OFFSET($BH$3,0,0,'Données projet'!$E$11+1,1))-AVERAGE(OFFSET($H$3,0,0,'Données projet'!$E$11+1,1))</f>
        <v>246.73711856758143</v>
      </c>
      <c r="BJ14" s="62">
        <f t="shared" si="38"/>
        <v>145.54897745089966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8.5743589743589759</v>
      </c>
      <c r="BY14" s="13">
        <f>IF('Données projet'!$A$114&gt;35,BY13+BX14-CG13,IF(A14&lt;'Données projet'!$A$114,$BV$205^A14,IF(A14='Données projet'!$A$114,'Données projet'!$B$114,BY13+BX14-CG13)))</f>
        <v>15.184866468321752</v>
      </c>
      <c r="BZ14" s="14">
        <f>BY14*VLOOKUP('Données projet'!$B$12,Paramètres!$A$1:$I$89,3,0)*VLOOKUP('Données projet'!$B$12,Paramètres!$A$1:$I$89,5,0)</f>
        <v>8.4883403557918609</v>
      </c>
      <c r="CA14" s="14">
        <f t="shared" si="39"/>
        <v>3.0497193673907232</v>
      </c>
      <c r="CB14" s="22">
        <f t="shared" si="10"/>
        <v>20.095454017876332</v>
      </c>
      <c r="CC14" s="62">
        <f t="shared" si="11"/>
        <v>290.20656512898745</v>
      </c>
      <c r="CD14" s="62">
        <f ca="1">AVERAGE(OFFSET($CC$3,0,0,'Données projet'!$E$12+1,1))-AVERAGE(OFFSET($H$3,0,0,'Données projet'!$E$12+1,1))</f>
        <v>321.13335003345236</v>
      </c>
      <c r="CE14" s="62">
        <f t="shared" si="40"/>
        <v>301.26825075712128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7.4312217194570129</v>
      </c>
      <c r="CT14" s="13">
        <f>IF('Données projet'!$A$140&gt;35,CT13+CS14-DB13,IF(A14&lt;'Données projet'!$A$140,$CQ$205^A14,IF(A14='Données projet'!$A$140,'Données projet'!$B$140,CT13+CS14-DB13)))</f>
        <v>22.89813081553541</v>
      </c>
      <c r="CU14" s="18">
        <f>CT14*VLOOKUP('Données projet'!$B$13,Paramètres!$A$1:$I$89,3,0)*VLOOKUP('Données projet'!$B$13,Paramètres!$A$1:$I$89,5,0)</f>
        <v>13.693082227690176</v>
      </c>
      <c r="CV14" s="14">
        <f t="shared" si="41"/>
        <v>4.6533373606794726</v>
      </c>
      <c r="CW14" s="22">
        <f t="shared" si="13"/>
        <v>31.953347449743802</v>
      </c>
      <c r="CX14" s="62">
        <f t="shared" si="14"/>
        <v>302.06445856085497</v>
      </c>
      <c r="CY14" s="62">
        <f ca="1">AVERAGE(OFFSET($CX$3,0,0,'Données projet'!$E$13+1,1))-AVERAGE(OFFSET($H$3,0,0,'Données projet'!$E$13+1,1))</f>
        <v>260.02504691866199</v>
      </c>
      <c r="CZ14" s="62">
        <f t="shared" si="42"/>
        <v>270.11268336406368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2.4666666666666668</v>
      </c>
      <c r="DO14" s="13">
        <f>IF('Données projet'!$A$166&gt;35,DO13+DN14-DW13,IF(A14&lt;'Données projet'!$A$166,$DL$205^A14,IF(A14='Données projet'!$A$166,'Données projet'!$B$166,DO13+DN14-DW13)))</f>
        <v>14.125850240977657</v>
      </c>
      <c r="DP14" s="18">
        <f>DO14*VLOOKUP('Données projet'!$B$14,Paramètres!$A$1:$I$89,3,0)*VLOOKUP('Données projet'!$B$14,Paramètres!$A$1:$I$89,5,0)</f>
        <v>11.238526451721825</v>
      </c>
      <c r="DQ14" s="14">
        <f t="shared" si="43"/>
        <v>3.9080387928425129</v>
      </c>
      <c r="DR14" s="22">
        <f t="shared" si="16"/>
        <v>26.380267800949554</v>
      </c>
      <c r="DS14" s="62">
        <f t="shared" si="17"/>
        <v>296.49137891206067</v>
      </c>
      <c r="DT14" s="62">
        <f ca="1">AVERAGE(OFFSET($DS$3,0,0,'Données projet'!$E$14+1,1))-AVERAGE(OFFSET($H$3,0,0,'Données projet'!$E$14+1,1))</f>
        <v>312.53381881960331</v>
      </c>
      <c r="DU14" s="62">
        <f t="shared" si="44"/>
        <v>342.06887933351783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1.05</v>
      </c>
      <c r="EJ14" s="13">
        <f>IF('Données projet'!$A$192&gt;35,EJ13+EI14-ER13,IF(A14&lt;'Données projet'!$A$192,$EG$205^A14,IF(A14='Données projet'!$A$192,'Données projet'!$B$192,EJ13+EI14-ER13)))</f>
        <v>5.3360588677947343</v>
      </c>
      <c r="EK14" s="18">
        <f>EJ14*VLOOKUP('Données projet'!$B$15,Paramètres!$A$1:$I$89,3,0)*VLOOKUP('Données projet'!$B$15,Paramètres!$A$1:$I$89,5,0)</f>
        <v>5.1610361369310676</v>
      </c>
      <c r="EL14" s="14">
        <f t="shared" si="45"/>
        <v>1.9648363752047393</v>
      </c>
      <c r="EM14" s="22">
        <f t="shared" si="19"/>
        <v>12.410894625303198</v>
      </c>
      <c r="EN14" s="62">
        <f t="shared" si="20"/>
        <v>282.52200573641431</v>
      </c>
      <c r="EO14" s="62">
        <f ca="1">AVERAGE(OFFSET($EN$3,0,0,'Données projet'!$E$15+1,1))-AVERAGE(OFFSET($H$3,0,0,'Données projet'!$E$15+1,1))</f>
        <v>255.59755832175625</v>
      </c>
      <c r="EP14" s="62">
        <f t="shared" si="46"/>
        <v>154.0840647586964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3.78125</v>
      </c>
      <c r="FE14" s="13">
        <f>IF('Données projet'!$A$218&gt;35,FE13+FD14-FM13,IF(A14&lt;'Données projet'!$A$218,$FB$205^A14,IF(A14='Données projet'!$A$218,'Données projet'!$B$218,FE13+FD14-FM13)))</f>
        <v>5.1994507762063273</v>
      </c>
      <c r="FF14" s="18">
        <f>FE14*VLOOKUP('Données projet'!$B$16,Paramètres!$A$1:$I$89,3,0)*VLOOKUP('Données projet'!$B$16,Paramètres!$A$1:$I$89,5,0)</f>
        <v>3.109271564171384</v>
      </c>
      <c r="FG14" s="14">
        <f t="shared" si="47"/>
        <v>1.2556403186409584</v>
      </c>
      <c r="FH14" s="22">
        <f t="shared" si="22"/>
        <v>7.6022215292314961</v>
      </c>
      <c r="FI14" s="62">
        <f t="shared" si="23"/>
        <v>277.71333264034263</v>
      </c>
      <c r="FJ14" s="62">
        <f ca="1">AVERAGE(OFFSET($FI$3,0,0,'Données projet'!$E$16+1,1))-AVERAGE(OFFSET($H$3,0,0,'Données projet'!$E$16+1,1))</f>
        <v>197.08445731383847</v>
      </c>
      <c r="FK14" s="62">
        <f t="shared" si="48"/>
        <v>157.12482557016511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428.8489304403459</v>
      </c>
      <c r="T15" s="62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475.47920969424894</v>
      </c>
      <c r="AO15" s="62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3.4425641025641025</v>
      </c>
      <c r="BD15" s="13">
        <f>IF('Données projet'!$A$88&gt;35,BD14+BC15-BL14,IF(A15&lt;'Données projet'!$A$88,$BA$205^A15,IF(A15='Données projet'!$A$88,'Données projet'!$B$88,BD14+BC15-BL14)))</f>
        <v>6.3914782624899003</v>
      </c>
      <c r="BE15" s="14">
        <f>BD15*VLOOKUP('Données projet'!$B$11,Paramètres!$A$1:$I$89,3,0)*VLOOKUP('Données projet'!$B$11,Paramètres!$A$1:$I$89,5,0)</f>
        <v>2.9912118268452734</v>
      </c>
      <c r="BF15" s="14">
        <f t="shared" si="37"/>
        <v>1.2134185325879896</v>
      </c>
      <c r="BG15" s="22">
        <f t="shared" si="7"/>
        <v>7.3230645426796004</v>
      </c>
      <c r="BH15" s="62">
        <f t="shared" si="8"/>
        <v>278.65639787601293</v>
      </c>
      <c r="BI15" s="62">
        <f ca="1">AVERAGE(OFFSET($BH$3,0,0,'Données projet'!$E$11+1,1))-AVERAGE(OFFSET($H$3,0,0,'Données projet'!$E$11+1,1))</f>
        <v>246.73711856758143</v>
      </c>
      <c r="BJ15" s="62">
        <f t="shared" si="38"/>
        <v>145.54897745089966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8.5743589743589759</v>
      </c>
      <c r="BY15" s="13">
        <f>IF('Données projet'!$A$114&gt;35,BY14+BX15-CG14,IF(A15&lt;'Données projet'!$A$114,$BV$205^A15,IF(A15='Données projet'!$A$114,'Données projet'!$B$114,BY14+BX15-CG14)))</f>
        <v>19.445180333664318</v>
      </c>
      <c r="BZ15" s="14">
        <f>BY15*VLOOKUP('Données projet'!$B$12,Paramètres!$A$1:$I$89,3,0)*VLOOKUP('Données projet'!$B$12,Paramètres!$A$1:$I$89,5,0)</f>
        <v>10.869855806518354</v>
      </c>
      <c r="CA15" s="14">
        <f t="shared" si="39"/>
        <v>3.7945423088704313</v>
      </c>
      <c r="CB15" s="22">
        <f t="shared" si="10"/>
        <v>25.540493384302135</v>
      </c>
      <c r="CC15" s="62">
        <f t="shared" si="11"/>
        <v>296.87382671763544</v>
      </c>
      <c r="CD15" s="62">
        <f ca="1">AVERAGE(OFFSET($CC$3,0,0,'Données projet'!$E$12+1,1))-AVERAGE(OFFSET($H$3,0,0,'Données projet'!$E$12+1,1))</f>
        <v>321.13335003345236</v>
      </c>
      <c r="CE15" s="62">
        <f t="shared" si="40"/>
        <v>301.26825075712128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7.4312217194570129</v>
      </c>
      <c r="CT15" s="13">
        <f>IF('Données projet'!$A$140&gt;35,CT14+CS15-DB14,IF(A15&lt;'Données projet'!$A$140,$CQ$205^A15,IF(A15='Données projet'!$A$140,'Données projet'!$B$140,CT14+CS15-DB14)))</f>
        <v>30.438147473844893</v>
      </c>
      <c r="CU15" s="18">
        <f>CT15*VLOOKUP('Données projet'!$B$13,Paramètres!$A$1:$I$89,3,0)*VLOOKUP('Données projet'!$B$13,Paramètres!$A$1:$I$89,5,0)</f>
        <v>18.202012189359248</v>
      </c>
      <c r="CV15" s="14">
        <f t="shared" si="41"/>
        <v>5.984027317903192</v>
      </c>
      <c r="CW15" s="22">
        <f t="shared" si="13"/>
        <v>42.124018808482084</v>
      </c>
      <c r="CX15" s="62">
        <f t="shared" si="14"/>
        <v>313.45735214181542</v>
      </c>
      <c r="CY15" s="62">
        <f ca="1">AVERAGE(OFFSET($CX$3,0,0,'Données projet'!$E$13+1,1))-AVERAGE(OFFSET($H$3,0,0,'Données projet'!$E$13+1,1))</f>
        <v>260.02504691866199</v>
      </c>
      <c r="CZ15" s="62">
        <f t="shared" si="42"/>
        <v>270.11268336406368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2.4666666666666668</v>
      </c>
      <c r="DO15" s="13">
        <f>IF('Données projet'!$A$166&gt;35,DO14+DN15-DW14,IF(A15&lt;'Données projet'!$A$166,$DL$205^A15,IF(A15='Données projet'!$A$166,'Données projet'!$B$166,DO14+DN15-DW14)))</f>
        <v>17.970550417308221</v>
      </c>
      <c r="DP15" s="18">
        <f>DO15*VLOOKUP('Données projet'!$B$14,Paramètres!$A$1:$I$89,3,0)*VLOOKUP('Données projet'!$B$14,Paramètres!$A$1:$I$89,5,0)</f>
        <v>14.297369912010421</v>
      </c>
      <c r="DQ15" s="14">
        <f t="shared" si="43"/>
        <v>4.8343312187127445</v>
      </c>
      <c r="DR15" s="22">
        <f t="shared" si="16"/>
        <v>33.321046136009507</v>
      </c>
      <c r="DS15" s="62">
        <f t="shared" si="17"/>
        <v>304.65437946934281</v>
      </c>
      <c r="DT15" s="62">
        <f ca="1">AVERAGE(OFFSET($DS$3,0,0,'Données projet'!$E$14+1,1))-AVERAGE(OFFSET($H$3,0,0,'Données projet'!$E$14+1,1))</f>
        <v>312.53381881960331</v>
      </c>
      <c r="DU15" s="62">
        <f t="shared" si="44"/>
        <v>342.06887933351783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1.05</v>
      </c>
      <c r="EJ15" s="13">
        <f>IF('Données projet'!$A$192&gt;35,EJ14+EI15-ER14,IF(A15&lt;'Données projet'!$A$192,$EG$205^A15,IF(A15='Données projet'!$A$192,'Données projet'!$B$192,EJ14+EI15-ER14)))</f>
        <v>6.213432387360748</v>
      </c>
      <c r="EK15" s="18">
        <f>EJ15*VLOOKUP('Données projet'!$B$15,Paramètres!$A$1:$I$89,3,0)*VLOOKUP('Données projet'!$B$15,Paramètres!$A$1:$I$89,5,0)</f>
        <v>6.0096318050553155</v>
      </c>
      <c r="EL15" s="14">
        <f t="shared" si="45"/>
        <v>2.2477191108542129</v>
      </c>
      <c r="EM15" s="22">
        <f t="shared" si="19"/>
        <v>14.381552845209095</v>
      </c>
      <c r="EN15" s="62">
        <f t="shared" si="20"/>
        <v>285.71488617854243</v>
      </c>
      <c r="EO15" s="62">
        <f ca="1">AVERAGE(OFFSET($EN$3,0,0,'Données projet'!$E$15+1,1))-AVERAGE(OFFSET($H$3,0,0,'Données projet'!$E$15+1,1))</f>
        <v>255.59755832175625</v>
      </c>
      <c r="EP15" s="62">
        <f t="shared" si="46"/>
        <v>154.0840647586964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3.78125</v>
      </c>
      <c r="FE15" s="13">
        <f>IF('Données projet'!$A$218&gt;35,FE14+FD15-FM14,IF(A15&lt;'Données projet'!$A$218,$FB$205^A15,IF(A15='Données projet'!$A$218,'Données projet'!$B$218,FE14+FD15-FM14)))</f>
        <v>6.040105354537233</v>
      </c>
      <c r="FF15" s="18">
        <f>FE15*VLOOKUP('Données projet'!$B$16,Paramètres!$A$1:$I$89,3,0)*VLOOKUP('Données projet'!$B$16,Paramètres!$A$1:$I$89,5,0)</f>
        <v>3.6119830020132655</v>
      </c>
      <c r="FG15" s="14">
        <f t="shared" si="47"/>
        <v>1.4334289239931206</v>
      </c>
      <c r="FH15" s="22">
        <f t="shared" si="22"/>
        <v>8.7874257711277881</v>
      </c>
      <c r="FI15" s="62">
        <f t="shared" si="23"/>
        <v>280.12075910446111</v>
      </c>
      <c r="FJ15" s="62">
        <f ca="1">AVERAGE(OFFSET($FI$3,0,0,'Données projet'!$E$16+1,1))-AVERAGE(OFFSET($H$3,0,0,'Données projet'!$E$16+1,1))</f>
        <v>197.08445731383847</v>
      </c>
      <c r="FK15" s="62">
        <f t="shared" si="48"/>
        <v>157.12482557016511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428.8489304403459</v>
      </c>
      <c r="T16" s="62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475.47920969424894</v>
      </c>
      <c r="AO16" s="62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3.4425641025641025</v>
      </c>
      <c r="BD16" s="13">
        <f>IF('Données projet'!$A$88&gt;35,BD15+BC16-BL15,IF(A16&lt;'Données projet'!$A$88,$BA$205^A16,IF(A16='Données projet'!$A$88,'Données projet'!$B$88,BD15+BC16-BL15)))</f>
        <v>7.459930119048451</v>
      </c>
      <c r="BE16" s="14">
        <f>BD16*VLOOKUP('Données projet'!$B$11,Paramètres!$A$1:$I$89,3,0)*VLOOKUP('Données projet'!$B$11,Paramètres!$A$1:$I$89,5,0)</f>
        <v>3.4912472957146754</v>
      </c>
      <c r="BF16" s="14">
        <f t="shared" si="37"/>
        <v>1.3910083400895945</v>
      </c>
      <c r="BG16" s="22">
        <f t="shared" si="7"/>
        <v>8.5032618990257713</v>
      </c>
      <c r="BH16" s="62">
        <f t="shared" si="8"/>
        <v>281.05881745458129</v>
      </c>
      <c r="BI16" s="62">
        <f ca="1">AVERAGE(OFFSET($BH$3,0,0,'Données projet'!$E$11+1,1))-AVERAGE(OFFSET($H$3,0,0,'Données projet'!$E$11+1,1))</f>
        <v>246.73711856758143</v>
      </c>
      <c r="BJ16" s="62">
        <f t="shared" si="38"/>
        <v>145.54897745089966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8.5743589743589759</v>
      </c>
      <c r="BY16" s="13">
        <f>IF('Données projet'!$A$114&gt;35,BY15+BX16-CG15,IF(A16&lt;'Données projet'!$A$114,$BV$205^A16,IF(A16='Données projet'!$A$114,'Données projet'!$B$114,BY15+BX16-CG15)))</f>
        <v>24.900781248062909</v>
      </c>
      <c r="BZ16" s="14">
        <f>BY16*VLOOKUP('Données projet'!$B$12,Paramètres!$A$1:$I$89,3,0)*VLOOKUP('Données projet'!$B$12,Paramètres!$A$1:$I$89,5,0)</f>
        <v>13.919536717667166</v>
      </c>
      <c r="CA16" s="14">
        <f t="shared" si="39"/>
        <v>4.7212709102893111</v>
      </c>
      <c r="CB16" s="22">
        <f t="shared" si="10"/>
        <v>32.466073285357531</v>
      </c>
      <c r="CC16" s="62">
        <f t="shared" si="11"/>
        <v>305.02162884091308</v>
      </c>
      <c r="CD16" s="62">
        <f ca="1">AVERAGE(OFFSET($CC$3,0,0,'Données projet'!$E$12+1,1))-AVERAGE(OFFSET($H$3,0,0,'Données projet'!$E$12+1,1))</f>
        <v>321.13335003345236</v>
      </c>
      <c r="CE16" s="62">
        <f t="shared" si="40"/>
        <v>301.26825075712128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7.4312217194570129</v>
      </c>
      <c r="CT16" s="13">
        <f>IF('Données projet'!$A$140&gt;35,CT15+CS16-DB15,IF(A16&lt;'Données projet'!$A$140,$CQ$205^A16,IF(A16='Données projet'!$A$140,'Données projet'!$B$140,CT15+CS16-DB15)))</f>
        <v>40.460980378841768</v>
      </c>
      <c r="CU16" s="18">
        <f>CT16*VLOOKUP('Données projet'!$B$13,Paramètres!$A$1:$I$89,3,0)*VLOOKUP('Données projet'!$B$13,Paramètres!$A$1:$I$89,5,0)</f>
        <v>24.195666266547377</v>
      </c>
      <c r="CV16" s="14">
        <f t="shared" si="41"/>
        <v>7.6952475537219458</v>
      </c>
      <c r="CW16" s="22">
        <f t="shared" si="13"/>
        <v>55.543341570302402</v>
      </c>
      <c r="CX16" s="62">
        <f t="shared" si="14"/>
        <v>328.09889712585795</v>
      </c>
      <c r="CY16" s="62">
        <f ca="1">AVERAGE(OFFSET($CX$3,0,0,'Données projet'!$E$13+1,1))-AVERAGE(OFFSET($H$3,0,0,'Données projet'!$E$13+1,1))</f>
        <v>260.02504691866199</v>
      </c>
      <c r="CZ16" s="62">
        <f t="shared" si="42"/>
        <v>270.11268336406368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2.4666666666666668</v>
      </c>
      <c r="DO16" s="13">
        <f>IF('Données projet'!$A$166&gt;35,DO15+DN16-DW15,IF(A16&lt;'Données projet'!$A$166,$DL$205^A16,IF(A16='Données projet'!$A$166,'Données projet'!$B$166,DO15+DN16-DW15)))</f>
        <v>22.86168101684942</v>
      </c>
      <c r="DP16" s="18">
        <f>DO16*VLOOKUP('Données projet'!$B$14,Paramètres!$A$1:$I$89,3,0)*VLOOKUP('Données projet'!$B$14,Paramètres!$A$1:$I$89,5,0)</f>
        <v>18.188753417005401</v>
      </c>
      <c r="DQ16" s="14">
        <f t="shared" si="43"/>
        <v>5.9801756254374139</v>
      </c>
      <c r="DR16" s="22">
        <f t="shared" si="16"/>
        <v>42.094218082254564</v>
      </c>
      <c r="DS16" s="62">
        <f t="shared" si="17"/>
        <v>314.64977363781009</v>
      </c>
      <c r="DT16" s="62">
        <f ca="1">AVERAGE(OFFSET($DS$3,0,0,'Données projet'!$E$14+1,1))-AVERAGE(OFFSET($H$3,0,0,'Données projet'!$E$14+1,1))</f>
        <v>312.53381881960331</v>
      </c>
      <c r="DU16" s="62">
        <f t="shared" si="44"/>
        <v>342.06887933351783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1.05</v>
      </c>
      <c r="EJ16" s="13">
        <f>IF('Données projet'!$A$192&gt;35,EJ15+EI16-ER15,IF(A16&lt;'Données projet'!$A$192,$EG$205^A16,IF(A16='Données projet'!$A$192,'Données projet'!$B$192,EJ15+EI16-ER15)))</f>
        <v>7.235066739107908</v>
      </c>
      <c r="EK16" s="18">
        <f>EJ16*VLOOKUP('Données projet'!$B$15,Paramètres!$A$1:$I$89,3,0)*VLOOKUP('Données projet'!$B$15,Paramètres!$A$1:$I$89,5,0)</f>
        <v>6.9977565500651693</v>
      </c>
      <c r="EL16" s="14">
        <f t="shared" si="45"/>
        <v>2.5713292287622704</v>
      </c>
      <c r="EM16" s="22">
        <f t="shared" si="19"/>
        <v>16.666157731457787</v>
      </c>
      <c r="EN16" s="62">
        <f t="shared" si="20"/>
        <v>289.22171328701336</v>
      </c>
      <c r="EO16" s="62">
        <f ca="1">AVERAGE(OFFSET($EN$3,0,0,'Données projet'!$E$15+1,1))-AVERAGE(OFFSET($H$3,0,0,'Données projet'!$E$15+1,1))</f>
        <v>255.59755832175625</v>
      </c>
      <c r="EP16" s="62">
        <f t="shared" si="46"/>
        <v>154.0840647586964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3.78125</v>
      </c>
      <c r="FE16" s="13">
        <f>IF('Données projet'!$A$218&gt;35,FE15+FD16-FM15,IF(A16&lt;'Données projet'!$A$218,$FB$205^A16,IF(A16='Données projet'!$A$218,'Données projet'!$B$218,FE15+FD16-FM15)))</f>
        <v>7.016678157789646</v>
      </c>
      <c r="FF16" s="18">
        <f>FE16*VLOOKUP('Données projet'!$B$16,Paramètres!$A$1:$I$89,3,0)*VLOOKUP('Données projet'!$B$16,Paramètres!$A$1:$I$89,5,0)</f>
        <v>4.1959735383582082</v>
      </c>
      <c r="FG16" s="14">
        <f t="shared" si="47"/>
        <v>1.6363909709143449</v>
      </c>
      <c r="FH16" s="22">
        <f t="shared" si="22"/>
        <v>10.158034853649696</v>
      </c>
      <c r="FI16" s="62">
        <f t="shared" si="23"/>
        <v>282.71359040920527</v>
      </c>
      <c r="FJ16" s="62">
        <f ca="1">AVERAGE(OFFSET($FI$3,0,0,'Données projet'!$E$16+1,1))-AVERAGE(OFFSET($H$3,0,0,'Données projet'!$E$16+1,1))</f>
        <v>197.08445731383847</v>
      </c>
      <c r="FK16" s="62">
        <f t="shared" si="48"/>
        <v>157.12482557016511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428.8489304403459</v>
      </c>
      <c r="T17" s="62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475.47920969424894</v>
      </c>
      <c r="AO17" s="62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3.4425641025641025</v>
      </c>
      <c r="BD17" s="13">
        <f>IF('Données projet'!$A$88&gt;35,BD16+BC17-BL16,IF(A17&lt;'Données projet'!$A$88,$BA$205^A17,IF(A17='Données projet'!$A$88,'Données projet'!$B$88,BD16+BC17-BL16)))</f>
        <v>8.7069931392376674</v>
      </c>
      <c r="BE17" s="14">
        <f>BD17*VLOOKUP('Données projet'!$B$11,Paramètres!$A$1:$I$89,3,0)*VLOOKUP('Données projet'!$B$11,Paramètres!$A$1:$I$89,5,0)</f>
        <v>4.0748727891632281</v>
      </c>
      <c r="BF17" s="14">
        <f t="shared" si="37"/>
        <v>1.5945892948181934</v>
      </c>
      <c r="BG17" s="22">
        <f t="shared" si="7"/>
        <v>9.8743131296009761</v>
      </c>
      <c r="BH17" s="62">
        <f t="shared" si="8"/>
        <v>283.65209090737875</v>
      </c>
      <c r="BI17" s="62">
        <f ca="1">AVERAGE(OFFSET($BH$3,0,0,'Données projet'!$E$11+1,1))-AVERAGE(OFFSET($H$3,0,0,'Données projet'!$E$11+1,1))</f>
        <v>246.73711856758143</v>
      </c>
      <c r="BJ17" s="62">
        <f t="shared" si="38"/>
        <v>145.54897745089966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8.5743589743589759</v>
      </c>
      <c r="BY17" s="13">
        <f>IF('Données projet'!$A$114&gt;35,BY16+BX17-CG16,IF(A17&lt;'Données projet'!$A$114,$BV$205^A17,IF(A17='Données projet'!$A$114,'Données projet'!$B$114,BY16+BX17-CG16)))</f>
        <v>31.88702270302047</v>
      </c>
      <c r="BZ17" s="14">
        <f>BY17*VLOOKUP('Données projet'!$B$12,Paramètres!$A$1:$I$89,3,0)*VLOOKUP('Données projet'!$B$12,Paramètres!$A$1:$I$89,5,0)</f>
        <v>17.824845690988443</v>
      </c>
      <c r="CA17" s="14">
        <f t="shared" si="39"/>
        <v>5.8743313933372665</v>
      </c>
      <c r="CB17" s="22">
        <f t="shared" si="10"/>
        <v>41.27606675520061</v>
      </c>
      <c r="CC17" s="62">
        <f t="shared" si="11"/>
        <v>315.05384453297836</v>
      </c>
      <c r="CD17" s="62">
        <f ca="1">AVERAGE(OFFSET($CC$3,0,0,'Données projet'!$E$12+1,1))-AVERAGE(OFFSET($H$3,0,0,'Données projet'!$E$12+1,1))</f>
        <v>321.13335003345236</v>
      </c>
      <c r="CE17" s="62">
        <f t="shared" si="40"/>
        <v>301.26825075712128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7.4312217194570129</v>
      </c>
      <c r="CT17" s="13">
        <f>IF('Données projet'!$A$140&gt;35,CT16+CS17-DB16,IF(A17&lt;'Données projet'!$A$140,$CQ$205^A17,IF(A17='Données projet'!$A$140,'Données projet'!$B$140,CT16+CS17-DB16)))</f>
        <v>53.784184291233551</v>
      </c>
      <c r="CU17" s="18">
        <f>CT17*VLOOKUP('Données projet'!$B$13,Paramètres!$A$1:$I$89,3,0)*VLOOKUP('Données projet'!$B$13,Paramètres!$A$1:$I$89,5,0)</f>
        <v>32.162942206157666</v>
      </c>
      <c r="CV17" s="14">
        <f t="shared" si="41"/>
        <v>9.8958162734145461</v>
      </c>
      <c r="CW17" s="22">
        <f t="shared" si="13"/>
        <v>73.252337685254929</v>
      </c>
      <c r="CX17" s="62">
        <f t="shared" si="14"/>
        <v>347.0301154630327</v>
      </c>
      <c r="CY17" s="62">
        <f ca="1">AVERAGE(OFFSET($CX$3,0,0,'Données projet'!$E$13+1,1))-AVERAGE(OFFSET($H$3,0,0,'Données projet'!$E$13+1,1))</f>
        <v>260.02504691866199</v>
      </c>
      <c r="CZ17" s="62">
        <f t="shared" si="42"/>
        <v>270.11268336406368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2.4666666666666668</v>
      </c>
      <c r="DO17" s="13">
        <f>IF('Données projet'!$A$166&gt;35,DO16+DN17-DW16,IF(A17&lt;'Données projet'!$A$166,$DL$205^A17,IF(A17='Données projet'!$A$166,'Données projet'!$B$166,DO16+DN17-DW16)))</f>
        <v>29.084054009429774</v>
      </c>
      <c r="DP17" s="18">
        <f>DO17*VLOOKUP('Données projet'!$B$14,Paramètres!$A$1:$I$89,3,0)*VLOOKUP('Données projet'!$B$14,Paramètres!$A$1:$I$89,5,0)</f>
        <v>23.13927336990233</v>
      </c>
      <c r="DQ17" s="14">
        <f t="shared" si="43"/>
        <v>7.3976107331343286</v>
      </c>
      <c r="DR17" s="22">
        <f t="shared" si="16"/>
        <v>53.185073146122171</v>
      </c>
      <c r="DS17" s="62">
        <f t="shared" si="17"/>
        <v>326.96285092389996</v>
      </c>
      <c r="DT17" s="62">
        <f ca="1">AVERAGE(OFFSET($DS$3,0,0,'Données projet'!$E$14+1,1))-AVERAGE(OFFSET($H$3,0,0,'Données projet'!$E$14+1,1))</f>
        <v>312.53381881960331</v>
      </c>
      <c r="DU17" s="62">
        <f t="shared" si="44"/>
        <v>342.06887933351783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1.05</v>
      </c>
      <c r="EJ17" s="13">
        <f>IF('Données projet'!$A$192&gt;35,EJ16+EI17-ER16,IF(A17&lt;'Données projet'!$A$192,$EG$205^A17,IF(A17='Données projet'!$A$192,'Données projet'!$B$192,EJ16+EI17-ER16)))</f>
        <v>8.4246817951744681</v>
      </c>
      <c r="EK17" s="18">
        <f>EJ17*VLOOKUP('Données projet'!$B$15,Paramètres!$A$1:$I$89,3,0)*VLOOKUP('Données projet'!$B$15,Paramètres!$A$1:$I$89,5,0)</f>
        <v>8.148352232292746</v>
      </c>
      <c r="EL17" s="14">
        <f t="shared" si="45"/>
        <v>2.9415303588242718</v>
      </c>
      <c r="EM17" s="22">
        <f t="shared" si="19"/>
        <v>19.314878846195473</v>
      </c>
      <c r="EN17" s="62">
        <f t="shared" si="20"/>
        <v>293.09265662397326</v>
      </c>
      <c r="EO17" s="62">
        <f ca="1">AVERAGE(OFFSET($EN$3,0,0,'Données projet'!$E$15+1,1))-AVERAGE(OFFSET($H$3,0,0,'Données projet'!$E$15+1,1))</f>
        <v>255.59755832175625</v>
      </c>
      <c r="EP17" s="62">
        <f t="shared" si="46"/>
        <v>154.0840647586964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3.78125</v>
      </c>
      <c r="FE17" s="13">
        <f>IF('Données projet'!$A$218&gt;35,FE16+FD17-FM16,IF(A17&lt;'Données projet'!$A$218,$FB$205^A17,IF(A17='Données projet'!$A$218,'Données projet'!$B$218,FE16+FD17-FM16)))</f>
        <v>8.1511446374058121</v>
      </c>
      <c r="FF17" s="18">
        <f>FE17*VLOOKUP('Données projet'!$B$16,Paramètres!$A$1:$I$89,3,0)*VLOOKUP('Données projet'!$B$16,Paramètres!$A$1:$I$89,5,0)</f>
        <v>4.8743844931686757</v>
      </c>
      <c r="FG17" s="14">
        <f t="shared" si="47"/>
        <v>1.8680908169694812</v>
      </c>
      <c r="FH17" s="22">
        <f t="shared" si="22"/>
        <v>11.743144498490622</v>
      </c>
      <c r="FI17" s="62">
        <f t="shared" si="23"/>
        <v>285.52092227626838</v>
      </c>
      <c r="FJ17" s="62">
        <f ca="1">AVERAGE(OFFSET($FI$3,0,0,'Données projet'!$E$16+1,1))-AVERAGE(OFFSET($H$3,0,0,'Données projet'!$E$16+1,1))</f>
        <v>197.08445731383847</v>
      </c>
      <c r="FK17" s="62">
        <f t="shared" si="48"/>
        <v>157.12482557016511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428.8489304403459</v>
      </c>
      <c r="T18" s="62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475.47920969424894</v>
      </c>
      <c r="AO18" s="62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3.4425641025641025</v>
      </c>
      <c r="BD18" s="13">
        <f>IF('Données projet'!$A$88&gt;35,BD17+BC18-BL17,IF(A18&lt;'Données projet'!$A$88,$BA$205^A18,IF(A18='Données projet'!$A$88,'Données projet'!$B$88,BD17+BC18-BL17)))</f>
        <v>10.162525428107084</v>
      </c>
      <c r="BE18" s="14">
        <f>BD18*VLOOKUP('Données projet'!$B$11,Paramètres!$A$1:$I$89,3,0)*VLOOKUP('Données projet'!$B$11,Paramètres!$A$1:$I$89,5,0)</f>
        <v>4.7560619003541156</v>
      </c>
      <c r="BF18" s="14">
        <f t="shared" si="37"/>
        <v>1.8279653298016947</v>
      </c>
      <c r="BG18" s="22">
        <f t="shared" si="7"/>
        <v>11.467180759188034</v>
      </c>
      <c r="BH18" s="62">
        <f t="shared" si="8"/>
        <v>286.46718075918801</v>
      </c>
      <c r="BI18" s="62">
        <f ca="1">AVERAGE(OFFSET($BH$3,0,0,'Données projet'!$E$11+1,1))-AVERAGE(OFFSET($H$3,0,0,'Données projet'!$E$11+1,1))</f>
        <v>246.73711856758143</v>
      </c>
      <c r="BJ18" s="62">
        <f t="shared" si="38"/>
        <v>145.54897745089966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8.5743589743589759</v>
      </c>
      <c r="BY18" s="13">
        <f>IF('Données projet'!$A$114&gt;35,BY17+BX18-CG17,IF(A18&lt;'Données projet'!$A$114,$BV$205^A18,IF(A18='Données projet'!$A$114,'Données projet'!$B$114,BY17+BX18-CG17)))</f>
        <v>40.833346019697316</v>
      </c>
      <c r="BZ18" s="14">
        <f>BY18*VLOOKUP('Données projet'!$B$12,Paramètres!$A$1:$I$89,3,0)*VLOOKUP('Données projet'!$B$12,Paramètres!$A$1:$I$89,5,0)</f>
        <v>22.825840425010803</v>
      </c>
      <c r="CA18" s="14">
        <f t="shared" si="39"/>
        <v>7.3090000498686072</v>
      </c>
      <c r="CB18" s="22">
        <f t="shared" si="10"/>
        <v>52.484847160414972</v>
      </c>
      <c r="CC18" s="62">
        <f t="shared" si="11"/>
        <v>327.48484716041497</v>
      </c>
      <c r="CD18" s="62">
        <f ca="1">AVERAGE(OFFSET($CC$3,0,0,'Données projet'!$E$12+1,1))-AVERAGE(OFFSET($H$3,0,0,'Données projet'!$E$12+1,1))</f>
        <v>321.13335003345236</v>
      </c>
      <c r="CE18" s="62">
        <f t="shared" si="40"/>
        <v>301.26825075712128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7.4312217194570129</v>
      </c>
      <c r="CT18" s="13">
        <f>IF('Données projet'!$A$140&gt;35,CT17+CS18-DB17,IF(A18&lt;'Données projet'!$A$140,$CQ$205^A18,IF(A18='Données projet'!$A$140,'Données projet'!$B$140,CT17+CS18-DB17)))</f>
        <v>71.494522692931866</v>
      </c>
      <c r="CU18" s="18">
        <f>CT18*VLOOKUP('Données projet'!$B$13,Paramètres!$A$1:$I$89,3,0)*VLOOKUP('Données projet'!$B$13,Paramètres!$A$1:$I$89,5,0)</f>
        <v>42.753724570373258</v>
      </c>
      <c r="CV18" s="14">
        <f t="shared" si="41"/>
        <v>12.725669841487028</v>
      </c>
      <c r="CW18" s="22">
        <f t="shared" si="13"/>
        <v>96.626611933989992</v>
      </c>
      <c r="CX18" s="62">
        <f t="shared" si="14"/>
        <v>371.62661193398998</v>
      </c>
      <c r="CY18" s="62">
        <f ca="1">AVERAGE(OFFSET($CX$3,0,0,'Données projet'!$E$13+1,1))-AVERAGE(OFFSET($H$3,0,0,'Données projet'!$E$13+1,1))</f>
        <v>260.02504691866199</v>
      </c>
      <c r="CZ18" s="62">
        <f t="shared" si="42"/>
        <v>270.11268336406368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37</v>
      </c>
      <c r="DM18" s="13">
        <f>VLOOKUP(A18,'Données projet'!$A$165:$I$185,9,0)</f>
        <v>2.4666666666666668</v>
      </c>
      <c r="DN18" s="13">
        <f t="array" ref="DN18">INDEX(DM:DM,MIN(IF(ISNUMBER(DM18:DM214),ROW(DM18:DM214),"")))</f>
        <v>2.4666666666666668</v>
      </c>
      <c r="DO18" s="13">
        <f>IF('Données projet'!$A$166&gt;35,DO17+DN18-DW17,IF(A18&lt;'Données projet'!$A$166,$DL$205^A18,IF(A18='Données projet'!$A$166,'Données projet'!$B$166,DO17+DN18-DW17)))</f>
        <v>37</v>
      </c>
      <c r="DP18" s="18">
        <f>DO18*VLOOKUP('Données projet'!$B$14,Paramètres!$A$1:$I$89,3,0)*VLOOKUP('Données projet'!$B$14,Paramètres!$A$1:$I$89,5,0)</f>
        <v>29.437200000000004</v>
      </c>
      <c r="DQ18" s="14">
        <f t="shared" si="43"/>
        <v>9.1510096001539196</v>
      </c>
      <c r="DR18" s="22">
        <f t="shared" si="16"/>
        <v>67.207798386934755</v>
      </c>
      <c r="DS18" s="62">
        <f t="shared" si="17"/>
        <v>342.20779838693477</v>
      </c>
      <c r="DT18" s="62">
        <f ca="1">AVERAGE(OFFSET($DS$3,0,0,'Données projet'!$E$14+1,1))-AVERAGE(OFFSET($H$3,0,0,'Données projet'!$E$14+1,1))</f>
        <v>312.53381881960331</v>
      </c>
      <c r="DU18" s="62">
        <f t="shared" si="44"/>
        <v>342.06887933351783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1.05</v>
      </c>
      <c r="EJ18" s="13">
        <f>IF('Données projet'!$A$192&gt;35,EJ17+EI18-ER17,IF(A18&lt;'Données projet'!$A$192,$EG$205^A18,IF(A18='Données projet'!$A$192,'Données projet'!$B$192,EJ17+EI18-ER17)))</f>
        <v>9.8098975322922115</v>
      </c>
      <c r="EK18" s="18">
        <f>EJ18*VLOOKUP('Données projet'!$B$15,Paramètres!$A$1:$I$89,3,0)*VLOOKUP('Données projet'!$B$15,Paramètres!$A$1:$I$89,5,0)</f>
        <v>9.4881328932330273</v>
      </c>
      <c r="EL18" s="14">
        <f t="shared" si="45"/>
        <v>3.3650303333773621</v>
      </c>
      <c r="EM18" s="22">
        <f t="shared" si="19"/>
        <v>22.385925953013096</v>
      </c>
      <c r="EN18" s="62">
        <f t="shared" si="20"/>
        <v>297.3859259530131</v>
      </c>
      <c r="EO18" s="62">
        <f ca="1">AVERAGE(OFFSET($EN$3,0,0,'Données projet'!$E$15+1,1))-AVERAGE(OFFSET($H$3,0,0,'Données projet'!$E$15+1,1))</f>
        <v>255.59755832175625</v>
      </c>
      <c r="EP18" s="62">
        <f t="shared" si="46"/>
        <v>154.0840647586964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3.78125</v>
      </c>
      <c r="FE18" s="13">
        <f>IF('Données projet'!$A$218&gt;35,FE17+FD18-FM17,IF(A18&lt;'Données projet'!$A$218,$FB$205^A18,IF(A18='Données projet'!$A$218,'Données projet'!$B$218,FE17+FD18-FM17)))</f>
        <v>9.4690332669953108</v>
      </c>
      <c r="FF18" s="18">
        <f>FE18*VLOOKUP('Données projet'!$B$16,Paramètres!$A$1:$I$89,3,0)*VLOOKUP('Données projet'!$B$16,Paramètres!$A$1:$I$89,5,0)</f>
        <v>5.6624818936631964</v>
      </c>
      <c r="FG18" s="14">
        <f t="shared" si="47"/>
        <v>2.1325975041867737</v>
      </c>
      <c r="FH18" s="22">
        <f t="shared" si="22"/>
        <v>13.576429951255363</v>
      </c>
      <c r="FI18" s="62">
        <f t="shared" si="23"/>
        <v>288.57642995125536</v>
      </c>
      <c r="FJ18" s="62">
        <f ca="1">AVERAGE(OFFSET($FI$3,0,0,'Données projet'!$E$16+1,1))-AVERAGE(OFFSET($H$3,0,0,'Données projet'!$E$16+1,1))</f>
        <v>197.08445731383847</v>
      </c>
      <c r="FK18" s="62">
        <f t="shared" si="48"/>
        <v>157.12482557016511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428.8489304403459</v>
      </c>
      <c r="T19" s="62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475.47920969424894</v>
      </c>
      <c r="AO19" s="62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3.4425641025641025</v>
      </c>
      <c r="BD19" s="13">
        <f>IF('Données projet'!$A$88&gt;35,BD18+BC19-BL18,IF(A19&lt;'Données projet'!$A$88,$BA$205^A19,IF(A19='Données projet'!$A$88,'Données projet'!$B$88,BD18+BC19-BL18)))</f>
        <v>11.861376416102864</v>
      </c>
      <c r="BE19" s="14">
        <f>BD19*VLOOKUP('Données projet'!$B$11,Paramètres!$A$1:$I$89,3,0)*VLOOKUP('Données projet'!$B$11,Paramètres!$A$1:$I$89,5,0)</f>
        <v>5.5511241627361398</v>
      </c>
      <c r="BF19" s="14">
        <f t="shared" si="37"/>
        <v>2.0954971024924585</v>
      </c>
      <c r="BG19" s="22">
        <f t="shared" si="7"/>
        <v>13.31786537027314</v>
      </c>
      <c r="BH19" s="62">
        <f t="shared" si="8"/>
        <v>289.54008759249535</v>
      </c>
      <c r="BI19" s="62">
        <f ca="1">AVERAGE(OFFSET($BH$3,0,0,'Données projet'!$E$11+1,1))-AVERAGE(OFFSET($H$3,0,0,'Données projet'!$E$11+1,1))</f>
        <v>246.73711856758143</v>
      </c>
      <c r="BJ19" s="62">
        <f t="shared" si="38"/>
        <v>145.54897745089966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8.5743589743589759</v>
      </c>
      <c r="BY19" s="13">
        <f>IF('Données projet'!$A$114&gt;35,BY18+BX19-CG18,IF(A19&lt;'Données projet'!$A$114,$BV$205^A19,IF(A19='Données projet'!$A$114,'Données projet'!$B$114,BY18+BX19-CG18)))</f>
        <v>52.289677926136108</v>
      </c>
      <c r="BZ19" s="14">
        <f>BY19*VLOOKUP('Données projet'!$B$12,Paramètres!$A$1:$I$89,3,0)*VLOOKUP('Données projet'!$B$12,Paramètres!$A$1:$I$89,5,0)</f>
        <v>29.229929960710084</v>
      </c>
      <c r="CA19" s="14">
        <f t="shared" si="39"/>
        <v>9.0940531188911979</v>
      </c>
      <c r="CB19" s="22">
        <f t="shared" si="10"/>
        <v>66.747603863638901</v>
      </c>
      <c r="CC19" s="62">
        <f t="shared" si="11"/>
        <v>342.96982608586114</v>
      </c>
      <c r="CD19" s="62">
        <f ca="1">AVERAGE(OFFSET($CC$3,0,0,'Données projet'!$E$12+1,1))-AVERAGE(OFFSET($H$3,0,0,'Données projet'!$E$12+1,1))</f>
        <v>321.13335003345236</v>
      </c>
      <c r="CE19" s="62">
        <f t="shared" si="40"/>
        <v>301.26825075712128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7.4312217194570129</v>
      </c>
      <c r="CT19" s="13">
        <f>IF('Données projet'!$A$140&gt;35,CT18+CS19-DB18,IF(A19&lt;'Données projet'!$A$140,$CQ$205^A19,IF(A19='Données projet'!$A$140,'Données projet'!$B$140,CT18+CS19-DB18)))</f>
        <v>95.036614247271999</v>
      </c>
      <c r="CU19" s="18">
        <f>CT19*VLOOKUP('Données projet'!$B$13,Paramètres!$A$1:$I$89,3,0)*VLOOKUP('Données projet'!$B$13,Paramètres!$A$1:$I$89,5,0)</f>
        <v>56.831895319868664</v>
      </c>
      <c r="CV19" s="14">
        <f t="shared" si="41"/>
        <v>16.364761474967661</v>
      </c>
      <c r="CW19" s="22">
        <f t="shared" si="13"/>
        <v>127.4841772510066</v>
      </c>
      <c r="CX19" s="62">
        <f t="shared" si="14"/>
        <v>403.70639947322883</v>
      </c>
      <c r="CY19" s="62">
        <f ca="1">AVERAGE(OFFSET($CX$3,0,0,'Données projet'!$E$13+1,1))-AVERAGE(OFFSET($H$3,0,0,'Données projet'!$E$13+1,1))</f>
        <v>260.02504691866199</v>
      </c>
      <c r="CZ19" s="62">
        <f t="shared" si="42"/>
        <v>270.11268336406368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11.6</v>
      </c>
      <c r="DO19" s="13">
        <f>IF('Données projet'!$A$166&gt;35,DO18+DN19-DW18,IF(A19&lt;'Données projet'!$A$166,$DL$205^A19,IF(A19='Données projet'!$A$166,'Données projet'!$B$166,DO18+DN19-DW18)))</f>
        <v>48.6</v>
      </c>
      <c r="DP19" s="18">
        <f>DO19*VLOOKUP('Données projet'!$B$14,Paramètres!$A$1:$I$89,3,0)*VLOOKUP('Données projet'!$B$14,Paramètres!$A$1:$I$89,5,0)</f>
        <v>38.666160000000005</v>
      </c>
      <c r="DQ19" s="14">
        <f t="shared" si="43"/>
        <v>11.644417682758437</v>
      </c>
      <c r="DR19" s="22">
        <f t="shared" si="16"/>
        <v>87.624256130804284</v>
      </c>
      <c r="DS19" s="62">
        <f t="shared" si="17"/>
        <v>363.8464783530265</v>
      </c>
      <c r="DT19" s="62">
        <f ca="1">AVERAGE(OFFSET($DS$3,0,0,'Données projet'!$E$14+1,1))-AVERAGE(OFFSET($H$3,0,0,'Données projet'!$E$14+1,1))</f>
        <v>312.53381881960331</v>
      </c>
      <c r="DU19" s="62">
        <f t="shared" si="44"/>
        <v>342.06887933351783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1.05</v>
      </c>
      <c r="EJ19" s="13">
        <f>IF('Données projet'!$A$192&gt;35,EJ18+EI19-ER18,IF(A19&lt;'Données projet'!$A$192,$EG$205^A19,IF(A19='Données projet'!$A$192,'Données projet'!$B$192,EJ18+EI19-ER18)))</f>
        <v>11.42287530066646</v>
      </c>
      <c r="EK19" s="18">
        <f>EJ19*VLOOKUP('Données projet'!$B$15,Paramètres!$A$1:$I$89,3,0)*VLOOKUP('Données projet'!$B$15,Paramètres!$A$1:$I$89,5,0)</f>
        <v>11.048204990804599</v>
      </c>
      <c r="EL19" s="14">
        <f t="shared" si="45"/>
        <v>3.8495027292785511</v>
      </c>
      <c r="EM19" s="22">
        <f t="shared" si="19"/>
        <v>25.946840945811488</v>
      </c>
      <c r="EN19" s="62">
        <f t="shared" si="20"/>
        <v>302.16906316803374</v>
      </c>
      <c r="EO19" s="62">
        <f ca="1">AVERAGE(OFFSET($EN$3,0,0,'Données projet'!$E$15+1,1))-AVERAGE(OFFSET($H$3,0,0,'Données projet'!$E$15+1,1))</f>
        <v>255.59755832175625</v>
      </c>
      <c r="EP19" s="62">
        <f t="shared" si="46"/>
        <v>154.0840647586964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3.78125</v>
      </c>
      <c r="FE19" s="13">
        <f>IF('Données projet'!$A$218&gt;35,FE18+FD19-FM18,IF(A19&lt;'Données projet'!$A$218,$FB$205^A19,IF(A19='Données projet'!$A$218,'Données projet'!$B$218,FE18+FD19-FM18)))</f>
        <v>10.999999999999991</v>
      </c>
      <c r="FF19" s="18">
        <f>FE19*VLOOKUP('Données projet'!$B$16,Paramètres!$A$1:$I$89,3,0)*VLOOKUP('Données projet'!$B$16,Paramètres!$A$1:$I$89,5,0)</f>
        <v>6.577999999999995</v>
      </c>
      <c r="FG19" s="14">
        <f t="shared" si="47"/>
        <v>2.4345562183329097</v>
      </c>
      <c r="FH19" s="22">
        <f t="shared" si="22"/>
        <v>15.696868746929809</v>
      </c>
      <c r="FI19" s="62">
        <f t="shared" si="23"/>
        <v>291.91909096915202</v>
      </c>
      <c r="FJ19" s="62">
        <f ca="1">AVERAGE(OFFSET($FI$3,0,0,'Données projet'!$E$16+1,1))-AVERAGE(OFFSET($H$3,0,0,'Données projet'!$E$16+1,1))</f>
        <v>197.08445731383847</v>
      </c>
      <c r="FK19" s="62">
        <f t="shared" si="48"/>
        <v>157.12482557016511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428.8489304403459</v>
      </c>
      <c r="T20" s="62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475.47920969424894</v>
      </c>
      <c r="AO20" s="62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3.4425641025641025</v>
      </c>
      <c r="BD20" s="13">
        <f>IF('Données projet'!$A$88&gt;35,BD19+BC20-BL19,IF(A20&lt;'Données projet'!$A$88,$BA$205^A20,IF(A20='Données projet'!$A$88,'Données projet'!$B$88,BD19+BC20-BL19)))</f>
        <v>13.84422124990315</v>
      </c>
      <c r="BE20" s="14">
        <f>BD20*VLOOKUP('Données projet'!$B$11,Paramètres!$A$1:$I$89,3,0)*VLOOKUP('Données projet'!$B$11,Paramètres!$A$1:$I$89,5,0)</f>
        <v>6.4790955449546734</v>
      </c>
      <c r="BF20" s="14">
        <f t="shared" si="37"/>
        <v>2.4021834741420709</v>
      </c>
      <c r="BG20" s="22">
        <f t="shared" si="7"/>
        <v>15.468227624926827</v>
      </c>
      <c r="BH20" s="62">
        <f t="shared" si="8"/>
        <v>292.9126720693713</v>
      </c>
      <c r="BI20" s="62">
        <f ca="1">AVERAGE(OFFSET($BH$3,0,0,'Données projet'!$E$11+1,1))-AVERAGE(OFFSET($H$3,0,0,'Données projet'!$E$11+1,1))</f>
        <v>246.73711856758143</v>
      </c>
      <c r="BJ20" s="62">
        <f t="shared" si="38"/>
        <v>145.54897745089966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8.5743589743589759</v>
      </c>
      <c r="BY20" s="13">
        <f>IF('Données projet'!$A$114&gt;35,BY19+BX20-CG19,IF(A20&lt;'Données projet'!$A$114,$BV$205^A20,IF(A20='Données projet'!$A$114,'Données projet'!$B$114,BY19+BX20-CG19)))</f>
        <v>66.960234321725892</v>
      </c>
      <c r="BZ20" s="14">
        <f>BY20*VLOOKUP('Données projet'!$B$12,Paramètres!$A$1:$I$89,3,0)*VLOOKUP('Données projet'!$B$12,Paramètres!$A$1:$I$89,5,0)</f>
        <v>37.430770985844774</v>
      </c>
      <c r="CA20" s="14">
        <f t="shared" si="39"/>
        <v>11.315063834306788</v>
      </c>
      <c r="CB20" s="22">
        <f t="shared" si="10"/>
        <v>84.898995645097301</v>
      </c>
      <c r="CC20" s="62">
        <f t="shared" si="11"/>
        <v>362.34344008954179</v>
      </c>
      <c r="CD20" s="62">
        <f ca="1">AVERAGE(OFFSET($CC$3,0,0,'Données projet'!$E$12+1,1))-AVERAGE(OFFSET($H$3,0,0,'Données projet'!$E$12+1,1))</f>
        <v>321.13335003345236</v>
      </c>
      <c r="CE20" s="62">
        <f t="shared" si="40"/>
        <v>301.26825075712128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126.33076923076922</v>
      </c>
      <c r="CR20" s="13">
        <f>VLOOKUP(A20,'Données projet'!$A$139:$I$159,9,0)</f>
        <v>7.4312217194570129</v>
      </c>
      <c r="CS20" s="13">
        <f t="array" ref="CS20">INDEX(CR:CR,MIN(IF(ISNUMBER(CR20:CR216),ROW(CR20:CR216),"")))</f>
        <v>7.4312217194570129</v>
      </c>
      <c r="CT20" s="13">
        <f>IF('Données projet'!$A$140&gt;35,CT19+CS20-DB19,IF(A20&lt;'Données projet'!$A$140,$CQ$205^A20,IF(A20='Données projet'!$A$140,'Données projet'!$B$140,CT19+CS20-DB19)))</f>
        <v>126.33076923076922</v>
      </c>
      <c r="CU20" s="18">
        <f>CT20*VLOOKUP('Données projet'!$B$13,Paramètres!$A$1:$I$89,3,0)*VLOOKUP('Données projet'!$B$13,Paramètres!$A$1:$I$89,5,0)</f>
        <v>75.5458</v>
      </c>
      <c r="CV20" s="14">
        <f t="shared" si="41"/>
        <v>21.044504648353485</v>
      </c>
      <c r="CW20" s="22">
        <f t="shared" si="13"/>
        <v>168.22811392921565</v>
      </c>
      <c r="CX20" s="62">
        <f t="shared" si="14"/>
        <v>445.67255837366008</v>
      </c>
      <c r="CY20" s="62">
        <f ca="1">AVERAGE(OFFSET($CX$3,0,0,'Données projet'!$E$13+1,1))-AVERAGE(OFFSET($H$3,0,0,'Données projet'!$E$13+1,1))</f>
        <v>260.02504691866199</v>
      </c>
      <c r="CZ20" s="62">
        <f t="shared" si="42"/>
        <v>270.11268336406368</v>
      </c>
      <c r="DA20" s="16">
        <f>IF(ISNA(VLOOKUP(A20,'Données projet'!$A$139:$I$159,3,0)),0,VLOOKUP(A20,'Données projet'!$A$139:$I$159,3,0))</f>
        <v>1</v>
      </c>
      <c r="DB20" s="16">
        <f>IF(ISNA(VLOOKUP(A20,'Données projet'!$A$139:$I$159,4,0)),0,VLOOKUP(A20,'Données projet'!$A$139:$I$159,4,0))</f>
        <v>42.084615384615375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0.22500000000000001</v>
      </c>
      <c r="DE20" s="17">
        <f>IF(ISNA(VLOOKUP(A20,'Données projet'!$A$139:$I$159,7,0)),0%,VLOOKUP(A20,'Données projet'!$A$139:$I$159,7,0))</f>
        <v>0.5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7.4820750970079972</v>
      </c>
      <c r="DH20" s="23">
        <f>EXP(-LN(2)/2)*DH19+(1-EXP(-LN(2)/2))/(LN(2)/2)*DB20*DE20*VLOOKUP('Données projet'!$B$13,Paramètres!$A$1:$I$89,3,0)*0.475*44/12</f>
        <v>14.247218669464777</v>
      </c>
      <c r="DI20" s="24">
        <f t="shared" si="15"/>
        <v>21.729293766472775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11.6</v>
      </c>
      <c r="DO20" s="13">
        <f>IF('Données projet'!$A$166&gt;35,DO19+DN20-DW19,IF(A20&lt;'Données projet'!$A$166,$DL$205^A20,IF(A20='Données projet'!$A$166,'Données projet'!$B$166,DO19+DN20-DW19)))</f>
        <v>60.2</v>
      </c>
      <c r="DP20" s="18">
        <f>DO20*VLOOKUP('Données projet'!$B$14,Paramètres!$A$1:$I$89,3,0)*VLOOKUP('Données projet'!$B$14,Paramètres!$A$1:$I$89,5,0)</f>
        <v>47.895120000000006</v>
      </c>
      <c r="DQ20" s="14">
        <f t="shared" si="43"/>
        <v>14.068812032564205</v>
      </c>
      <c r="DR20" s="22">
        <f t="shared" si="16"/>
        <v>107.92051495671599</v>
      </c>
      <c r="DS20" s="62">
        <f t="shared" si="17"/>
        <v>385.36495940116043</v>
      </c>
      <c r="DT20" s="62">
        <f ca="1">AVERAGE(OFFSET($DS$3,0,0,'Données projet'!$E$14+1,1))-AVERAGE(OFFSET($H$3,0,0,'Données projet'!$E$14+1,1))</f>
        <v>312.53381881960331</v>
      </c>
      <c r="DU20" s="62">
        <f t="shared" si="44"/>
        <v>342.06887933351783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1.05</v>
      </c>
      <c r="EJ20" s="13">
        <f>IF('Données projet'!$A$192&gt;35,EJ19+EI20-ER19,IF(A20&lt;'Données projet'!$A$192,$EG$205^A20,IF(A20='Données projet'!$A$192,'Données projet'!$B$192,EJ19+EI20-ER19)))</f>
        <v>13.301064532535134</v>
      </c>
      <c r="EK20" s="18">
        <f>EJ20*VLOOKUP('Données projet'!$B$15,Paramètres!$A$1:$I$89,3,0)*VLOOKUP('Données projet'!$B$15,Paramètres!$A$1:$I$89,5,0)</f>
        <v>12.864789615867982</v>
      </c>
      <c r="EL20" s="14">
        <f t="shared" si="45"/>
        <v>4.4037259087201281</v>
      </c>
      <c r="EM20" s="22">
        <f t="shared" si="19"/>
        <v>30.07599787199096</v>
      </c>
      <c r="EN20" s="62">
        <f t="shared" si="20"/>
        <v>307.52044231643544</v>
      </c>
      <c r="EO20" s="62">
        <f ca="1">AVERAGE(OFFSET($EN$3,0,0,'Données projet'!$E$15+1,1))-AVERAGE(OFFSET($H$3,0,0,'Données projet'!$E$15+1,1))</f>
        <v>255.59755832175625</v>
      </c>
      <c r="EP20" s="62">
        <f t="shared" si="46"/>
        <v>154.0840647586964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3.78125</v>
      </c>
      <c r="FE20" s="13">
        <f>IF('Données projet'!$A$218&gt;35,FE19+FD20-FM19,IF(A20&lt;'Données projet'!$A$218,$FB$205^A20,IF(A20='Données projet'!$A$218,'Données projet'!$B$218,FE19+FD20-FM19)))</f>
        <v>12.778495606489219</v>
      </c>
      <c r="FF20" s="18">
        <f>FE20*VLOOKUP('Données projet'!$B$16,Paramètres!$A$1:$I$89,3,0)*VLOOKUP('Données projet'!$B$16,Paramètres!$A$1:$I$89,5,0)</f>
        <v>7.641540372680554</v>
      </c>
      <c r="FG20" s="14">
        <f t="shared" si="47"/>
        <v>2.7792698662486774</v>
      </c>
      <c r="FH20" s="22">
        <f t="shared" si="22"/>
        <v>18.149577832801743</v>
      </c>
      <c r="FI20" s="62">
        <f t="shared" si="23"/>
        <v>295.59402227724621</v>
      </c>
      <c r="FJ20" s="62">
        <f ca="1">AVERAGE(OFFSET($FI$3,0,0,'Données projet'!$E$16+1,1))-AVERAGE(OFFSET($H$3,0,0,'Données projet'!$E$16+1,1))</f>
        <v>197.08445731383847</v>
      </c>
      <c r="FK20" s="62">
        <f t="shared" si="48"/>
        <v>157.12482557016511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428.8489304403459</v>
      </c>
      <c r="T21" s="62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475.47920969424894</v>
      </c>
      <c r="AO21" s="62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3.4425641025641025</v>
      </c>
      <c r="BD21" s="13">
        <f>IF('Données projet'!$A$88&gt;35,BD20+BC21-BL20,IF(A21&lt;'Données projet'!$A$88,$BA$205^A21,IF(A21='Données projet'!$A$88,'Données projet'!$B$88,BD20+BC21-BL20)))</f>
        <v>16.158534666859676</v>
      </c>
      <c r="BE21" s="14">
        <f>BD21*VLOOKUP('Données projet'!$B$11,Paramètres!$A$1:$I$89,3,0)*VLOOKUP('Données projet'!$B$11,Paramètres!$A$1:$I$89,5,0)</f>
        <v>7.5621942240903284</v>
      </c>
      <c r="BF21" s="14">
        <f t="shared" si="37"/>
        <v>2.7537549140858508</v>
      </c>
      <c r="BG21" s="22">
        <f t="shared" si="7"/>
        <v>17.96694474899018</v>
      </c>
      <c r="BH21" s="62">
        <f t="shared" si="8"/>
        <v>296.63361141565684</v>
      </c>
      <c r="BI21" s="62">
        <f ca="1">AVERAGE(OFFSET($BH$3,0,0,'Données projet'!$E$11+1,1))-AVERAGE(OFFSET($H$3,0,0,'Données projet'!$E$11+1,1))</f>
        <v>246.73711856758143</v>
      </c>
      <c r="BJ21" s="62">
        <f t="shared" si="38"/>
        <v>145.54897745089966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8.5743589743589759</v>
      </c>
      <c r="BY21" s="13">
        <f>IF('Données projet'!$A$114&gt;35,BY20+BX21-CG20,IF(A21&lt;'Données projet'!$A$114,$BV$205^A21,IF(A21='Données projet'!$A$114,'Données projet'!$B$114,BY20+BX21-CG20)))</f>
        <v>85.746808132075927</v>
      </c>
      <c r="BZ21" s="14">
        <f>BY21*VLOOKUP('Données projet'!$B$12,Paramètres!$A$1:$I$89,3,0)*VLOOKUP('Données projet'!$B$12,Paramètres!$A$1:$I$89,5,0)</f>
        <v>47.932465745830442</v>
      </c>
      <c r="CA21" s="14">
        <f t="shared" si="39"/>
        <v>14.078504699788656</v>
      </c>
      <c r="CB21" s="22">
        <f t="shared" si="10"/>
        <v>108.00244019278658</v>
      </c>
      <c r="CC21" s="62">
        <f t="shared" si="11"/>
        <v>386.66910685945328</v>
      </c>
      <c r="CD21" s="62">
        <f ca="1">AVERAGE(OFFSET($CC$3,0,0,'Données projet'!$E$12+1,1))-AVERAGE(OFFSET($H$3,0,0,'Données projet'!$E$12+1,1))</f>
        <v>321.13335003345236</v>
      </c>
      <c r="CE21" s="62">
        <f t="shared" si="40"/>
        <v>301.26825075712128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14.926923076923075</v>
      </c>
      <c r="CT21" s="13">
        <f>IF('Données projet'!$A$140&gt;35,CT20+CS21-DB20,IF(A21&lt;'Données projet'!$A$140,$CQ$205^A21,IF(A21='Données projet'!$A$140,'Données projet'!$B$140,CT20+CS21-DB20)))</f>
        <v>99.173076923076934</v>
      </c>
      <c r="CU21" s="18">
        <f>CT21*VLOOKUP('Données projet'!$B$13,Paramètres!$A$1:$I$89,3,0)*VLOOKUP('Données projet'!$B$13,Paramètres!$A$1:$I$89,5,0)</f>
        <v>59.305500000000016</v>
      </c>
      <c r="CV21" s="14">
        <f t="shared" si="41"/>
        <v>16.992558820122873</v>
      </c>
      <c r="CW21" s="22">
        <f t="shared" si="13"/>
        <v>132.88578577838067</v>
      </c>
      <c r="CX21" s="62">
        <f t="shared" si="14"/>
        <v>411.55245244504738</v>
      </c>
      <c r="CY21" s="62">
        <f ca="1">AVERAGE(OFFSET($CX$3,0,0,'Données projet'!$E$13+1,1))-AVERAGE(OFFSET($H$3,0,0,'Données projet'!$E$13+1,1))</f>
        <v>260.02504691866199</v>
      </c>
      <c r="CZ21" s="62">
        <f t="shared" si="42"/>
        <v>270.11268336406368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7.2774773600150846</v>
      </c>
      <c r="DH21" s="23">
        <f>EXP(-LN(2)/2)*DH20+(1-EXP(-LN(2)/2))/(LN(2)/2)*DB21*DE21*VLOOKUP('Données projet'!$B$13,Paramètres!$A$1:$I$89,3,0)*0.475*44/12</f>
        <v>10.074304934226125</v>
      </c>
      <c r="DI21" s="24">
        <f t="shared" si="15"/>
        <v>17.351782294241211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11.6</v>
      </c>
      <c r="DO21" s="13">
        <f>IF('Données projet'!$A$166&gt;35,DO20+DN21-DW20,IF(A21&lt;'Données projet'!$A$166,$DL$205^A21,IF(A21='Données projet'!$A$166,'Données projet'!$B$166,DO20+DN21-DW20)))</f>
        <v>71.8</v>
      </c>
      <c r="DP21" s="18">
        <f>DO21*VLOOKUP('Données projet'!$B$14,Paramètres!$A$1:$I$89,3,0)*VLOOKUP('Données projet'!$B$14,Paramètres!$A$1:$I$89,5,0)</f>
        <v>57.124080000000006</v>
      </c>
      <c r="DQ21" s="14">
        <f t="shared" si="43"/>
        <v>16.439080665003988</v>
      </c>
      <c r="DR21" s="22">
        <f t="shared" si="16"/>
        <v>128.12250482488196</v>
      </c>
      <c r="DS21" s="62">
        <f t="shared" si="17"/>
        <v>406.78917149154864</v>
      </c>
      <c r="DT21" s="62">
        <f ca="1">AVERAGE(OFFSET($DS$3,0,0,'Données projet'!$E$14+1,1))-AVERAGE(OFFSET($H$3,0,0,'Données projet'!$E$14+1,1))</f>
        <v>312.53381881960331</v>
      </c>
      <c r="DU21" s="62">
        <f t="shared" si="44"/>
        <v>342.06887933351783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1.05</v>
      </c>
      <c r="EJ21" s="13">
        <f>IF('Données projet'!$A$192&gt;35,EJ20+EI21-ER20,IF(A21&lt;'Données projet'!$A$192,$EG$205^A21,IF(A21='Données projet'!$A$192,'Données projet'!$B$192,EJ20+EI21-ER20)))</f>
        <v>15.48807222716875</v>
      </c>
      <c r="EK21" s="18">
        <f>EJ21*VLOOKUP('Données projet'!$B$15,Paramètres!$A$1:$I$89,3,0)*VLOOKUP('Données projet'!$B$15,Paramètres!$A$1:$I$89,5,0)</f>
        <v>14.980063458117616</v>
      </c>
      <c r="EL21" s="14">
        <f t="shared" si="45"/>
        <v>5.0377420781222293</v>
      </c>
      <c r="EM21" s="22">
        <f t="shared" si="19"/>
        <v>34.864344642284394</v>
      </c>
      <c r="EN21" s="62">
        <f t="shared" si="20"/>
        <v>313.53101130895107</v>
      </c>
      <c r="EO21" s="62">
        <f ca="1">AVERAGE(OFFSET($EN$3,0,0,'Données projet'!$E$15+1,1))-AVERAGE(OFFSET($H$3,0,0,'Données projet'!$E$15+1,1))</f>
        <v>255.59755832175625</v>
      </c>
      <c r="EP21" s="62">
        <f t="shared" si="46"/>
        <v>154.0840647586964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3.78125</v>
      </c>
      <c r="FE21" s="13">
        <f>IF('Données projet'!$A$218&gt;35,FE20+FD21-FM20,IF(A21&lt;'Données projet'!$A$218,$FB$205^A21,IF(A21='Données projet'!$A$218,'Données projet'!$B$218,FE20+FD21-FM20)))</f>
        <v>14.844540905914945</v>
      </c>
      <c r="FF21" s="18">
        <f>FE21*VLOOKUP('Données projet'!$B$16,Paramètres!$A$1:$I$89,3,0)*VLOOKUP('Données projet'!$B$16,Paramètres!$A$1:$I$89,5,0)</f>
        <v>8.8770354617371385</v>
      </c>
      <c r="FG21" s="14">
        <f t="shared" si="47"/>
        <v>3.1727922038815248</v>
      </c>
      <c r="FH21" s="22">
        <f t="shared" si="22"/>
        <v>20.986783184285837</v>
      </c>
      <c r="FI21" s="62">
        <f t="shared" si="23"/>
        <v>299.65344985095254</v>
      </c>
      <c r="FJ21" s="62">
        <f ca="1">AVERAGE(OFFSET($FI$3,0,0,'Données projet'!$E$16+1,1))-AVERAGE(OFFSET($H$3,0,0,'Données projet'!$E$16+1,1))</f>
        <v>197.08445731383847</v>
      </c>
      <c r="FK21" s="62">
        <f t="shared" si="48"/>
        <v>157.12482557016511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428.8489304403459</v>
      </c>
      <c r="T22" s="62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475.47920969424894</v>
      </c>
      <c r="AO22" s="62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3.4425641025641025</v>
      </c>
      <c r="BD22" s="13">
        <f>IF('Données projet'!$A$88&gt;35,BD21+BC22-BL21,IF(A22&lt;'Données projet'!$A$88,$BA$205^A22,IF(A22='Données projet'!$A$88,'Données projet'!$B$88,BD21+BC22-BL21)))</f>
        <v>18.859727670267663</v>
      </c>
      <c r="BE22" s="14">
        <f>BD22*VLOOKUP('Données projet'!$B$11,Paramètres!$A$1:$I$89,3,0)*VLOOKUP('Données projet'!$B$11,Paramètres!$A$1:$I$89,5,0)</f>
        <v>8.8263525496852662</v>
      </c>
      <c r="BF22" s="14">
        <f t="shared" si="37"/>
        <v>3.1567805742066648</v>
      </c>
      <c r="BG22" s="22">
        <f t="shared" si="7"/>
        <v>20.870623524111782</v>
      </c>
      <c r="BH22" s="62">
        <f t="shared" si="8"/>
        <v>300.75951241300066</v>
      </c>
      <c r="BI22" s="62">
        <f ca="1">AVERAGE(OFFSET($BH$3,0,0,'Données projet'!$E$11+1,1))-AVERAGE(OFFSET($H$3,0,0,'Données projet'!$E$11+1,1))</f>
        <v>246.73711856758143</v>
      </c>
      <c r="BJ22" s="62">
        <f t="shared" si="38"/>
        <v>145.54897745089966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8.5743589743589759</v>
      </c>
      <c r="BY22" s="13">
        <f>IF('Données projet'!$A$114&gt;35,BY21+BX22-CG21,IF(A22&lt;'Données projet'!$A$114,$BV$205^A22,IF(A22='Données projet'!$A$114,'Données projet'!$B$114,BY21+BX22-CG21)))</f>
        <v>109.80420214051502</v>
      </c>
      <c r="BZ22" s="14">
        <f>BY22*VLOOKUP('Données projet'!$B$12,Paramètres!$A$1:$I$89,3,0)*VLOOKUP('Données projet'!$B$12,Paramètres!$A$1:$I$89,5,0)</f>
        <v>61.380548996547894</v>
      </c>
      <c r="CA22" s="14">
        <f t="shared" si="39"/>
        <v>17.516851648775006</v>
      </c>
      <c r="CB22" s="22">
        <f t="shared" si="10"/>
        <v>137.41297279060404</v>
      </c>
      <c r="CC22" s="62">
        <f t="shared" si="11"/>
        <v>417.3018616794929</v>
      </c>
      <c r="CD22" s="62">
        <f ca="1">AVERAGE(OFFSET($CC$3,0,0,'Données projet'!$E$12+1,1))-AVERAGE(OFFSET($H$3,0,0,'Données projet'!$E$12+1,1))</f>
        <v>321.13335003345236</v>
      </c>
      <c r="CE22" s="62">
        <f t="shared" si="40"/>
        <v>301.26825075712128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14.926923076923075</v>
      </c>
      <c r="CT22" s="13">
        <f>IF('Données projet'!$A$140&gt;35,CT21+CS22-DB21,IF(A22&lt;'Données projet'!$A$140,$CQ$205^A22,IF(A22='Données projet'!$A$140,'Données projet'!$B$140,CT21+CS22-DB21)))</f>
        <v>114.10000000000001</v>
      </c>
      <c r="CU22" s="18">
        <f>CT22*VLOOKUP('Données projet'!$B$13,Paramètres!$A$1:$I$89,3,0)*VLOOKUP('Données projet'!$B$13,Paramètres!$A$1:$I$89,5,0)</f>
        <v>68.231800000000007</v>
      </c>
      <c r="CV22" s="14">
        <f t="shared" si="41"/>
        <v>19.233699497264624</v>
      </c>
      <c r="CW22" s="22">
        <f t="shared" si="13"/>
        <v>152.3357449577359</v>
      </c>
      <c r="CX22" s="62">
        <f t="shared" si="14"/>
        <v>432.22463384662478</v>
      </c>
      <c r="CY22" s="62">
        <f ca="1">AVERAGE(OFFSET($CX$3,0,0,'Données projet'!$E$13+1,1))-AVERAGE(OFFSET($H$3,0,0,'Données projet'!$E$13+1,1))</f>
        <v>260.02504691866199</v>
      </c>
      <c r="CZ22" s="62">
        <f t="shared" si="42"/>
        <v>270.11268336406368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7.0784743588995704</v>
      </c>
      <c r="DH22" s="23">
        <f>EXP(-LN(2)/2)*DH21+(1-EXP(-LN(2)/2))/(LN(2)/2)*DB22*DE22*VLOOKUP('Données projet'!$B$13,Paramètres!$A$1:$I$89,3,0)*0.475*44/12</f>
        <v>7.1236093347323894</v>
      </c>
      <c r="DI22" s="24">
        <f t="shared" si="15"/>
        <v>14.202083693631959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11.6</v>
      </c>
      <c r="DO22" s="13">
        <f>IF('Données projet'!$A$166&gt;35,DO21+DN22-DW21,IF(A22&lt;'Données projet'!$A$166,$DL$205^A22,IF(A22='Données projet'!$A$166,'Données projet'!$B$166,DO21+DN22-DW21)))</f>
        <v>83.399999999999991</v>
      </c>
      <c r="DP22" s="18">
        <f>DO22*VLOOKUP('Données projet'!$B$14,Paramètres!$A$1:$I$89,3,0)*VLOOKUP('Données projet'!$B$14,Paramètres!$A$1:$I$89,5,0)</f>
        <v>66.353040000000007</v>
      </c>
      <c r="DQ22" s="14">
        <f t="shared" si="43"/>
        <v>18.76498795231873</v>
      </c>
      <c r="DR22" s="22">
        <f t="shared" si="16"/>
        <v>148.24723201695511</v>
      </c>
      <c r="DS22" s="62">
        <f t="shared" si="17"/>
        <v>428.136120905844</v>
      </c>
      <c r="DT22" s="62">
        <f ca="1">AVERAGE(OFFSET($DS$3,0,0,'Données projet'!$E$14+1,1))-AVERAGE(OFFSET($H$3,0,0,'Données projet'!$E$14+1,1))</f>
        <v>312.53381881960331</v>
      </c>
      <c r="DU22" s="62">
        <f t="shared" si="44"/>
        <v>342.06887933351783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1.05</v>
      </c>
      <c r="EJ22" s="13">
        <f>IF('Données projet'!$A$192&gt;35,EJ21+EI22-ER21,IF(A22&lt;'Données projet'!$A$192,$EG$205^A22,IF(A22='Données projet'!$A$192,'Données projet'!$B$192,EJ21+EI22-ER21)))</f>
        <v>18.034675399644545</v>
      </c>
      <c r="EK22" s="18">
        <f>EJ22*VLOOKUP('Données projet'!$B$15,Paramètres!$A$1:$I$89,3,0)*VLOOKUP('Données projet'!$B$15,Paramètres!$A$1:$I$89,5,0)</f>
        <v>17.443138046536202</v>
      </c>
      <c r="EL22" s="14">
        <f t="shared" si="45"/>
        <v>5.7630392471586012</v>
      </c>
      <c r="EM22" s="22">
        <f t="shared" si="19"/>
        <v>40.417425453185118</v>
      </c>
      <c r="EN22" s="62">
        <f t="shared" si="20"/>
        <v>320.30631434207396</v>
      </c>
      <c r="EO22" s="62">
        <f ca="1">AVERAGE(OFFSET($EN$3,0,0,'Données projet'!$E$15+1,1))-AVERAGE(OFFSET($H$3,0,0,'Données projet'!$E$15+1,1))</f>
        <v>255.59755832175625</v>
      </c>
      <c r="EP22" s="62">
        <f t="shared" si="46"/>
        <v>154.0840647586964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3.78125</v>
      </c>
      <c r="FE22" s="13">
        <f>IF('Données projet'!$A$218&gt;35,FE21+FD22-FM21,IF(A22&lt;'Données projet'!$A$218,$FB$205^A22,IF(A22='Données projet'!$A$218,'Données projet'!$B$218,FE21+FD22-FM21)))</f>
        <v>17.244627340598527</v>
      </c>
      <c r="FF22" s="18">
        <f>FE22*VLOOKUP('Données projet'!$B$16,Paramètres!$A$1:$I$89,3,0)*VLOOKUP('Données projet'!$B$16,Paramètres!$A$1:$I$89,5,0)</f>
        <v>10.312287149677919</v>
      </c>
      <c r="FG22" s="14">
        <f t="shared" si="47"/>
        <v>3.6220341505011158</v>
      </c>
      <c r="FH22" s="22">
        <f t="shared" si="22"/>
        <v>24.268942931145151</v>
      </c>
      <c r="FI22" s="62">
        <f t="shared" si="23"/>
        <v>304.157831820034</v>
      </c>
      <c r="FJ22" s="62">
        <f ca="1">AVERAGE(OFFSET($FI$3,0,0,'Données projet'!$E$16+1,1))-AVERAGE(OFFSET($H$3,0,0,'Données projet'!$E$16+1,1))</f>
        <v>197.08445731383847</v>
      </c>
      <c r="FK22" s="62">
        <f t="shared" si="48"/>
        <v>157.12482557016511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428.8489304403459</v>
      </c>
      <c r="T23" s="62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475.47920969424894</v>
      </c>
      <c r="AO23" s="62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3.4425641025641025</v>
      </c>
      <c r="BD23" s="13">
        <f>IF('Données projet'!$A$88&gt;35,BD22+BC23-BL22,IF(A23&lt;'Données projet'!$A$88,$BA$205^A23,IF(A23='Données projet'!$A$88,'Données projet'!$B$88,BD22+BC23-BL22)))</f>
        <v>22.012474220583886</v>
      </c>
      <c r="BE23" s="14">
        <f>BD23*VLOOKUP('Données projet'!$B$11,Paramètres!$A$1:$I$89,3,0)*VLOOKUP('Données projet'!$B$11,Paramètres!$A$1:$I$89,5,0)</f>
        <v>10.301837935233259</v>
      </c>
      <c r="BF23" s="14">
        <f t="shared" si="37"/>
        <v>3.6187910342764393</v>
      </c>
      <c r="BG23" s="22">
        <f t="shared" si="7"/>
        <v>24.245095455229389</v>
      </c>
      <c r="BH23" s="62">
        <f t="shared" si="8"/>
        <v>305.35620656634052</v>
      </c>
      <c r="BI23" s="62">
        <f ca="1">AVERAGE(OFFSET($BH$3,0,0,'Données projet'!$E$11+1,1))-AVERAGE(OFFSET($H$3,0,0,'Données projet'!$E$11+1,1))</f>
        <v>246.73711856758143</v>
      </c>
      <c r="BJ23" s="62">
        <f t="shared" si="38"/>
        <v>145.54897745089966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8.5743589743589759</v>
      </c>
      <c r="BY23" s="13">
        <f>IF('Données projet'!$A$114&gt;35,BY22+BX23-CG22,IF(A23&lt;'Données projet'!$A$114,$BV$205^A23,IF(A23='Données projet'!$A$114,'Données projet'!$B$114,BY22+BX23-CG22)))</f>
        <v>140.61121422903264</v>
      </c>
      <c r="BZ23" s="14">
        <f>BY23*VLOOKUP('Données projet'!$B$12,Paramètres!$A$1:$I$89,3,0)*VLOOKUP('Données projet'!$B$12,Paramètres!$A$1:$I$89,5,0)</f>
        <v>78.601668754029248</v>
      </c>
      <c r="CA23" s="14">
        <f t="shared" si="39"/>
        <v>21.794934776688162</v>
      </c>
      <c r="CB23" s="22">
        <f t="shared" si="10"/>
        <v>174.8574178159995</v>
      </c>
      <c r="CC23" s="62">
        <f t="shared" si="11"/>
        <v>455.96852892711064</v>
      </c>
      <c r="CD23" s="62">
        <f ca="1">AVERAGE(OFFSET($CC$3,0,0,'Données projet'!$E$12+1,1))-AVERAGE(OFFSET($H$3,0,0,'Données projet'!$E$12+1,1))</f>
        <v>321.13335003345236</v>
      </c>
      <c r="CE23" s="62">
        <f t="shared" si="40"/>
        <v>301.26825075712128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14.926923076923075</v>
      </c>
      <c r="CT23" s="13">
        <f>IF('Données projet'!$A$140&gt;35,CT22+CS23-DB22,IF(A23&lt;'Données projet'!$A$140,$CQ$205^A23,IF(A23='Données projet'!$A$140,'Données projet'!$B$140,CT22+CS23-DB22)))</f>
        <v>129.02692307692308</v>
      </c>
      <c r="CU23" s="18">
        <f>CT23*VLOOKUP('Données projet'!$B$13,Paramètres!$A$1:$I$89,3,0)*VLOOKUP('Données projet'!$B$13,Paramètres!$A$1:$I$89,5,0)</f>
        <v>77.158100000000005</v>
      </c>
      <c r="CV23" s="14">
        <f t="shared" si="41"/>
        <v>21.440868838738705</v>
      </c>
      <c r="CW23" s="22">
        <f t="shared" si="13"/>
        <v>171.72653739413659</v>
      </c>
      <c r="CX23" s="62">
        <f t="shared" si="14"/>
        <v>452.83764850524773</v>
      </c>
      <c r="CY23" s="62">
        <f ca="1">AVERAGE(OFFSET($CX$3,0,0,'Données projet'!$E$13+1,1))-AVERAGE(OFFSET($H$3,0,0,'Données projet'!$E$13+1,1))</f>
        <v>260.02504691866199</v>
      </c>
      <c r="CZ23" s="62">
        <f t="shared" si="42"/>
        <v>270.11268336406368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6.8849131053146735</v>
      </c>
      <c r="DH23" s="23">
        <f>EXP(-LN(2)/2)*DH22+(1-EXP(-LN(2)/2))/(LN(2)/2)*DB23*DE23*VLOOKUP('Données projet'!$B$13,Paramètres!$A$1:$I$89,3,0)*0.475*44/12</f>
        <v>5.0371524671130636</v>
      </c>
      <c r="DI23" s="24">
        <f t="shared" si="15"/>
        <v>11.922065572427737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95</v>
      </c>
      <c r="DM23" s="13">
        <f>VLOOKUP(A23,'Données projet'!$A$165:$I$185,9,0)</f>
        <v>11.6</v>
      </c>
      <c r="DN23" s="13">
        <f t="array" ref="DN23">INDEX(DM:DM,MIN(IF(ISNUMBER(DM23:DM219),ROW(DM23:DM219),"")))</f>
        <v>11.6</v>
      </c>
      <c r="DO23" s="13">
        <f>IF('Données projet'!$A$166&gt;35,DO22+DN23-DW22,IF(A23&lt;'Données projet'!$A$166,$DL$205^A23,IF(A23='Données projet'!$A$166,'Données projet'!$B$166,DO22+DN23-DW22)))</f>
        <v>94.999999999999986</v>
      </c>
      <c r="DP23" s="18">
        <f>DO23*VLOOKUP('Données projet'!$B$14,Paramètres!$A$1:$I$89,3,0)*VLOOKUP('Données projet'!$B$14,Paramètres!$A$1:$I$89,5,0)</f>
        <v>75.581999999999994</v>
      </c>
      <c r="DQ23" s="14">
        <f t="shared" si="43"/>
        <v>21.053414706764119</v>
      </c>
      <c r="DR23" s="22">
        <f t="shared" si="16"/>
        <v>168.30668061428082</v>
      </c>
      <c r="DS23" s="62">
        <f t="shared" si="17"/>
        <v>449.41779172539196</v>
      </c>
      <c r="DT23" s="62">
        <f ca="1">AVERAGE(OFFSET($DS$3,0,0,'Données projet'!$E$14+1,1))-AVERAGE(OFFSET($H$3,0,0,'Données projet'!$E$14+1,1))</f>
        <v>312.53381881960331</v>
      </c>
      <c r="DU23" s="62">
        <f t="shared" si="44"/>
        <v>342.06887933351783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21</v>
      </c>
      <c r="EH23" s="13">
        <f>VLOOKUP(A23,'Données projet'!$A$191:$I$211,9,0)</f>
        <v>1.05</v>
      </c>
      <c r="EI23" s="13">
        <f t="array" ref="EI23">INDEX(EH:EH,MIN(IF(ISNUMBER(EH23:EH219),ROW(EH23:EH219),"")))</f>
        <v>1.05</v>
      </c>
      <c r="EJ23" s="13">
        <f>IF('Données projet'!$A$192&gt;35,EJ22+EI23-ER22,IF(A23&lt;'Données projet'!$A$192,$EG$205^A23,IF(A23='Données projet'!$A$192,'Données projet'!$B$192,EJ22+EI23-ER22)))</f>
        <v>21</v>
      </c>
      <c r="EK23" s="18">
        <f>EJ23*VLOOKUP('Données projet'!$B$15,Paramètres!$A$1:$I$89,3,0)*VLOOKUP('Données projet'!$B$15,Paramètres!$A$1:$I$89,5,0)</f>
        <v>20.311199999999999</v>
      </c>
      <c r="EL23" s="14">
        <f t="shared" si="45"/>
        <v>6.5927593849088089</v>
      </c>
      <c r="EM23" s="22">
        <f t="shared" si="19"/>
        <v>46.85772926204951</v>
      </c>
      <c r="EN23" s="62">
        <f t="shared" si="20"/>
        <v>327.96884037316067</v>
      </c>
      <c r="EO23" s="62">
        <f ca="1">AVERAGE(OFFSET($EN$3,0,0,'Données projet'!$E$15+1,1))-AVERAGE(OFFSET($H$3,0,0,'Données projet'!$E$15+1,1))</f>
        <v>255.59755832175625</v>
      </c>
      <c r="EP23" s="62">
        <f t="shared" si="46"/>
        <v>154.0840647586964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3.78125</v>
      </c>
      <c r="FE23" s="13">
        <f>IF('Données projet'!$A$218&gt;35,FE22+FD23-FM22,IF(A23&lt;'Données projet'!$A$218,$FB$205^A23,IF(A23='Données projet'!$A$218,'Données projet'!$B$218,FE22+FD23-FM22)))</f>
        <v>20.032763155216571</v>
      </c>
      <c r="FF23" s="18">
        <f>FE23*VLOOKUP('Données projet'!$B$16,Paramètres!$A$1:$I$89,3,0)*VLOOKUP('Données projet'!$B$16,Paramètres!$A$1:$I$89,5,0)</f>
        <v>11.97959236681951</v>
      </c>
      <c r="FG23" s="14">
        <f t="shared" si="47"/>
        <v>4.1348851561557334</v>
      </c>
      <c r="FH23" s="22">
        <f t="shared" si="22"/>
        <v>28.066048352515214</v>
      </c>
      <c r="FI23" s="62">
        <f t="shared" si="23"/>
        <v>309.17715946362637</v>
      </c>
      <c r="FJ23" s="62">
        <f ca="1">AVERAGE(OFFSET($FI$3,0,0,'Données projet'!$E$16+1,1))-AVERAGE(OFFSET($H$3,0,0,'Données projet'!$E$16+1,1))</f>
        <v>197.08445731383847</v>
      </c>
      <c r="FK23" s="62">
        <f t="shared" si="48"/>
        <v>157.12482557016511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428.8489304403459</v>
      </c>
      <c r="T24" s="62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475.47920969424894</v>
      </c>
      <c r="AO24" s="62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3.4425641025641025</v>
      </c>
      <c r="BD24" s="13">
        <f>IF('Données projet'!$A$88&gt;35,BD23+BC24-BL23,IF(A24&lt;'Données projet'!$A$88,$BA$205^A24,IF(A24='Données projet'!$A$88,'Données projet'!$B$88,BD23+BC24-BL23)))</f>
        <v>25.692259707215236</v>
      </c>
      <c r="BE24" s="14">
        <f>BD24*VLOOKUP('Données projet'!$B$11,Paramètres!$A$1:$I$89,3,0)*VLOOKUP('Données projet'!$B$11,Paramètres!$A$1:$I$89,5,0)</f>
        <v>12.023977542976729</v>
      </c>
      <c r="BF24" s="14">
        <f t="shared" si="37"/>
        <v>4.1484190116858626</v>
      </c>
      <c r="BG24" s="22">
        <f t="shared" si="7"/>
        <v>28.166923999370677</v>
      </c>
      <c r="BH24" s="62">
        <f t="shared" si="8"/>
        <v>310.500257332704</v>
      </c>
      <c r="BI24" s="62">
        <f ca="1">AVERAGE(OFFSET($BH$3,0,0,'Données projet'!$E$11+1,1))-AVERAGE(OFFSET($H$3,0,0,'Données projet'!$E$11+1,1))</f>
        <v>246.73711856758143</v>
      </c>
      <c r="BJ24" s="62">
        <f t="shared" si="38"/>
        <v>145.54897745089966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>
        <f>VLOOKUP(A24,'Données projet'!$A$113:$I$133,2,0)</f>
        <v>180.06153846153848</v>
      </c>
      <c r="BW24" s="13">
        <f>VLOOKUP(A24,'Données projet'!$A$113:$I$133,9,0)</f>
        <v>8.5743589743589759</v>
      </c>
      <c r="BX24" s="13">
        <f t="array" ref="BX24">INDEX(BW:BW,MIN(IF(ISNUMBER(BW24:BW220),ROW(BW24:BW220),"")))</f>
        <v>8.5743589743589759</v>
      </c>
      <c r="BY24" s="13">
        <f>IF('Données projet'!$A$114&gt;35,BY23+BX24-CG23,IF(A24&lt;'Données projet'!$A$114,$BV$205^A24,IF(A24='Données projet'!$A$114,'Données projet'!$B$114,BY23+BX24-CG23)))</f>
        <v>180.06153846153848</v>
      </c>
      <c r="BZ24" s="14">
        <f>BY24*VLOOKUP('Données projet'!$B$12,Paramètres!$A$1:$I$89,3,0)*VLOOKUP('Données projet'!$B$12,Paramètres!$A$1:$I$89,5,0)</f>
        <v>100.65440000000001</v>
      </c>
      <c r="CA24" s="14">
        <f t="shared" si="39"/>
        <v>27.117840091618859</v>
      </c>
      <c r="CB24" s="22">
        <f t="shared" si="10"/>
        <v>222.53665149290285</v>
      </c>
      <c r="CC24" s="62">
        <f t="shared" si="11"/>
        <v>504.86998482623619</v>
      </c>
      <c r="CD24" s="62">
        <f ca="1">AVERAGE(OFFSET($CC$3,0,0,'Données projet'!$E$12+1,1))-AVERAGE(OFFSET($H$3,0,0,'Données projet'!$E$12+1,1))</f>
        <v>321.13335003345236</v>
      </c>
      <c r="CE24" s="62">
        <f t="shared" si="40"/>
        <v>301.26825075712128</v>
      </c>
      <c r="CF24" s="16">
        <f>IF(ISNA(VLOOKUP(A24,'Données projet'!$A$113:$I$133,3,0)),0,VLOOKUP(A24,'Données projet'!$A$113:$I$133,3,0))</f>
        <v>1</v>
      </c>
      <c r="CG24" s="16">
        <f>IF(ISNA(VLOOKUP(A24,'Données projet'!$A$113:$I$133,4,0)),0,VLOOKUP(A24,'Données projet'!$A$113:$I$133,4,0))</f>
        <v>61.169230769230765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0.27500000000000002</v>
      </c>
      <c r="CJ24" s="17">
        <f>IF(ISNA(VLOOKUP(A24,'Données projet'!$A$113:$I$133,7,0)),0%,VLOOKUP(A24,'Données projet'!$A$113:$I$133,7,0))</f>
        <v>0.5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12.424889043448148</v>
      </c>
      <c r="CM24" s="23">
        <f>EXP(-LN(2)/2)*CM23+(1-EXP(-LN(2)/2))/(LN(2)/2)*CG24*CJ24*VLOOKUP('Données projet'!$B$12,Paramètres!$A$1:$I$89,3,0)*0.475*44/12</f>
        <v>19.357549144350479</v>
      </c>
      <c r="CN24" s="24">
        <f t="shared" si="12"/>
        <v>31.782438187798626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14.926923076923075</v>
      </c>
      <c r="CT24" s="13">
        <f>IF('Données projet'!$A$140&gt;35,CT23+CS24-DB23,IF(A24&lt;'Données projet'!$A$140,$CQ$205^A24,IF(A24='Données projet'!$A$140,'Données projet'!$B$140,CT23+CS24-DB23)))</f>
        <v>143.95384615384614</v>
      </c>
      <c r="CU24" s="18">
        <f>CT24*VLOOKUP('Données projet'!$B$13,Paramètres!$A$1:$I$89,3,0)*VLOOKUP('Données projet'!$B$13,Paramètres!$A$1:$I$89,5,0)</f>
        <v>86.084400000000002</v>
      </c>
      <c r="CV24" s="14">
        <f t="shared" si="41"/>
        <v>23.618445758177199</v>
      </c>
      <c r="CW24" s="22">
        <f t="shared" si="13"/>
        <v>191.06578969549196</v>
      </c>
      <c r="CX24" s="62">
        <f t="shared" si="14"/>
        <v>473.39912302882527</v>
      </c>
      <c r="CY24" s="62">
        <f ca="1">AVERAGE(OFFSET($CX$3,0,0,'Données projet'!$E$13+1,1))-AVERAGE(OFFSET($H$3,0,0,'Données projet'!$E$13+1,1))</f>
        <v>260.02504691866199</v>
      </c>
      <c r="CZ24" s="62">
        <f t="shared" si="42"/>
        <v>270.11268336406368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6.696644794387999</v>
      </c>
      <c r="DH24" s="23">
        <f>EXP(-LN(2)/2)*DH23+(1-EXP(-LN(2)/2))/(LN(2)/2)*DB24*DE24*VLOOKUP('Données projet'!$B$13,Paramètres!$A$1:$I$89,3,0)*0.475*44/12</f>
        <v>3.5618046673661952</v>
      </c>
      <c r="DI24" s="24">
        <f t="shared" si="15"/>
        <v>10.258449461754195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12.6</v>
      </c>
      <c r="DO24" s="13">
        <f>IF('Données projet'!$A$166&gt;35,DO23+DN24-DW23,IF(A24&lt;'Données projet'!$A$166,$DL$205^A24,IF(A24='Données projet'!$A$166,'Données projet'!$B$166,DO23+DN24-DW23)))</f>
        <v>64.59999999999998</v>
      </c>
      <c r="DP24" s="18">
        <f>DO24*VLOOKUP('Données projet'!$B$14,Paramètres!$A$1:$I$89,3,0)*VLOOKUP('Données projet'!$B$14,Paramètres!$A$1:$I$89,5,0)</f>
        <v>51.395759999999989</v>
      </c>
      <c r="DQ24" s="14">
        <f t="shared" si="43"/>
        <v>14.973641136922506</v>
      </c>
      <c r="DR24" s="22">
        <f t="shared" si="16"/>
        <v>115.59337364680665</v>
      </c>
      <c r="DS24" s="62">
        <f t="shared" si="17"/>
        <v>397.92670698013995</v>
      </c>
      <c r="DT24" s="62">
        <f ca="1">AVERAGE(OFFSET($DS$3,0,0,'Données projet'!$E$14+1,1))-AVERAGE(OFFSET($H$3,0,0,'Données projet'!$E$14+1,1))</f>
        <v>312.53381881960331</v>
      </c>
      <c r="DU24" s="62">
        <f t="shared" si="44"/>
        <v>342.06887933351783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3</v>
      </c>
      <c r="EJ24" s="13">
        <f>IF('Données projet'!$A$192&gt;35,EJ23+EI24-ER23,IF(A24&lt;'Données projet'!$A$192,$EG$205^A24,IF(A24='Données projet'!$A$192,'Données projet'!$B$192,EJ23+EI24-ER23)))</f>
        <v>24</v>
      </c>
      <c r="EK24" s="18">
        <f>EJ24*VLOOKUP('Données projet'!$B$15,Paramètres!$A$1:$I$89,3,0)*VLOOKUP('Données projet'!$B$15,Paramètres!$A$1:$I$89,5,0)</f>
        <v>23.212799999999998</v>
      </c>
      <c r="EL24" s="14">
        <f t="shared" si="45"/>
        <v>7.4183771657915161</v>
      </c>
      <c r="EM24" s="22">
        <f t="shared" si="19"/>
        <v>53.349300230420219</v>
      </c>
      <c r="EN24" s="62">
        <f t="shared" si="20"/>
        <v>335.68263356375354</v>
      </c>
      <c r="EO24" s="62">
        <f ca="1">AVERAGE(OFFSET($EN$3,0,0,'Données projet'!$E$15+1,1))-AVERAGE(OFFSET($H$3,0,0,'Données projet'!$E$15+1,1))</f>
        <v>255.59755832175625</v>
      </c>
      <c r="EP24" s="62">
        <f t="shared" si="46"/>
        <v>154.0840647586964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3.78125</v>
      </c>
      <c r="FE24" s="13">
        <f>IF('Données projet'!$A$218&gt;35,FE23+FD24-FM23,IF(A24&lt;'Données projet'!$A$218,$FB$205^A24,IF(A24='Données projet'!$A$218,'Données projet'!$B$218,FE23+FD24-FM23)))</f>
        <v>23.27168872407039</v>
      </c>
      <c r="FF24" s="18">
        <f>FE24*VLOOKUP('Données projet'!$B$16,Paramètres!$A$1:$I$89,3,0)*VLOOKUP('Données projet'!$B$16,Paramètres!$A$1:$I$89,5,0)</f>
        <v>13.916469856994095</v>
      </c>
      <c r="FG24" s="14">
        <f t="shared" si="47"/>
        <v>4.7203517537877362</v>
      </c>
      <c r="FH24" s="22">
        <f t="shared" si="22"/>
        <v>32.459130972111687</v>
      </c>
      <c r="FI24" s="62">
        <f t="shared" si="23"/>
        <v>314.79246430544498</v>
      </c>
      <c r="FJ24" s="62">
        <f ca="1">AVERAGE(OFFSET($FI$3,0,0,'Données projet'!$E$16+1,1))-AVERAGE(OFFSET($H$3,0,0,'Données projet'!$E$16+1,1))</f>
        <v>197.08445731383847</v>
      </c>
      <c r="FK24" s="62">
        <f t="shared" si="48"/>
        <v>157.12482557016511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428.8489304403459</v>
      </c>
      <c r="T25" s="62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475.47920969424894</v>
      </c>
      <c r="AO25" s="62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3.4425641025641025</v>
      </c>
      <c r="BD25" s="13">
        <f>IF('Données projet'!$A$88&gt;35,BD24+BC25-BL24,IF(A25&lt;'Données projet'!$A$88,$BA$205^A25,IF(A25='Données projet'!$A$88,'Données projet'!$B$88,BD24+BC25-BL24)))</f>
        <v>29.987188275534368</v>
      </c>
      <c r="BE25" s="14">
        <f>BD25*VLOOKUP('Données projet'!$B$11,Paramètres!$A$1:$I$89,3,0)*VLOOKUP('Données projet'!$B$11,Paramètres!$A$1:$I$89,5,0)</f>
        <v>14.034004112950084</v>
      </c>
      <c r="BF25" s="14">
        <f t="shared" si="37"/>
        <v>4.7555606647394173</v>
      </c>
      <c r="BG25" s="22">
        <f t="shared" si="7"/>
        <v>32.725158654475884</v>
      </c>
      <c r="BH25" s="62">
        <f t="shared" si="8"/>
        <v>316.28071421003142</v>
      </c>
      <c r="BI25" s="62">
        <f ca="1">AVERAGE(OFFSET($BH$3,0,0,'Données projet'!$E$11+1,1))-AVERAGE(OFFSET($H$3,0,0,'Données projet'!$E$11+1,1))</f>
        <v>246.73711856758143</v>
      </c>
      <c r="BJ25" s="62">
        <f t="shared" si="38"/>
        <v>145.54897745089966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16.695604395604395</v>
      </c>
      <c r="BY25" s="13">
        <f>IF('Données projet'!$A$114&gt;35,BY24+BX25-CG24,IF(A25&lt;'Données projet'!$A$114,$BV$205^A25,IF(A25='Données projet'!$A$114,'Données projet'!$B$114,BY24+BX25-CG24)))</f>
        <v>135.58791208791212</v>
      </c>
      <c r="BZ25" s="14">
        <f>BY25*VLOOKUP('Données projet'!$B$12,Paramètres!$A$1:$I$89,3,0)*VLOOKUP('Données projet'!$B$12,Paramètres!$A$1:$I$89,5,0)</f>
        <v>75.793642857142871</v>
      </c>
      <c r="CA25" s="14">
        <f t="shared" si="39"/>
        <v>21.105497321503712</v>
      </c>
      <c r="CB25" s="22">
        <f t="shared" si="10"/>
        <v>168.76600247780945</v>
      </c>
      <c r="CC25" s="62">
        <f t="shared" si="11"/>
        <v>452.32155803336502</v>
      </c>
      <c r="CD25" s="62">
        <f ca="1">AVERAGE(OFFSET($CC$3,0,0,'Données projet'!$E$12+1,1))-AVERAGE(OFFSET($H$3,0,0,'Données projet'!$E$12+1,1))</f>
        <v>321.13335003345236</v>
      </c>
      <c r="CE25" s="62">
        <f t="shared" si="40"/>
        <v>301.26825075712128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12.085129799158542</v>
      </c>
      <c r="CM25" s="23">
        <f>EXP(-LN(2)/2)*CM24+(1-EXP(-LN(2)/2))/(LN(2)/2)*CG25*CJ25*VLOOKUP('Données projet'!$B$12,Paramètres!$A$1:$I$89,3,0)*0.475*44/12</f>
        <v>13.687854267122075</v>
      </c>
      <c r="CN25" s="24">
        <f t="shared" si="12"/>
        <v>25.772984066280618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14.926923076923075</v>
      </c>
      <c r="CT25" s="13">
        <f>IF('Données projet'!$A$140&gt;35,CT24+CS25-DB24,IF(A25&lt;'Données projet'!$A$140,$CQ$205^A25,IF(A25='Données projet'!$A$140,'Données projet'!$B$140,CT24+CS25-DB24)))</f>
        <v>158.8807692307692</v>
      </c>
      <c r="CU25" s="18">
        <f>CT25*VLOOKUP('Données projet'!$B$13,Paramètres!$A$1:$I$89,3,0)*VLOOKUP('Données projet'!$B$13,Paramètres!$A$1:$I$89,5,0)</f>
        <v>95.0107</v>
      </c>
      <c r="CV25" s="14">
        <f t="shared" si="41"/>
        <v>25.769848277327686</v>
      </c>
      <c r="CW25" s="22">
        <f t="shared" si="13"/>
        <v>210.3594549163457</v>
      </c>
      <c r="CX25" s="62">
        <f t="shared" si="14"/>
        <v>493.91501047190127</v>
      </c>
      <c r="CY25" s="62">
        <f ca="1">AVERAGE(OFFSET($CX$3,0,0,'Données projet'!$E$13+1,1))-AVERAGE(OFFSET($H$3,0,0,'Données projet'!$E$13+1,1))</f>
        <v>260.02504691866199</v>
      </c>
      <c r="CZ25" s="62">
        <f t="shared" si="42"/>
        <v>270.11268336406368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6.513524690324215</v>
      </c>
      <c r="DH25" s="23">
        <f>EXP(-LN(2)/2)*DH24+(1-EXP(-LN(2)/2))/(LN(2)/2)*DB25*DE25*VLOOKUP('Données projet'!$B$13,Paramètres!$A$1:$I$89,3,0)*0.475*44/12</f>
        <v>2.5185762335565318</v>
      </c>
      <c r="DI25" s="24">
        <f t="shared" si="15"/>
        <v>9.0321009238807477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12.6</v>
      </c>
      <c r="DO25" s="13">
        <f>IF('Données projet'!$A$166&gt;35,DO24+DN25-DW24,IF(A25&lt;'Données projet'!$A$166,$DL$205^A25,IF(A25='Données projet'!$A$166,'Données projet'!$B$166,DO24+DN25-DW24)))</f>
        <v>77.199999999999974</v>
      </c>
      <c r="DP25" s="18">
        <f>DO25*VLOOKUP('Données projet'!$B$14,Paramètres!$A$1:$I$89,3,0)*VLOOKUP('Données projet'!$B$14,Paramètres!$A$1:$I$89,5,0)</f>
        <v>61.420319999999982</v>
      </c>
      <c r="DQ25" s="14">
        <f t="shared" si="43"/>
        <v>17.526880037631354</v>
      </c>
      <c r="DR25" s="22">
        <f t="shared" si="16"/>
        <v>137.4997067322079</v>
      </c>
      <c r="DS25" s="62">
        <f t="shared" si="17"/>
        <v>421.05526228776341</v>
      </c>
      <c r="DT25" s="62">
        <f ca="1">AVERAGE(OFFSET($DS$3,0,0,'Données projet'!$E$14+1,1))-AVERAGE(OFFSET($H$3,0,0,'Données projet'!$E$14+1,1))</f>
        <v>312.53381881960331</v>
      </c>
      <c r="DU25" s="62">
        <f t="shared" si="44"/>
        <v>342.06887933351783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3</v>
      </c>
      <c r="EJ25" s="13">
        <f>IF('Données projet'!$A$192&gt;35,EJ24+EI25-ER24,IF(A25&lt;'Données projet'!$A$192,$EG$205^A25,IF(A25='Données projet'!$A$192,'Données projet'!$B$192,EJ24+EI25-ER24)))</f>
        <v>27</v>
      </c>
      <c r="EK25" s="18">
        <f>EJ25*VLOOKUP('Données projet'!$B$15,Paramètres!$A$1:$I$89,3,0)*VLOOKUP('Données projet'!$B$15,Paramètres!$A$1:$I$89,5,0)</f>
        <v>26.1144</v>
      </c>
      <c r="EL25" s="14">
        <f t="shared" si="45"/>
        <v>8.232036337964395</v>
      </c>
      <c r="EM25" s="22">
        <f t="shared" si="19"/>
        <v>59.820043288621314</v>
      </c>
      <c r="EN25" s="62">
        <f t="shared" si="20"/>
        <v>343.37559884417686</v>
      </c>
      <c r="EO25" s="62">
        <f ca="1">AVERAGE(OFFSET($EN$3,0,0,'Données projet'!$E$15+1,1))-AVERAGE(OFFSET($H$3,0,0,'Données projet'!$E$15+1,1))</f>
        <v>255.59755832175625</v>
      </c>
      <c r="EP25" s="62">
        <f t="shared" si="46"/>
        <v>154.0840647586964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3.78125</v>
      </c>
      <c r="FE25" s="13">
        <f>IF('Données projet'!$A$218&gt;35,FE24+FD25-FM24,IF(A25&lt;'Données projet'!$A$218,$FB$205^A25,IF(A25='Données projet'!$A$218,'Données projet'!$B$218,FE24+FD25-FM24)))</f>
        <v>27.034288374192581</v>
      </c>
      <c r="FF25" s="18">
        <f>FE25*VLOOKUP('Données projet'!$B$16,Paramètres!$A$1:$I$89,3,0)*VLOOKUP('Données projet'!$B$16,Paramètres!$A$1:$I$89,5,0)</f>
        <v>16.166504447767164</v>
      </c>
      <c r="FG25" s="14">
        <f t="shared" si="47"/>
        <v>5.3887157292181262</v>
      </c>
      <c r="FH25" s="22">
        <f t="shared" si="22"/>
        <v>37.542008474916045</v>
      </c>
      <c r="FI25" s="62">
        <f t="shared" si="23"/>
        <v>321.09756403047157</v>
      </c>
      <c r="FJ25" s="62">
        <f ca="1">AVERAGE(OFFSET($FI$3,0,0,'Données projet'!$E$16+1,1))-AVERAGE(OFFSET($H$3,0,0,'Données projet'!$E$16+1,1))</f>
        <v>197.08445731383847</v>
      </c>
      <c r="FK25" s="62">
        <f t="shared" si="48"/>
        <v>157.12482557016511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428.8489304403459</v>
      </c>
      <c r="T26" s="62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475.47920969424894</v>
      </c>
      <c r="AO26" s="62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3.4425641025641025</v>
      </c>
      <c r="BD26" s="13">
        <f>IF('Données projet'!$A$88&gt;35,BD25+BC26-BL25,IF(A26&lt;'Données projet'!$A$88,$BA$205^A26,IF(A26='Données projet'!$A$88,'Données projet'!$B$88,BD25+BC26-BL25)))</f>
        <v>35.000092281482424</v>
      </c>
      <c r="BE26" s="14">
        <f>BD26*VLOOKUP('Données projet'!$B$11,Paramètres!$A$1:$I$89,3,0)*VLOOKUP('Données projet'!$B$11,Paramètres!$A$1:$I$89,5,0)</f>
        <v>16.380043187733772</v>
      </c>
      <c r="BF26" s="14">
        <f t="shared" si="37"/>
        <v>5.4515605034859353</v>
      </c>
      <c r="BG26" s="22">
        <f t="shared" si="7"/>
        <v>38.023376428874322</v>
      </c>
      <c r="BH26" s="62">
        <f t="shared" si="8"/>
        <v>322.80115420665209</v>
      </c>
      <c r="BI26" s="62">
        <f ca="1">AVERAGE(OFFSET($BH$3,0,0,'Données projet'!$E$11+1,1))-AVERAGE(OFFSET($H$3,0,0,'Données projet'!$E$11+1,1))</f>
        <v>246.73711856758143</v>
      </c>
      <c r="BJ26" s="62">
        <f t="shared" si="38"/>
        <v>145.54897745089966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16.695604395604395</v>
      </c>
      <c r="BY26" s="13">
        <f>IF('Données projet'!$A$114&gt;35,BY25+BX26-CG25,IF(A26&lt;'Données projet'!$A$114,$BV$205^A26,IF(A26='Données projet'!$A$114,'Données projet'!$B$114,BY25+BX26-CG25)))</f>
        <v>152.28351648351651</v>
      </c>
      <c r="BZ26" s="14">
        <f>BY26*VLOOKUP('Données projet'!$B$12,Paramètres!$A$1:$I$89,3,0)*VLOOKUP('Données projet'!$B$12,Paramètres!$A$1:$I$89,5,0)</f>
        <v>85.126485714285721</v>
      </c>
      <c r="CA26" s="14">
        <f t="shared" si="39"/>
        <v>23.386069605974605</v>
      </c>
      <c r="CB26" s="22">
        <f t="shared" si="10"/>
        <v>188.99270051612007</v>
      </c>
      <c r="CC26" s="62">
        <f t="shared" si="11"/>
        <v>473.77047829389784</v>
      </c>
      <c r="CD26" s="62">
        <f ca="1">AVERAGE(OFFSET($CC$3,0,0,'Données projet'!$E$12+1,1))-AVERAGE(OFFSET($H$3,0,0,'Données projet'!$E$12+1,1))</f>
        <v>321.13335003345236</v>
      </c>
      <c r="CE26" s="62">
        <f t="shared" si="40"/>
        <v>301.26825075712128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11.754661289271196</v>
      </c>
      <c r="CM26" s="23">
        <f>EXP(-LN(2)/2)*CM25+(1-EXP(-LN(2)/2))/(LN(2)/2)*CG26*CJ26*VLOOKUP('Données projet'!$B$12,Paramètres!$A$1:$I$89,3,0)*0.475*44/12</f>
        <v>9.6787745721752412</v>
      </c>
      <c r="CN26" s="24">
        <f t="shared" si="12"/>
        <v>21.433435861446437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>
        <f>VLOOKUP(A26,'Données projet'!$A$139:$I$159,2,0)</f>
        <v>173.80769230769229</v>
      </c>
      <c r="CR26" s="13">
        <f>VLOOKUP(A26,'Données projet'!$A$139:$I$159,9,0)</f>
        <v>14.926923076923075</v>
      </c>
      <c r="CS26" s="13">
        <f t="array" ref="CS26">INDEX(CR:CR,MIN(IF(ISNUMBER(CR26:CR222),ROW(CR26:CR222),"")))</f>
        <v>14.926923076923075</v>
      </c>
      <c r="CT26" s="13">
        <f>IF('Données projet'!$A$140&gt;35,CT25+CS26-DB25,IF(A26&lt;'Données projet'!$A$140,$CQ$205^A26,IF(A26='Données projet'!$A$140,'Données projet'!$B$140,CT25+CS26-DB25)))</f>
        <v>173.80769230769226</v>
      </c>
      <c r="CU26" s="18">
        <f>CT26*VLOOKUP('Données projet'!$B$13,Paramètres!$A$1:$I$89,3,0)*VLOOKUP('Données projet'!$B$13,Paramètres!$A$1:$I$89,5,0)</f>
        <v>103.93699999999998</v>
      </c>
      <c r="CV26" s="14">
        <f t="shared" si="41"/>
        <v>27.897815230264825</v>
      </c>
      <c r="CW26" s="22">
        <f t="shared" si="13"/>
        <v>229.61230319271121</v>
      </c>
      <c r="CX26" s="62">
        <f t="shared" si="14"/>
        <v>514.39008097048895</v>
      </c>
      <c r="CY26" s="62">
        <f ca="1">AVERAGE(OFFSET($CX$3,0,0,'Données projet'!$E$13+1,1))-AVERAGE(OFFSET($H$3,0,0,'Données projet'!$E$13+1,1))</f>
        <v>260.02504691866199</v>
      </c>
      <c r="CZ26" s="62">
        <f t="shared" si="42"/>
        <v>270.11268336406368</v>
      </c>
      <c r="DA26" s="16">
        <f>IF(ISNA(VLOOKUP(A26,'Données projet'!$A$139:$I$159,3,0)),0,VLOOKUP(A26,'Données projet'!$A$139:$I$159,3,0))</f>
        <v>2</v>
      </c>
      <c r="DB26" s="16">
        <f>IF(ISNA(VLOOKUP(A26,'Données projet'!$A$139:$I$159,4,0)),0,VLOOKUP(A26,'Données projet'!$A$139:$I$159,4,0))</f>
        <v>54.099999999999987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0.22500000000000001</v>
      </c>
      <c r="DE26" s="17">
        <f>IF(ISNA(VLOOKUP(A26,'Données projet'!$A$139:$I$159,7,0)),0%,VLOOKUP(A26,'Données projet'!$A$139:$I$159,7,0))</f>
        <v>0.5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15.953659896191899</v>
      </c>
      <c r="DH26" s="23">
        <f>EXP(-LN(2)/2)*DH25+(1-EXP(-LN(2)/2))/(LN(2)/2)*DB26*DE26*VLOOKUP('Données projet'!$B$13,Paramètres!$A$1:$I$89,3,0)*0.475*44/12</f>
        <v>20.095778755241454</v>
      </c>
      <c r="DI26" s="24">
        <f t="shared" si="15"/>
        <v>36.049438651433356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12.6</v>
      </c>
      <c r="DO26" s="13">
        <f>IF('Données projet'!$A$166&gt;35,DO25+DN26-DW25,IF(A26&lt;'Données projet'!$A$166,$DL$205^A26,IF(A26='Données projet'!$A$166,'Données projet'!$B$166,DO25+DN26-DW25)))</f>
        <v>89.799999999999969</v>
      </c>
      <c r="DP26" s="18">
        <f>DO26*VLOOKUP('Données projet'!$B$14,Paramètres!$A$1:$I$89,3,0)*VLOOKUP('Données projet'!$B$14,Paramètres!$A$1:$I$89,5,0)</f>
        <v>71.444879999999984</v>
      </c>
      <c r="DQ26" s="14">
        <f t="shared" si="43"/>
        <v>20.03184442542841</v>
      </c>
      <c r="DR26" s="22">
        <f t="shared" si="16"/>
        <v>159.32196170762111</v>
      </c>
      <c r="DS26" s="62">
        <f t="shared" si="17"/>
        <v>444.09973948539891</v>
      </c>
      <c r="DT26" s="62">
        <f ca="1">AVERAGE(OFFSET($DS$3,0,0,'Données projet'!$E$14+1,1))-AVERAGE(OFFSET($H$3,0,0,'Données projet'!$E$14+1,1))</f>
        <v>312.53381881960331</v>
      </c>
      <c r="DU26" s="62">
        <f t="shared" si="44"/>
        <v>342.06887933351783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3</v>
      </c>
      <c r="EJ26" s="13">
        <f>IF('Données projet'!$A$192&gt;35,EJ25+EI26-ER25,IF(A26&lt;'Données projet'!$A$192,$EG$205^A26,IF(A26='Données projet'!$A$192,'Données projet'!$B$192,EJ25+EI26-ER25)))</f>
        <v>30</v>
      </c>
      <c r="EK26" s="18">
        <f>EJ26*VLOOKUP('Données projet'!$B$15,Paramètres!$A$1:$I$89,3,0)*VLOOKUP('Données projet'!$B$15,Paramètres!$A$1:$I$89,5,0)</f>
        <v>29.016000000000002</v>
      </c>
      <c r="EL26" s="14">
        <f t="shared" si="45"/>
        <v>9.0352172071357728</v>
      </c>
      <c r="EM26" s="22">
        <f t="shared" si="19"/>
        <v>66.272536635761469</v>
      </c>
      <c r="EN26" s="62">
        <f t="shared" si="20"/>
        <v>351.05031441353924</v>
      </c>
      <c r="EO26" s="62">
        <f ca="1">AVERAGE(OFFSET($EN$3,0,0,'Données projet'!$E$15+1,1))-AVERAGE(OFFSET($H$3,0,0,'Données projet'!$E$15+1,1))</f>
        <v>255.59755832175625</v>
      </c>
      <c r="EP26" s="62">
        <f t="shared" si="46"/>
        <v>154.0840647586964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3.78125</v>
      </c>
      <c r="FE26" s="13">
        <f>IF('Données projet'!$A$218&gt;35,FE25+FD26-FM25,IF(A26&lt;'Données projet'!$A$218,$FB$205^A26,IF(A26='Données projet'!$A$218,'Données projet'!$B$218,FE25+FD26-FM25)))</f>
        <v>31.405230474016616</v>
      </c>
      <c r="FF26" s="18">
        <f>FE26*VLOOKUP('Données projet'!$B$16,Paramètres!$A$1:$I$89,3,0)*VLOOKUP('Données projet'!$B$16,Paramètres!$A$1:$I$89,5,0)</f>
        <v>18.780327823461935</v>
      </c>
      <c r="FG26" s="14">
        <f t="shared" si="47"/>
        <v>6.1517146867332038</v>
      </c>
      <c r="FH26" s="22">
        <f t="shared" si="22"/>
        <v>43.423307371923194</v>
      </c>
      <c r="FI26" s="62">
        <f t="shared" si="23"/>
        <v>328.20108514970099</v>
      </c>
      <c r="FJ26" s="62">
        <f ca="1">AVERAGE(OFFSET($FI$3,0,0,'Données projet'!$E$16+1,1))-AVERAGE(OFFSET($H$3,0,0,'Données projet'!$E$16+1,1))</f>
        <v>197.08445731383847</v>
      </c>
      <c r="FK26" s="62">
        <f t="shared" si="48"/>
        <v>157.12482557016511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428.8489304403459</v>
      </c>
      <c r="T27" s="62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475.47920969424894</v>
      </c>
      <c r="AO27" s="62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3.4425641025641025</v>
      </c>
      <c r="BD27" s="13">
        <f>IF('Données projet'!$A$88&gt;35,BD26+BC27-BL26,IF(A27&lt;'Données projet'!$A$88,$BA$205^A27,IF(A27='Données projet'!$A$88,'Données projet'!$B$88,BD26+BC27-BL26)))</f>
        <v>40.850994379880916</v>
      </c>
      <c r="BE27" s="14">
        <f>BD27*VLOOKUP('Données projet'!$B$11,Paramètres!$A$1:$I$89,3,0)*VLOOKUP('Données projet'!$B$11,Paramètres!$A$1:$I$89,5,0)</f>
        <v>19.118265369784268</v>
      </c>
      <c r="BF27" s="14">
        <f t="shared" si="37"/>
        <v>6.2494233631643379</v>
      </c>
      <c r="BG27" s="22">
        <f t="shared" si="7"/>
        <v>44.182057876552157</v>
      </c>
      <c r="BH27" s="62">
        <f t="shared" si="8"/>
        <v>330.18205787655216</v>
      </c>
      <c r="BI27" s="62">
        <f ca="1">AVERAGE(OFFSET($BH$3,0,0,'Données projet'!$E$11+1,1))-AVERAGE(OFFSET($H$3,0,0,'Données projet'!$E$11+1,1))</f>
        <v>246.73711856758143</v>
      </c>
      <c r="BJ27" s="62">
        <f t="shared" si="38"/>
        <v>145.54897745089966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16.695604395604395</v>
      </c>
      <c r="BY27" s="13">
        <f>IF('Données projet'!$A$114&gt;35,BY26+BX27-CG26,IF(A27&lt;'Données projet'!$A$114,$BV$205^A27,IF(A27='Données projet'!$A$114,'Données projet'!$B$114,BY26+BX27-CG26)))</f>
        <v>168.9791208791209</v>
      </c>
      <c r="BZ27" s="14">
        <f>BY27*VLOOKUP('Données projet'!$B$12,Paramètres!$A$1:$I$89,3,0)*VLOOKUP('Données projet'!$B$12,Paramètres!$A$1:$I$89,5,0)</f>
        <v>94.4593285714286</v>
      </c>
      <c r="CA27" s="14">
        <f t="shared" si="39"/>
        <v>25.637662026687128</v>
      </c>
      <c r="CB27" s="22">
        <f t="shared" si="10"/>
        <v>209.16892529171821</v>
      </c>
      <c r="CC27" s="62">
        <f t="shared" si="11"/>
        <v>495.16892529171821</v>
      </c>
      <c r="CD27" s="62">
        <f ca="1">AVERAGE(OFFSET($CC$3,0,0,'Données projet'!$E$12+1,1))-AVERAGE(OFFSET($H$3,0,0,'Données projet'!$E$12+1,1))</f>
        <v>321.13335003345236</v>
      </c>
      <c r="CE27" s="62">
        <f t="shared" si="40"/>
        <v>301.26825075712128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11.433229458165304</v>
      </c>
      <c r="CM27" s="23">
        <f>EXP(-LN(2)/2)*CM26+(1-EXP(-LN(2)/2))/(LN(2)/2)*CG27*CJ27*VLOOKUP('Données projet'!$B$12,Paramètres!$A$1:$I$89,3,0)*0.475*44/12</f>
        <v>6.8439271335610385</v>
      </c>
      <c r="CN27" s="24">
        <f t="shared" si="12"/>
        <v>18.277156591726342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15.073076923076925</v>
      </c>
      <c r="CT27" s="13">
        <f>IF('Données projet'!$A$140&gt;35,CT26+CS27-DB26,IF(A27&lt;'Données projet'!$A$140,$CQ$205^A27,IF(A27='Données projet'!$A$140,'Données projet'!$B$140,CT26+CS27-DB26)))</f>
        <v>134.78076923076921</v>
      </c>
      <c r="CU27" s="18">
        <f>CT27*VLOOKUP('Données projet'!$B$13,Paramètres!$A$1:$I$89,3,0)*VLOOKUP('Données projet'!$B$13,Paramètres!$A$1:$I$89,5,0)</f>
        <v>80.598899999999986</v>
      </c>
      <c r="CV27" s="14">
        <f t="shared" si="41"/>
        <v>22.283554667877272</v>
      </c>
      <c r="CW27" s="22">
        <f t="shared" si="13"/>
        <v>179.18694187988618</v>
      </c>
      <c r="CX27" s="62">
        <f t="shared" si="14"/>
        <v>465.18694187988615</v>
      </c>
      <c r="CY27" s="62">
        <f ca="1">AVERAGE(OFFSET($CX$3,0,0,'Données projet'!$E$13+1,1))-AVERAGE(OFFSET($H$3,0,0,'Données projet'!$E$13+1,1))</f>
        <v>260.02504691866199</v>
      </c>
      <c r="CZ27" s="62">
        <f t="shared" si="42"/>
        <v>270.11268336406368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15.51740622736402</v>
      </c>
      <c r="DH27" s="23">
        <f>EXP(-LN(2)/2)*DH26+(1-EXP(-LN(2)/2))/(LN(2)/2)*DB27*DE27*VLOOKUP('Données projet'!$B$13,Paramètres!$A$1:$I$89,3,0)*0.475*44/12</f>
        <v>14.20986143105579</v>
      </c>
      <c r="DI27" s="24">
        <f t="shared" si="15"/>
        <v>29.727267658419812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81.469439999999977</v>
      </c>
      <c r="DQ27" s="14">
        <f t="shared" si="43"/>
        <v>22.496088365195671</v>
      </c>
      <c r="DR27" s="22">
        <f t="shared" si="16"/>
        <v>181.07329523604912</v>
      </c>
      <c r="DS27" s="62">
        <f t="shared" si="17"/>
        <v>467.07329523604915</v>
      </c>
      <c r="DT27" s="62">
        <f ca="1">AVERAGE(OFFSET($DS$3,0,0,'Données projet'!$E$14+1,1))-AVERAGE(OFFSET($H$3,0,0,'Données projet'!$E$14+1,1))</f>
        <v>312.53381881960331</v>
      </c>
      <c r="DU27" s="62">
        <f t="shared" si="44"/>
        <v>342.06887933351783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3</v>
      </c>
      <c r="EJ27" s="13">
        <f>IF('Données projet'!$A$192&gt;35,EJ26+EI27-ER26,IF(A27&lt;'Données projet'!$A$192,$EG$205^A27,IF(A27='Données projet'!$A$192,'Données projet'!$B$192,EJ26+EI27-ER26)))</f>
        <v>33</v>
      </c>
      <c r="EK27" s="18">
        <f>EJ27*VLOOKUP('Données projet'!$B$15,Paramètres!$A$1:$I$89,3,0)*VLOOKUP('Données projet'!$B$15,Paramètres!$A$1:$I$89,5,0)</f>
        <v>31.917600000000004</v>
      </c>
      <c r="EL27" s="14">
        <f t="shared" si="45"/>
        <v>9.829086885605312</v>
      </c>
      <c r="EM27" s="22">
        <f t="shared" si="19"/>
        <v>72.708812992429259</v>
      </c>
      <c r="EN27" s="62">
        <f t="shared" si="20"/>
        <v>358.70881299242927</v>
      </c>
      <c r="EO27" s="62">
        <f ca="1">AVERAGE(OFFSET($EN$3,0,0,'Données projet'!$E$15+1,1))-AVERAGE(OFFSET($H$3,0,0,'Données projet'!$E$15+1,1))</f>
        <v>255.59755832175625</v>
      </c>
      <c r="EP27" s="62">
        <f t="shared" si="46"/>
        <v>154.0840647586964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3.78125</v>
      </c>
      <c r="FE27" s="13">
        <f>IF('Données projet'!$A$218&gt;35,FE26+FD27-FM26,IF(A27&lt;'Données projet'!$A$218,$FB$205^A27,IF(A27='Données projet'!$A$218,'Données projet'!$B$218,FE26+FD27-FM26)))</f>
        <v>36.482872693909357</v>
      </c>
      <c r="FF27" s="18">
        <f>FE27*VLOOKUP('Données projet'!$B$16,Paramètres!$A$1:$I$89,3,0)*VLOOKUP('Données projet'!$B$16,Paramètres!$A$1:$I$89,5,0)</f>
        <v>21.816757870957797</v>
      </c>
      <c r="FG27" s="14">
        <f t="shared" si="47"/>
        <v>7.022748181311079</v>
      </c>
      <c r="FH27" s="22">
        <f t="shared" si="22"/>
        <v>50.228806374368297</v>
      </c>
      <c r="FI27" s="62">
        <f t="shared" si="23"/>
        <v>336.22880637436828</v>
      </c>
      <c r="FJ27" s="62">
        <f ca="1">AVERAGE(OFFSET($FI$3,0,0,'Données projet'!$E$16+1,1))-AVERAGE(OFFSET($H$3,0,0,'Données projet'!$E$16+1,1))</f>
        <v>197.08445731383847</v>
      </c>
      <c r="FK27" s="62">
        <f t="shared" si="48"/>
        <v>157.12482557016511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428.8489304403459</v>
      </c>
      <c r="T28" s="62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475.47920969424894</v>
      </c>
      <c r="AO28" s="62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3.4425641025641025</v>
      </c>
      <c r="BD28" s="13">
        <f>IF('Données projet'!$A$88&gt;35,BD27+BC28-BL27,IF(A28&lt;'Données projet'!$A$88,$BA$205^A28,IF(A28='Données projet'!$A$88,'Données projet'!$B$88,BD27+BC28-BL27)))</f>
        <v>47.679981195591871</v>
      </c>
      <c r="BE28" s="14">
        <f>BD28*VLOOKUP('Données projet'!$B$11,Paramètres!$A$1:$I$89,3,0)*VLOOKUP('Données projet'!$B$11,Paramètres!$A$1:$I$89,5,0)</f>
        <v>22.314231199536998</v>
      </c>
      <c r="BF28" s="14">
        <f t="shared" si="37"/>
        <v>7.1640574010122027</v>
      </c>
      <c r="BG28" s="22">
        <f t="shared" si="7"/>
        <v>51.341352645956526</v>
      </c>
      <c r="BH28" s="62">
        <f t="shared" si="8"/>
        <v>338.56357486817876</v>
      </c>
      <c r="BI28" s="62">
        <f ca="1">AVERAGE(OFFSET($BH$3,0,0,'Données projet'!$E$11+1,1))-AVERAGE(OFFSET($H$3,0,0,'Données projet'!$E$11+1,1))</f>
        <v>246.73711856758143</v>
      </c>
      <c r="BJ28" s="62">
        <f t="shared" si="38"/>
        <v>145.54897745089966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16.695604395604395</v>
      </c>
      <c r="BY28" s="13">
        <f>IF('Données projet'!$A$114&gt;35,BY27+BX28-CG27,IF(A28&lt;'Données projet'!$A$114,$BV$205^A28,IF(A28='Données projet'!$A$114,'Données projet'!$B$114,BY27+BX28-CG27)))</f>
        <v>185.67472527472529</v>
      </c>
      <c r="BZ28" s="14">
        <f>BY28*VLOOKUP('Données projet'!$B$12,Paramètres!$A$1:$I$89,3,0)*VLOOKUP('Données projet'!$B$12,Paramètres!$A$1:$I$89,5,0)</f>
        <v>103.79217142857145</v>
      </c>
      <c r="CA28" s="14">
        <f t="shared" si="39"/>
        <v>27.863463769694558</v>
      </c>
      <c r="CB28" s="22">
        <f t="shared" si="10"/>
        <v>229.3002313036466</v>
      </c>
      <c r="CC28" s="62">
        <f t="shared" si="11"/>
        <v>516.52245352586885</v>
      </c>
      <c r="CD28" s="62">
        <f ca="1">AVERAGE(OFFSET($CC$3,0,0,'Données projet'!$E$12+1,1))-AVERAGE(OFFSET($H$3,0,0,'Données projet'!$E$12+1,1))</f>
        <v>321.13335003345236</v>
      </c>
      <c r="CE28" s="62">
        <f t="shared" si="40"/>
        <v>301.26825075712128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11.120587197384367</v>
      </c>
      <c r="CM28" s="23">
        <f>EXP(-LN(2)/2)*CM27+(1-EXP(-LN(2)/2))/(LN(2)/2)*CG28*CJ28*VLOOKUP('Données projet'!$B$12,Paramètres!$A$1:$I$89,3,0)*0.475*44/12</f>
        <v>4.8393872860876206</v>
      </c>
      <c r="CN28" s="24">
        <f t="shared" si="12"/>
        <v>15.959974483471989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15.073076923076925</v>
      </c>
      <c r="CT28" s="13">
        <f>IF('Données projet'!$A$140&gt;35,CT27+CS28-DB27,IF(A28&lt;'Données projet'!$A$140,$CQ$205^A28,IF(A28='Données projet'!$A$140,'Données projet'!$B$140,CT27+CS28-DB27)))</f>
        <v>149.85384615384612</v>
      </c>
      <c r="CU28" s="18">
        <f>CT28*VLOOKUP('Données projet'!$B$13,Paramètres!$A$1:$I$89,3,0)*VLOOKUP('Données projet'!$B$13,Paramètres!$A$1:$I$89,5,0)</f>
        <v>89.6126</v>
      </c>
      <c r="CV28" s="14">
        <f t="shared" si="41"/>
        <v>24.471769998555317</v>
      </c>
      <c r="CW28" s="22">
        <f t="shared" si="13"/>
        <v>198.69694441415049</v>
      </c>
      <c r="CX28" s="62">
        <f t="shared" si="14"/>
        <v>485.91916663637272</v>
      </c>
      <c r="CY28" s="62">
        <f ca="1">AVERAGE(OFFSET($CX$3,0,0,'Données projet'!$E$13+1,1))-AVERAGE(OFFSET($H$3,0,0,'Données projet'!$E$13+1,1))</f>
        <v>260.02504691866199</v>
      </c>
      <c r="CZ28" s="62">
        <f t="shared" si="42"/>
        <v>270.11268336406368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15.093081938051823</v>
      </c>
      <c r="DH28" s="23">
        <f>EXP(-LN(2)/2)*DH27+(1-EXP(-LN(2)/2))/(LN(2)/2)*DB28*DE28*VLOOKUP('Données projet'!$B$13,Paramètres!$A$1:$I$89,3,0)*0.475*44/12</f>
        <v>10.047889377620729</v>
      </c>
      <c r="DI28" s="24">
        <f t="shared" si="15"/>
        <v>25.140971315672552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115</v>
      </c>
      <c r="DM28" s="13">
        <f>VLOOKUP(A28,'Données projet'!$A$165:$I$185,9,0)</f>
        <v>12.6</v>
      </c>
      <c r="DN28" s="13">
        <f t="array" ref="DN28">INDEX(DM:DM,MIN(IF(ISNUMBER(DM28:DM224),ROW(DM28:DM224),"")))</f>
        <v>12.6</v>
      </c>
      <c r="DO28" s="13">
        <f>IF('Données projet'!$A$166&gt;35,DO27+DN28-DW27,IF(A28&lt;'Données projet'!$A$166,$DL$205^A28,IF(A28='Données projet'!$A$166,'Données projet'!$B$166,DO27+DN28-DW27)))</f>
        <v>114.99999999999996</v>
      </c>
      <c r="DP28" s="18">
        <f>DO28*VLOOKUP('Données projet'!$B$14,Paramètres!$A$1:$I$89,3,0)*VLOOKUP('Données projet'!$B$14,Paramètres!$A$1:$I$89,5,0)</f>
        <v>91.493999999999971</v>
      </c>
      <c r="DQ28" s="14">
        <f t="shared" si="43"/>
        <v>24.925195840896517</v>
      </c>
      <c r="DR28" s="22">
        <f t="shared" si="16"/>
        <v>202.76343275622807</v>
      </c>
      <c r="DS28" s="62">
        <f t="shared" si="17"/>
        <v>489.98565497845027</v>
      </c>
      <c r="DT28" s="62">
        <f ca="1">AVERAGE(OFFSET($DS$3,0,0,'Données projet'!$E$14+1,1))-AVERAGE(OFFSET($H$3,0,0,'Données projet'!$E$14+1,1))</f>
        <v>312.53381881960331</v>
      </c>
      <c r="DU28" s="62">
        <f t="shared" si="44"/>
        <v>342.06887933351783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36</v>
      </c>
      <c r="EH28" s="13">
        <f>VLOOKUP(A28,'Données projet'!$A$191:$I$211,9,0)</f>
        <v>3</v>
      </c>
      <c r="EI28" s="13">
        <f t="array" ref="EI28">INDEX(EH:EH,MIN(IF(ISNUMBER(EH28:EH224),ROW(EH28:EH224),"")))</f>
        <v>3</v>
      </c>
      <c r="EJ28" s="13">
        <f>IF('Données projet'!$A$192&gt;35,EJ27+EI28-ER27,IF(A28&lt;'Données projet'!$A$192,$EG$205^A28,IF(A28='Données projet'!$A$192,'Données projet'!$B$192,EJ27+EI28-ER27)))</f>
        <v>36</v>
      </c>
      <c r="EK28" s="18">
        <f>EJ28*VLOOKUP('Données projet'!$B$15,Paramètres!$A$1:$I$89,3,0)*VLOOKUP('Données projet'!$B$15,Paramètres!$A$1:$I$89,5,0)</f>
        <v>34.819200000000002</v>
      </c>
      <c r="EL28" s="14">
        <f t="shared" si="45"/>
        <v>10.61458811221417</v>
      </c>
      <c r="EM28" s="22">
        <f t="shared" si="19"/>
        <v>79.130514295439681</v>
      </c>
      <c r="EN28" s="62">
        <f t="shared" si="20"/>
        <v>366.35273651766192</v>
      </c>
      <c r="EO28" s="62">
        <f ca="1">AVERAGE(OFFSET($EN$3,0,0,'Données projet'!$E$15+1,1))-AVERAGE(OFFSET($H$3,0,0,'Données projet'!$E$15+1,1))</f>
        <v>255.59755832175625</v>
      </c>
      <c r="EP28" s="62">
        <f t="shared" si="46"/>
        <v>154.0840647586964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3.78125</v>
      </c>
      <c r="FE28" s="13">
        <f>IF('Données projet'!$A$218&gt;35,FE27+FD28-FM27,IF(A28&lt;'Données projet'!$A$218,$FB$205^A28,IF(A28='Données projet'!$A$218,'Données projet'!$B$218,FE27+FD28-FM27)))</f>
        <v>42.381475311929691</v>
      </c>
      <c r="FF28" s="18">
        <f>FE28*VLOOKUP('Données projet'!$B$16,Paramètres!$A$1:$I$89,3,0)*VLOOKUP('Données projet'!$B$16,Paramètres!$A$1:$I$89,5,0)</f>
        <v>25.344122236533956</v>
      </c>
      <c r="FG28" s="14">
        <f t="shared" si="47"/>
        <v>8.0171130375193496</v>
      </c>
      <c r="FH28" s="22">
        <f t="shared" si="22"/>
        <v>58.104151435642841</v>
      </c>
      <c r="FI28" s="62">
        <f t="shared" si="23"/>
        <v>345.32637365786508</v>
      </c>
      <c r="FJ28" s="62">
        <f ca="1">AVERAGE(OFFSET($FI$3,0,0,'Données projet'!$E$16+1,1))-AVERAGE(OFFSET($H$3,0,0,'Données projet'!$E$16+1,1))</f>
        <v>197.08445731383847</v>
      </c>
      <c r="FK28" s="62">
        <f t="shared" si="48"/>
        <v>157.12482557016511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443.90732670063346</v>
      </c>
      <c r="S29" s="62">
        <f ca="1">AVERAGE(OFFSET($R$3,0,0,'Données projet'!$E$9+1,1))-AVERAGE(OFFSET($H$3,0,0,'Données projet'!$E$9+1,1))</f>
        <v>428.8489304403459</v>
      </c>
      <c r="T29" s="62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2">
        <f t="shared" si="5"/>
        <v>462.16625825405436</v>
      </c>
      <c r="AN29" s="62">
        <f ca="1">AVERAGE(OFFSET($AM$3,0,0,'Données projet'!$E$10+1,1))-AVERAGE(OFFSET($H$3,0,0,'Données projet'!$E$10+1,1))</f>
        <v>475.47920969424894</v>
      </c>
      <c r="AO29" s="62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3.4425641025641025</v>
      </c>
      <c r="BD29" s="13">
        <f>IF('Données projet'!$A$88&gt;35,BD28+BC29-BL28,IF(A29&lt;'Données projet'!$A$88,$BA$205^A29,IF(A29='Données projet'!$A$88,'Données projet'!$B$88,BD28+BC29-BL28)))</f>
        <v>55.650557381086244</v>
      </c>
      <c r="BE29" s="14">
        <f>BD29*VLOOKUP('Données projet'!$B$11,Paramètres!$A$1:$I$89,3,0)*VLOOKUP('Données projet'!$B$11,Paramètres!$A$1:$I$89,5,0)</f>
        <v>26.044460854348362</v>
      </c>
      <c r="BF29" s="14">
        <f t="shared" si="37"/>
        <v>8.2125526568599181</v>
      </c>
      <c r="BG29" s="22">
        <f t="shared" si="7"/>
        <v>59.664298532021071</v>
      </c>
      <c r="BH29" s="62">
        <f t="shared" si="8"/>
        <v>348.10874297646552</v>
      </c>
      <c r="BI29" s="62">
        <f ca="1">AVERAGE(OFFSET($BH$3,0,0,'Données projet'!$E$11+1,1))-AVERAGE(OFFSET($H$3,0,0,'Données projet'!$E$11+1,1))</f>
        <v>246.73711856758143</v>
      </c>
      <c r="BJ29" s="62">
        <f t="shared" si="38"/>
        <v>145.54897745089966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16.695604395604395</v>
      </c>
      <c r="BY29" s="13">
        <f>IF('Données projet'!$A$114&gt;35,BY28+BX29-CG28,IF(A29&lt;'Données projet'!$A$114,$BV$205^A29,IF(A29='Données projet'!$A$114,'Données projet'!$B$114,BY28+BX29-CG28)))</f>
        <v>202.37032967032968</v>
      </c>
      <c r="BZ29" s="14">
        <f>BY29*VLOOKUP('Données projet'!$B$12,Paramètres!$A$1:$I$89,3,0)*VLOOKUP('Données projet'!$B$12,Paramètres!$A$1:$I$89,5,0)</f>
        <v>113.1250142857143</v>
      </c>
      <c r="CA29" s="14">
        <f t="shared" si="39"/>
        <v>30.066057618614863</v>
      </c>
      <c r="CB29" s="22">
        <f t="shared" si="10"/>
        <v>249.39111690003995</v>
      </c>
      <c r="CC29" s="62">
        <f t="shared" si="11"/>
        <v>537.8355613444844</v>
      </c>
      <c r="CD29" s="62">
        <f ca="1">AVERAGE(OFFSET($CC$3,0,0,'Données projet'!$E$12+1,1))-AVERAGE(OFFSET($H$3,0,0,'Données projet'!$E$12+1,1))</f>
        <v>321.13335003345236</v>
      </c>
      <c r="CE29" s="62">
        <f t="shared" si="40"/>
        <v>301.26825075712128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10.816494155665627</v>
      </c>
      <c r="CM29" s="23">
        <f>EXP(-LN(2)/2)*CM28+(1-EXP(-LN(2)/2))/(LN(2)/2)*CG29*CJ29*VLOOKUP('Données projet'!$B$12,Paramètres!$A$1:$I$89,3,0)*0.475*44/12</f>
        <v>3.4219635667805193</v>
      </c>
      <c r="CN29" s="24">
        <f t="shared" si="12"/>
        <v>14.238457722446146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15.073076923076925</v>
      </c>
      <c r="CT29" s="13">
        <f>IF('Données projet'!$A$140&gt;35,CT28+CS29-DB28,IF(A29&lt;'Données projet'!$A$140,$CQ$205^A29,IF(A29='Données projet'!$A$140,'Données projet'!$B$140,CT28+CS29-DB28)))</f>
        <v>164.92692307692306</v>
      </c>
      <c r="CU29" s="18">
        <f>CT29*VLOOKUP('Données projet'!$B$13,Paramètres!$A$1:$I$89,3,0)*VLOOKUP('Données projet'!$B$13,Paramètres!$A$1:$I$89,5,0)</f>
        <v>98.626300000000001</v>
      </c>
      <c r="CV29" s="14">
        <f t="shared" si="41"/>
        <v>26.634469472597342</v>
      </c>
      <c r="CW29" s="22">
        <f t="shared" si="13"/>
        <v>218.16250683144037</v>
      </c>
      <c r="CX29" s="62">
        <f t="shared" si="14"/>
        <v>506.60695127588485</v>
      </c>
      <c r="CY29" s="62">
        <f ca="1">AVERAGE(OFFSET($CX$3,0,0,'Données projet'!$E$13+1,1))-AVERAGE(OFFSET($H$3,0,0,'Données projet'!$E$13+1,1))</f>
        <v>260.02504691866199</v>
      </c>
      <c r="CZ29" s="62">
        <f t="shared" si="42"/>
        <v>270.11268336406368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14.680360818745113</v>
      </c>
      <c r="DH29" s="23">
        <f>EXP(-LN(2)/2)*DH28+(1-EXP(-LN(2)/2))/(LN(2)/2)*DB29*DE29*VLOOKUP('Données projet'!$B$13,Paramètres!$A$1:$I$89,3,0)*0.475*44/12</f>
        <v>7.1049307155278969</v>
      </c>
      <c r="DI29" s="24">
        <f t="shared" si="15"/>
        <v>21.785291534273011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12</v>
      </c>
      <c r="DO29" s="13">
        <f>IF('Données projet'!$A$166&gt;35,DO28+DN29-DW28,IF(A29&lt;'Données projet'!$A$166,$DL$205^A29,IF(A29='Données projet'!$A$166,'Données projet'!$B$166,DO28+DN29-DW28)))</f>
        <v>126.99999999999996</v>
      </c>
      <c r="DP29" s="18">
        <f>DO29*VLOOKUP('Données projet'!$B$14,Paramètres!$A$1:$I$89,3,0)*VLOOKUP('Données projet'!$B$14,Paramètres!$A$1:$I$89,5,0)</f>
        <v>101.04119999999998</v>
      </c>
      <c r="DQ29" s="14">
        <f t="shared" si="43"/>
        <v>27.209899355903595</v>
      </c>
      <c r="DR29" s="22">
        <f t="shared" si="16"/>
        <v>223.37066471153204</v>
      </c>
      <c r="DS29" s="62">
        <f t="shared" si="17"/>
        <v>511.81510915597653</v>
      </c>
      <c r="DT29" s="62">
        <f ca="1">AVERAGE(OFFSET($DS$3,0,0,'Données projet'!$E$14+1,1))-AVERAGE(OFFSET($H$3,0,0,'Données projet'!$E$14+1,1))</f>
        <v>312.53381881960331</v>
      </c>
      <c r="DU29" s="62">
        <f t="shared" si="44"/>
        <v>342.06887933351783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3.6</v>
      </c>
      <c r="EJ29" s="13">
        <f>IF('Données projet'!$A$192&gt;35,EJ28+EI29-ER28,IF(A29&lt;'Données projet'!$A$192,$EG$205^A29,IF(A29='Données projet'!$A$192,'Données projet'!$B$192,EJ28+EI29-ER28)))</f>
        <v>39.6</v>
      </c>
      <c r="EK29" s="18">
        <f>EJ29*VLOOKUP('Données projet'!$B$15,Paramètres!$A$1:$I$89,3,0)*VLOOKUP('Données projet'!$B$15,Paramètres!$A$1:$I$89,5,0)</f>
        <v>38.301119999999997</v>
      </c>
      <c r="EL29" s="14">
        <f t="shared" si="45"/>
        <v>11.547227522927502</v>
      </c>
      <c r="EM29" s="22">
        <f t="shared" si="19"/>
        <v>86.819205269098731</v>
      </c>
      <c r="EN29" s="62">
        <f t="shared" si="20"/>
        <v>375.2636497135432</v>
      </c>
      <c r="EO29" s="62">
        <f ca="1">AVERAGE(OFFSET($EN$3,0,0,'Données projet'!$E$15+1,1))-AVERAGE(OFFSET($H$3,0,0,'Données projet'!$E$15+1,1))</f>
        <v>255.59755832175625</v>
      </c>
      <c r="EP29" s="62">
        <f t="shared" si="46"/>
        <v>154.0840647586964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3.78125</v>
      </c>
      <c r="FE29" s="13">
        <f>IF('Données projet'!$A$218&gt;35,FE28+FD29-FM28,IF(A29&lt;'Données projet'!$A$218,$FB$205^A29,IF(A29='Données projet'!$A$218,'Données projet'!$B$218,FE28+FD29-FM28)))</f>
        <v>49.233772370002292</v>
      </c>
      <c r="FF29" s="18">
        <f>FE29*VLOOKUP('Données projet'!$B$16,Paramètres!$A$1:$I$89,3,0)*VLOOKUP('Données projet'!$B$16,Paramètres!$A$1:$I$89,5,0)</f>
        <v>29.441795877261374</v>
      </c>
      <c r="FG29" s="14">
        <f t="shared" si="47"/>
        <v>9.152271987682667</v>
      </c>
      <c r="FH29" s="22">
        <f t="shared" si="22"/>
        <v>67.218001531444202</v>
      </c>
      <c r="FI29" s="62">
        <f t="shared" si="23"/>
        <v>355.66244597588866</v>
      </c>
      <c r="FJ29" s="62">
        <f ca="1">AVERAGE(OFFSET($FI$3,0,0,'Données projet'!$E$16+1,1))-AVERAGE(OFFSET($H$3,0,0,'Données projet'!$E$16+1,1))</f>
        <v>197.08445731383847</v>
      </c>
      <c r="FK29" s="62">
        <f t="shared" si="48"/>
        <v>157.12482557016511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458.88743540273413</v>
      </c>
      <c r="S30" s="62">
        <f ca="1">AVERAGE(OFFSET($R$3,0,0,'Données projet'!$E$9+1,1))-AVERAGE(OFFSET($H$3,0,0,'Données projet'!$E$9+1,1))</f>
        <v>428.8489304403459</v>
      </c>
      <c r="T30" s="62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2">
        <f t="shared" si="5"/>
        <v>478.76653744933498</v>
      </c>
      <c r="AN30" s="62">
        <f ca="1">AVERAGE(OFFSET($AM$3,0,0,'Données projet'!$E$10+1,1))-AVERAGE(OFFSET($H$3,0,0,'Données projet'!$E$10+1,1))</f>
        <v>475.47920969424894</v>
      </c>
      <c r="AO30" s="62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3.4425641025641025</v>
      </c>
      <c r="BD30" s="13">
        <f>IF('Données projet'!$A$88&gt;35,BD29+BC30-BL29,IF(A30&lt;'Données projet'!$A$88,$BA$205^A30,IF(A30='Données projet'!$A$88,'Données projet'!$B$88,BD29+BC30-BL29)))</f>
        <v>64.953560365747308</v>
      </c>
      <c r="BE30" s="14">
        <f>BD30*VLOOKUP('Données projet'!$B$11,Paramètres!$A$1:$I$89,3,0)*VLOOKUP('Données projet'!$B$11,Paramètres!$A$1:$I$89,5,0)</f>
        <v>30.398266251169741</v>
      </c>
      <c r="BF30" s="14">
        <f t="shared" si="37"/>
        <v>9.4145003824463398</v>
      </c>
      <c r="BG30" s="22">
        <f t="shared" si="7"/>
        <v>69.340568553547996</v>
      </c>
      <c r="BH30" s="62">
        <f t="shared" si="8"/>
        <v>359.00723522021468</v>
      </c>
      <c r="BI30" s="62">
        <f ca="1">AVERAGE(OFFSET($BH$3,0,0,'Données projet'!$E$11+1,1))-AVERAGE(OFFSET($H$3,0,0,'Données projet'!$E$11+1,1))</f>
        <v>246.73711856758143</v>
      </c>
      <c r="BJ30" s="62">
        <f t="shared" si="38"/>
        <v>145.54897745089966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16.695604395604395</v>
      </c>
      <c r="BY30" s="13">
        <f>IF('Données projet'!$A$114&gt;35,BY29+BX30-CG29,IF(A30&lt;'Données projet'!$A$114,$BV$205^A30,IF(A30='Données projet'!$A$114,'Données projet'!$B$114,BY29+BX30-CG29)))</f>
        <v>219.06593406593407</v>
      </c>
      <c r="BZ30" s="14">
        <f>BY30*VLOOKUP('Données projet'!$B$12,Paramètres!$A$1:$I$89,3,0)*VLOOKUP('Données projet'!$B$12,Paramètres!$A$1:$I$89,5,0)</f>
        <v>122.45785714285715</v>
      </c>
      <c r="CA30" s="14">
        <f t="shared" si="39"/>
        <v>32.247575908405864</v>
      </c>
      <c r="CB30" s="22">
        <f t="shared" si="10"/>
        <v>269.4452958976164</v>
      </c>
      <c r="CC30" s="62">
        <f t="shared" si="11"/>
        <v>559.11196256428309</v>
      </c>
      <c r="CD30" s="62">
        <f ca="1">AVERAGE(OFFSET($CC$3,0,0,'Données projet'!$E$12+1,1))-AVERAGE(OFFSET($H$3,0,0,'Données projet'!$E$12+1,1))</f>
        <v>321.13335003345236</v>
      </c>
      <c r="CE30" s="62">
        <f t="shared" si="40"/>
        <v>301.26825075712128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10.520716554164244</v>
      </c>
      <c r="CM30" s="23">
        <f>EXP(-LN(2)/2)*CM29+(1-EXP(-LN(2)/2))/(LN(2)/2)*CG30*CJ30*VLOOKUP('Données projet'!$B$12,Paramètres!$A$1:$I$89,3,0)*0.475*44/12</f>
        <v>2.4196936430438103</v>
      </c>
      <c r="CN30" s="24">
        <f t="shared" si="12"/>
        <v>12.940410197208054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15.073076923076925</v>
      </c>
      <c r="CT30" s="13">
        <f>IF('Données projet'!$A$140&gt;35,CT29+CS30-DB29,IF(A30&lt;'Données projet'!$A$140,$CQ$205^A30,IF(A30='Données projet'!$A$140,'Données projet'!$B$140,CT29+CS30-DB29)))</f>
        <v>180</v>
      </c>
      <c r="CU30" s="18">
        <f>CT30*VLOOKUP('Données projet'!$B$13,Paramètres!$A$1:$I$89,3,0)*VLOOKUP('Données projet'!$B$13,Paramètres!$A$1:$I$89,5,0)</f>
        <v>107.64</v>
      </c>
      <c r="CV30" s="14">
        <f t="shared" si="41"/>
        <v>28.774250263353583</v>
      </c>
      <c r="CW30" s="22">
        <f t="shared" si="13"/>
        <v>237.58815254200749</v>
      </c>
      <c r="CX30" s="62">
        <f t="shared" si="14"/>
        <v>527.25481920867423</v>
      </c>
      <c r="CY30" s="62">
        <f ca="1">AVERAGE(OFFSET($CX$3,0,0,'Données projet'!$E$13+1,1))-AVERAGE(OFFSET($H$3,0,0,'Données projet'!$E$13+1,1))</f>
        <v>260.02504691866199</v>
      </c>
      <c r="CZ30" s="62">
        <f t="shared" si="42"/>
        <v>270.11268336406368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14.278925580149904</v>
      </c>
      <c r="DH30" s="23">
        <f>EXP(-LN(2)/2)*DH29+(1-EXP(-LN(2)/2))/(LN(2)/2)*DB30*DE30*VLOOKUP('Données projet'!$B$13,Paramètres!$A$1:$I$89,3,0)*0.475*44/12</f>
        <v>5.0239446888103654</v>
      </c>
      <c r="DI30" s="24">
        <f t="shared" si="15"/>
        <v>19.30287026896027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12</v>
      </c>
      <c r="DO30" s="13">
        <f>IF('Données projet'!$A$166&gt;35,DO29+DN30-DW29,IF(A30&lt;'Données projet'!$A$166,$DL$205^A30,IF(A30='Données projet'!$A$166,'Données projet'!$B$166,DO29+DN30-DW29)))</f>
        <v>138.99999999999994</v>
      </c>
      <c r="DP30" s="18">
        <f>DO30*VLOOKUP('Données projet'!$B$14,Paramètres!$A$1:$I$89,3,0)*VLOOKUP('Données projet'!$B$14,Paramètres!$A$1:$I$89,5,0)</f>
        <v>110.58839999999996</v>
      </c>
      <c r="DQ30" s="14">
        <f t="shared" si="43"/>
        <v>29.469573129181644</v>
      </c>
      <c r="DR30" s="22">
        <f t="shared" si="16"/>
        <v>243.93430319999132</v>
      </c>
      <c r="DS30" s="62">
        <f t="shared" si="17"/>
        <v>533.60096986665803</v>
      </c>
      <c r="DT30" s="62">
        <f ca="1">AVERAGE(OFFSET($DS$3,0,0,'Données projet'!$E$14+1,1))-AVERAGE(OFFSET($H$3,0,0,'Données projet'!$E$14+1,1))</f>
        <v>312.53381881960331</v>
      </c>
      <c r="DU30" s="62">
        <f t="shared" si="44"/>
        <v>342.06887933351783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3.6</v>
      </c>
      <c r="EJ30" s="13">
        <f>IF('Données projet'!$A$192&gt;35,EJ29+EI30-ER29,IF(A30&lt;'Données projet'!$A$192,$EG$205^A30,IF(A30='Données projet'!$A$192,'Données projet'!$B$192,EJ29+EI30-ER29)))</f>
        <v>43.2</v>
      </c>
      <c r="EK30" s="18">
        <f>EJ30*VLOOKUP('Données projet'!$B$15,Paramètres!$A$1:$I$89,3,0)*VLOOKUP('Données projet'!$B$15,Paramètres!$A$1:$I$89,5,0)</f>
        <v>41.783040000000007</v>
      </c>
      <c r="EL30" s="14">
        <f t="shared" si="45"/>
        <v>12.470035662559953</v>
      </c>
      <c r="EM30" s="22">
        <f t="shared" si="19"/>
        <v>94.490773445625265</v>
      </c>
      <c r="EN30" s="62">
        <f t="shared" si="20"/>
        <v>384.15744011229197</v>
      </c>
      <c r="EO30" s="62">
        <f ca="1">AVERAGE(OFFSET($EN$3,0,0,'Données projet'!$E$15+1,1))-AVERAGE(OFFSET($H$3,0,0,'Données projet'!$E$15+1,1))</f>
        <v>255.59755832175625</v>
      </c>
      <c r="EP30" s="62">
        <f t="shared" si="46"/>
        <v>154.0840647586964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3.78125</v>
      </c>
      <c r="FE30" s="13">
        <f>IF('Données projet'!$A$218&gt;35,FE29+FD30-FM29,IF(A30&lt;'Données projet'!$A$218,$FB$205^A30,IF(A30='Données projet'!$A$218,'Données projet'!$B$218,FE29+FD30-FM29)))</f>
        <v>57.193958538269555</v>
      </c>
      <c r="FF30" s="18">
        <f>FE30*VLOOKUP('Données projet'!$B$16,Paramètres!$A$1:$I$89,3,0)*VLOOKUP('Données projet'!$B$16,Paramètres!$A$1:$I$89,5,0)</f>
        <v>34.201987205885196</v>
      </c>
      <c r="FG30" s="14">
        <f t="shared" si="47"/>
        <v>10.448160347061673</v>
      </c>
      <c r="FH30" s="22">
        <f t="shared" si="22"/>
        <v>77.765673654715798</v>
      </c>
      <c r="FI30" s="62">
        <f t="shared" si="23"/>
        <v>367.43234032138247</v>
      </c>
      <c r="FJ30" s="62">
        <f ca="1">AVERAGE(OFFSET($FI$3,0,0,'Données projet'!$E$16+1,1))-AVERAGE(OFFSET($H$3,0,0,'Données projet'!$E$16+1,1))</f>
        <v>197.08445731383847</v>
      </c>
      <c r="FK30" s="62">
        <f t="shared" si="48"/>
        <v>157.12482557016511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473.84118919501418</v>
      </c>
      <c r="S31" s="62">
        <f ca="1">AVERAGE(OFFSET($R$3,0,0,'Données projet'!$E$9+1,1))-AVERAGE(OFFSET($H$3,0,0,'Données projet'!$E$9+1,1))</f>
        <v>428.8489304403459</v>
      </c>
      <c r="T31" s="62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2">
        <f t="shared" si="5"/>
        <v>495.33767011840803</v>
      </c>
      <c r="AN31" s="62">
        <f ca="1">AVERAGE(OFFSET($AM$3,0,0,'Données projet'!$E$10+1,1))-AVERAGE(OFFSET($H$3,0,0,'Données projet'!$E$10+1,1))</f>
        <v>475.47920969424894</v>
      </c>
      <c r="AO31" s="62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3.4425641025641025</v>
      </c>
      <c r="BD31" s="13">
        <f>IF('Données projet'!$A$88&gt;35,BD30+BC31-BL30,IF(A31&lt;'Données projet'!$A$88,$BA$205^A31,IF(A31='Données projet'!$A$88,'Données projet'!$B$88,BD30+BC31-BL30)))</f>
        <v>75.81172952673181</v>
      </c>
      <c r="BE31" s="14">
        <f>BD31*VLOOKUP('Données projet'!$B$11,Paramètres!$A$1:$I$89,3,0)*VLOOKUP('Données projet'!$B$11,Paramètres!$A$1:$I$89,5,0)</f>
        <v>35.479889418510488</v>
      </c>
      <c r="BF31" s="14">
        <f t="shared" si="37"/>
        <v>10.7923591061602</v>
      </c>
      <c r="BG31" s="22">
        <f t="shared" si="7"/>
        <v>80.590832847134777</v>
      </c>
      <c r="BH31" s="62">
        <f t="shared" si="8"/>
        <v>371.47972173602363</v>
      </c>
      <c r="BI31" s="62">
        <f ca="1">AVERAGE(OFFSET($BH$3,0,0,'Données projet'!$E$11+1,1))-AVERAGE(OFFSET($H$3,0,0,'Données projet'!$E$11+1,1))</f>
        <v>246.73711856758143</v>
      </c>
      <c r="BJ31" s="62">
        <f t="shared" si="38"/>
        <v>145.54897745089966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235.76153846153846</v>
      </c>
      <c r="BW31" s="13">
        <f>VLOOKUP(A31,'Données projet'!$A$113:$I$133,9,0)</f>
        <v>16.695604395604395</v>
      </c>
      <c r="BX31" s="13">
        <f t="array" ref="BX31">INDEX(BW:BW,MIN(IF(ISNUMBER(BW31:BW227),ROW(BW31:BW227),"")))</f>
        <v>16.695604395604395</v>
      </c>
      <c r="BY31" s="13">
        <f>IF('Données projet'!$A$114&gt;35,BY30+BX31-CG30,IF(A31&lt;'Données projet'!$A$114,$BV$205^A31,IF(A31='Données projet'!$A$114,'Données projet'!$B$114,BY30+BX31-CG30)))</f>
        <v>235.76153846153846</v>
      </c>
      <c r="BZ31" s="14">
        <f>BY31*VLOOKUP('Données projet'!$B$12,Paramètres!$A$1:$I$89,3,0)*VLOOKUP('Données projet'!$B$12,Paramètres!$A$1:$I$89,5,0)</f>
        <v>131.79069999999999</v>
      </c>
      <c r="CA31" s="14">
        <f t="shared" si="39"/>
        <v>34.409807495420338</v>
      </c>
      <c r="CB31" s="22">
        <f t="shared" si="10"/>
        <v>289.46588388785705</v>
      </c>
      <c r="CC31" s="62">
        <f t="shared" si="11"/>
        <v>580.3547727767459</v>
      </c>
      <c r="CD31" s="62">
        <f ca="1">AVERAGE(OFFSET($CC$3,0,0,'Données projet'!$E$12+1,1))-AVERAGE(OFFSET($H$3,0,0,'Données projet'!$E$12+1,1))</f>
        <v>321.13335003345236</v>
      </c>
      <c r="CE31" s="62">
        <f t="shared" si="40"/>
        <v>301.26825075712128</v>
      </c>
      <c r="CF31" s="16">
        <f>IF(ISNA(VLOOKUP(A31,'Données projet'!$A$113:$I$133,3,0)),0,VLOOKUP(A31,'Données projet'!$A$113:$I$133,3,0))</f>
        <v>2</v>
      </c>
      <c r="CG31" s="16">
        <f>IF(ISNA(VLOOKUP(A31,'Données projet'!$A$113:$I$133,4,0)),0,VLOOKUP(A31,'Données projet'!$A$113:$I$133,4,0))</f>
        <v>56.91538461538461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0.27500000000000002</v>
      </c>
      <c r="CJ31" s="17">
        <f>IF(ISNA(VLOOKUP(A31,'Données projet'!$A$113:$I$133,7,0)),0%,VLOOKUP(A31,'Données projet'!$A$113:$I$133,7,0))</f>
        <v>0.5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21.79386126634699</v>
      </c>
      <c r="CM31" s="23">
        <f>EXP(-LN(2)/2)*CM30+(1-EXP(-LN(2)/2))/(LN(2)/2)*CG31*CJ31*VLOOKUP('Données projet'!$B$12,Paramètres!$A$1:$I$89,3,0)*0.475*44/12</f>
        <v>19.722363337596647</v>
      </c>
      <c r="CN31" s="24">
        <f t="shared" si="12"/>
        <v>41.516224603943641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15.073076923076925</v>
      </c>
      <c r="CT31" s="13">
        <f>IF('Données projet'!$A$140&gt;35,CT30+CS31-DB30,IF(A31&lt;'Données projet'!$A$140,$CQ$205^A31,IF(A31='Données projet'!$A$140,'Données projet'!$B$140,CT30+CS31-DB30)))</f>
        <v>195.07307692307694</v>
      </c>
      <c r="CU31" s="18">
        <f>CT31*VLOOKUP('Données projet'!$B$13,Paramètres!$A$1:$I$89,3,0)*VLOOKUP('Données projet'!$B$13,Paramètres!$A$1:$I$89,5,0)</f>
        <v>116.65370000000001</v>
      </c>
      <c r="CV31" s="14">
        <f t="shared" si="41"/>
        <v>30.893249762406356</v>
      </c>
      <c r="CW31" s="22">
        <f t="shared" si="13"/>
        <v>256.9776041695244</v>
      </c>
      <c r="CX31" s="62">
        <f t="shared" si="14"/>
        <v>547.8664930584132</v>
      </c>
      <c r="CY31" s="62">
        <f ca="1">AVERAGE(OFFSET($CX$3,0,0,'Données projet'!$E$13+1,1))-AVERAGE(OFFSET($H$3,0,0,'Données projet'!$E$13+1,1))</f>
        <v>260.02504691866199</v>
      </c>
      <c r="CZ31" s="62">
        <f t="shared" si="42"/>
        <v>270.11268336406368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13.888467609264644</v>
      </c>
      <c r="DH31" s="23">
        <f>EXP(-LN(2)/2)*DH30+(1-EXP(-LN(2)/2))/(LN(2)/2)*DB31*DE31*VLOOKUP('Données projet'!$B$13,Paramètres!$A$1:$I$89,3,0)*0.475*44/12</f>
        <v>3.5524653577639489</v>
      </c>
      <c r="DI31" s="24">
        <f t="shared" si="15"/>
        <v>17.440932967028594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12</v>
      </c>
      <c r="DO31" s="13">
        <f>IF('Données projet'!$A$166&gt;35,DO30+DN31-DW30,IF(A31&lt;'Données projet'!$A$166,$DL$205^A31,IF(A31='Données projet'!$A$166,'Données projet'!$B$166,DO30+DN31-DW30)))</f>
        <v>150.99999999999994</v>
      </c>
      <c r="DP31" s="18">
        <f>DO31*VLOOKUP('Données projet'!$B$14,Paramètres!$A$1:$I$89,3,0)*VLOOKUP('Données projet'!$B$14,Paramètres!$A$1:$I$89,5,0)</f>
        <v>120.13559999999997</v>
      </c>
      <c r="DQ31" s="14">
        <f t="shared" si="43"/>
        <v>31.70662368824571</v>
      </c>
      <c r="DR31" s="22">
        <f t="shared" si="16"/>
        <v>264.45853959036123</v>
      </c>
      <c r="DS31" s="62">
        <f t="shared" si="17"/>
        <v>555.34742847925008</v>
      </c>
      <c r="DT31" s="62">
        <f ca="1">AVERAGE(OFFSET($DS$3,0,0,'Données projet'!$E$14+1,1))-AVERAGE(OFFSET($H$3,0,0,'Données projet'!$E$14+1,1))</f>
        <v>312.53381881960331</v>
      </c>
      <c r="DU31" s="62">
        <f t="shared" si="44"/>
        <v>342.06887933351783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3.6</v>
      </c>
      <c r="EJ31" s="13">
        <f>IF('Données projet'!$A$192&gt;35,EJ30+EI31-ER30,IF(A31&lt;'Données projet'!$A$192,$EG$205^A31,IF(A31='Données projet'!$A$192,'Données projet'!$B$192,EJ30+EI31-ER30)))</f>
        <v>46.800000000000004</v>
      </c>
      <c r="EK31" s="18">
        <f>EJ31*VLOOKUP('Données projet'!$B$15,Paramètres!$A$1:$I$89,3,0)*VLOOKUP('Données projet'!$B$15,Paramètres!$A$1:$I$89,5,0)</f>
        <v>45.264960000000002</v>
      </c>
      <c r="EL31" s="14">
        <f t="shared" si="45"/>
        <v>13.383924947719283</v>
      </c>
      <c r="EM31" s="22">
        <f t="shared" si="19"/>
        <v>102.14680795061109</v>
      </c>
      <c r="EN31" s="62">
        <f t="shared" si="20"/>
        <v>393.03569683949996</v>
      </c>
      <c r="EO31" s="62">
        <f ca="1">AVERAGE(OFFSET($EN$3,0,0,'Données projet'!$E$15+1,1))-AVERAGE(OFFSET($H$3,0,0,'Données projet'!$E$15+1,1))</f>
        <v>255.59755832175625</v>
      </c>
      <c r="EP31" s="62">
        <f t="shared" si="46"/>
        <v>154.0840647586964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3.78125</v>
      </c>
      <c r="FE31" s="13">
        <f>IF('Données projet'!$A$218&gt;35,FE30+FD31-FM30,IF(A31&lt;'Données projet'!$A$218,$FB$205^A31,IF(A31='Données projet'!$A$218,'Données projet'!$B$218,FE30+FD31-FM30)))</f>
        <v>66.44115889990951</v>
      </c>
      <c r="FF31" s="18">
        <f>FE31*VLOOKUP('Données projet'!$B$16,Paramètres!$A$1:$I$89,3,0)*VLOOKUP('Données projet'!$B$16,Paramètres!$A$1:$I$89,5,0)</f>
        <v>39.731813022145886</v>
      </c>
      <c r="FG31" s="14">
        <f t="shared" si="47"/>
        <v>11.927536111779386</v>
      </c>
      <c r="FH31" s="22">
        <f t="shared" si="22"/>
        <v>89.973366408253185</v>
      </c>
      <c r="FI31" s="62">
        <f t="shared" si="23"/>
        <v>380.86225529714204</v>
      </c>
      <c r="FJ31" s="62">
        <f ca="1">AVERAGE(OFFSET($FI$3,0,0,'Données projet'!$E$16+1,1))-AVERAGE(OFFSET($H$3,0,0,'Données projet'!$E$16+1,1))</f>
        <v>197.08445731383847</v>
      </c>
      <c r="FK31" s="62">
        <f t="shared" si="48"/>
        <v>157.12482557016511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488.77084588054998</v>
      </c>
      <c r="S32" s="62">
        <f ca="1">AVERAGE(OFFSET($R$3,0,0,'Données projet'!$E$9+1,1))-AVERAGE(OFFSET($H$3,0,0,'Données projet'!$E$9+1,1))</f>
        <v>428.8489304403459</v>
      </c>
      <c r="T32" s="62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2">
        <f t="shared" si="5"/>
        <v>511.88215321979021</v>
      </c>
      <c r="AN32" s="62">
        <f ca="1">AVERAGE(OFFSET($AM$3,0,0,'Données projet'!$E$10+1,1))-AVERAGE(OFFSET($H$3,0,0,'Données projet'!$E$10+1,1))</f>
        <v>475.47920969424894</v>
      </c>
      <c r="AO32" s="62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3.4425641025641025</v>
      </c>
      <c r="BD32" s="13">
        <f>IF('Données projet'!$A$88&gt;35,BD31+BC32-BL31,IF(A32&lt;'Données projet'!$A$88,$BA$205^A32,IF(A32='Données projet'!$A$88,'Données projet'!$B$88,BD31+BC32-BL31)))</f>
        <v>88.485039179856727</v>
      </c>
      <c r="BE32" s="14">
        <f>BD32*VLOOKUP('Données projet'!$B$11,Paramètres!$A$1:$I$89,3,0)*VLOOKUP('Données projet'!$B$11,Paramètres!$A$1:$I$89,5,0)</f>
        <v>41.410998336172952</v>
      </c>
      <c r="BF32" s="14">
        <f t="shared" si="37"/>
        <v>12.371874273168087</v>
      </c>
      <c r="BG32" s="22">
        <f t="shared" si="7"/>
        <v>93.671836461268967</v>
      </c>
      <c r="BH32" s="62">
        <f t="shared" si="8"/>
        <v>385.78294757238012</v>
      </c>
      <c r="BI32" s="62">
        <f ca="1">AVERAGE(OFFSET($BH$3,0,0,'Données projet'!$E$11+1,1))-AVERAGE(OFFSET($H$3,0,0,'Données projet'!$E$11+1,1))</f>
        <v>246.73711856758143</v>
      </c>
      <c r="BJ32" s="62">
        <f t="shared" si="38"/>
        <v>145.54897745089966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18.092307692307688</v>
      </c>
      <c r="BY32" s="13">
        <f>IF('Données projet'!$A$114&gt;35,BY31+BX32-CG31,IF(A32&lt;'Données projet'!$A$114,$BV$205^A32,IF(A32='Données projet'!$A$114,'Données projet'!$B$114,BY31+BX32-CG31)))</f>
        <v>196.93846153846152</v>
      </c>
      <c r="BZ32" s="14">
        <f>BY32*VLOOKUP('Données projet'!$B$12,Paramètres!$A$1:$I$89,3,0)*VLOOKUP('Données projet'!$B$12,Paramètres!$A$1:$I$89,5,0)</f>
        <v>110.0886</v>
      </c>
      <c r="CA32" s="14">
        <f t="shared" si="39"/>
        <v>29.351858445346817</v>
      </c>
      <c r="CB32" s="22">
        <f t="shared" si="10"/>
        <v>242.85879845897907</v>
      </c>
      <c r="CC32" s="62">
        <f t="shared" si="11"/>
        <v>534.96990957009018</v>
      </c>
      <c r="CD32" s="62">
        <f ca="1">AVERAGE(OFFSET($CC$3,0,0,'Données projet'!$E$12+1,1))-AVERAGE(OFFSET($H$3,0,0,'Données projet'!$E$12+1,1))</f>
        <v>321.13335003345236</v>
      </c>
      <c r="CE32" s="62">
        <f t="shared" si="40"/>
        <v>301.26825075712128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21.197906983929379</v>
      </c>
      <c r="CM32" s="23">
        <f>EXP(-LN(2)/2)*CM31+(1-EXP(-LN(2)/2))/(LN(2)/2)*CG32*CJ32*VLOOKUP('Données projet'!$B$12,Paramètres!$A$1:$I$89,3,0)*0.475*44/12</f>
        <v>13.94581685703954</v>
      </c>
      <c r="CN32" s="24">
        <f t="shared" si="12"/>
        <v>35.143723840968917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>
        <f>VLOOKUP(A32,'Données projet'!$A$139:$I$159,2,0)</f>
        <v>210.14615384615385</v>
      </c>
      <c r="CR32" s="13">
        <f>VLOOKUP(A32,'Données projet'!$A$139:$I$159,9,0)</f>
        <v>15.073076923076925</v>
      </c>
      <c r="CS32" s="13">
        <f t="array" ref="CS32">INDEX(CR:CR,MIN(IF(ISNUMBER(CR32:CR228),ROW(CR32:CR228),"")))</f>
        <v>15.073076923076925</v>
      </c>
      <c r="CT32" s="13">
        <f>IF('Données projet'!$A$140&gt;35,CT31+CS32-DB31,IF(A32&lt;'Données projet'!$A$140,$CQ$205^A32,IF(A32='Données projet'!$A$140,'Données projet'!$B$140,CT31+CS32-DB31)))</f>
        <v>210.14615384615388</v>
      </c>
      <c r="CU32" s="18">
        <f>CT32*VLOOKUP('Données projet'!$B$13,Paramètres!$A$1:$I$89,3,0)*VLOOKUP('Données projet'!$B$13,Paramètres!$A$1:$I$89,5,0)</f>
        <v>125.66740000000003</v>
      </c>
      <c r="CV32" s="14">
        <f t="shared" si="41"/>
        <v>32.993256286656127</v>
      </c>
      <c r="CW32" s="22">
        <f t="shared" si="13"/>
        <v>276.33397636592611</v>
      </c>
      <c r="CX32" s="62">
        <f t="shared" si="14"/>
        <v>568.4450874770373</v>
      </c>
      <c r="CY32" s="62">
        <f ca="1">AVERAGE(OFFSET($CX$3,0,0,'Données projet'!$E$13+1,1))-AVERAGE(OFFSET($H$3,0,0,'Données projet'!$E$13+1,1))</f>
        <v>260.02504691866199</v>
      </c>
      <c r="CZ32" s="62">
        <f t="shared" si="42"/>
        <v>270.11268336406368</v>
      </c>
      <c r="DA32" s="16">
        <f>IF(ISNA(VLOOKUP(A32,'Données projet'!$A$139:$I$159,3,0)),0,VLOOKUP(A32,'Données projet'!$A$139:$I$159,3,0))</f>
        <v>3</v>
      </c>
      <c r="DB32" s="16">
        <f>IF(ISNA(VLOOKUP(A32,'Données projet'!$A$139:$I$159,4,0)),0,VLOOKUP(A32,'Données projet'!$A$139:$I$159,4,0))</f>
        <v>47.661538461538463</v>
      </c>
      <c r="DC32" s="17">
        <f>IF(ISNA(VLOOKUP(A32,'Données projet'!$A$139:$I$159,5,0)),0%,VLOOKUP(A32,'Données projet'!$A$139:$I$159,5,0)*VLOOKUP('Données projet'!$B$13,Paramètres!$A$1:$I$89,7,0))</f>
        <v>0.27</v>
      </c>
      <c r="DD32" s="17">
        <f>IF(ISNA(VLOOKUP(A32,'Données projet'!$A$139:$I$159,6,0)),0%,VLOOKUP(A32,'Données projet'!$A$139:$I$159,6,0)*VLOOKUP('Données projet'!$B$13,Paramètres!$A$1:$I$89,7,0))</f>
        <v>9.0000000000000011E-2</v>
      </c>
      <c r="DE32" s="17">
        <f>IF(ISNA(VLOOKUP(A32,'Données projet'!$A$139:$I$159,7,0)),0%,VLOOKUP(A32,'Données projet'!$A$139:$I$159,7,0))</f>
        <v>0.2</v>
      </c>
      <c r="DF32" s="23">
        <f>EXP(-LN(2)/35)*DF31+(1-EXP(-LN(2)/35))/(LN(2)/35)*DB32*DC32*VLOOKUP('Données projet'!$B$13,Paramètres!$A$1:$I$89,3,0)*0.475*44/12</f>
        <v>10.208486560452011</v>
      </c>
      <c r="DG32" s="23">
        <f>EXP(-LN(2)/25)*DG31+(1-EXP(-LN(2)/25))/(LN(2)/25)*Calculateur!DB32*Calculateur!DD32*VLOOKUP('Données projet'!$B$13,Paramètres!$A$1:$I$89,3,0)*0.475*44/12</f>
        <v>16.89811735183493</v>
      </c>
      <c r="DH32" s="23">
        <f>EXP(-LN(2)/2)*DH31+(1-EXP(-LN(2)/2))/(LN(2)/2)*DB32*DE32*VLOOKUP('Données projet'!$B$13,Paramètres!$A$1:$I$89,3,0)*0.475*44/12</f>
        <v>8.9660587546412494</v>
      </c>
      <c r="DI32" s="24">
        <f t="shared" si="15"/>
        <v>36.072662666928196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12</v>
      </c>
      <c r="DO32" s="13">
        <f>IF('Données projet'!$A$166&gt;35,DO31+DN32-DW31,IF(A32&lt;'Données projet'!$A$166,$DL$205^A32,IF(A32='Données projet'!$A$166,'Données projet'!$B$166,DO31+DN32-DW31)))</f>
        <v>162.99999999999994</v>
      </c>
      <c r="DP32" s="18">
        <f>DO32*VLOOKUP('Données projet'!$B$14,Paramètres!$A$1:$I$89,3,0)*VLOOKUP('Données projet'!$B$14,Paramètres!$A$1:$I$89,5,0)</f>
        <v>129.68279999999996</v>
      </c>
      <c r="DQ32" s="14">
        <f t="shared" si="43"/>
        <v>33.923053307545167</v>
      </c>
      <c r="DR32" s="22">
        <f t="shared" si="16"/>
        <v>284.94686117730771</v>
      </c>
      <c r="DS32" s="62">
        <f t="shared" si="17"/>
        <v>577.0579722884188</v>
      </c>
      <c r="DT32" s="62">
        <f ca="1">AVERAGE(OFFSET($DS$3,0,0,'Données projet'!$E$14+1,1))-AVERAGE(OFFSET($H$3,0,0,'Données projet'!$E$14+1,1))</f>
        <v>312.53381881960331</v>
      </c>
      <c r="DU32" s="62">
        <f t="shared" si="44"/>
        <v>342.06887933351783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3.6</v>
      </c>
      <c r="EJ32" s="13">
        <f>IF('Données projet'!$A$192&gt;35,EJ31+EI32-ER31,IF(A32&lt;'Données projet'!$A$192,$EG$205^A32,IF(A32='Données projet'!$A$192,'Données projet'!$B$192,EJ31+EI32-ER31)))</f>
        <v>50.400000000000006</v>
      </c>
      <c r="EK32" s="18">
        <f>EJ32*VLOOKUP('Données projet'!$B$15,Paramètres!$A$1:$I$89,3,0)*VLOOKUP('Données projet'!$B$15,Paramètres!$A$1:$I$89,5,0)</f>
        <v>48.746880000000012</v>
      </c>
      <c r="EL32" s="14">
        <f t="shared" si="45"/>
        <v>14.2896594492068</v>
      </c>
      <c r="EM32" s="22">
        <f t="shared" si="19"/>
        <v>109.78863954070187</v>
      </c>
      <c r="EN32" s="62">
        <f t="shared" si="20"/>
        <v>401.89975065181301</v>
      </c>
      <c r="EO32" s="62">
        <f ca="1">AVERAGE(OFFSET($EN$3,0,0,'Données projet'!$E$15+1,1))-AVERAGE(OFFSET($H$3,0,0,'Données projet'!$E$15+1,1))</f>
        <v>255.59755832175625</v>
      </c>
      <c r="EP32" s="62">
        <f t="shared" si="46"/>
        <v>154.0840647586964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3.78125</v>
      </c>
      <c r="FE32" s="13">
        <f>IF('Données projet'!$A$218&gt;35,FE31+FD32-FM31,IF(A32&lt;'Données projet'!$A$218,$FB$205^A32,IF(A32='Données projet'!$A$218,'Données projet'!$B$218,FE31+FD32-FM31)))</f>
        <v>77.183459735686043</v>
      </c>
      <c r="FF32" s="18">
        <f>FE32*VLOOKUP('Données projet'!$B$16,Paramètres!$A$1:$I$89,3,0)*VLOOKUP('Données projet'!$B$16,Paramètres!$A$1:$I$89,5,0)</f>
        <v>46.15570892194026</v>
      </c>
      <c r="FG32" s="14">
        <f t="shared" si="47"/>
        <v>13.616379627807939</v>
      </c>
      <c r="FH32" s="22">
        <f t="shared" si="22"/>
        <v>104.10305422414478</v>
      </c>
      <c r="FI32" s="62">
        <f t="shared" si="23"/>
        <v>396.21416533525593</v>
      </c>
      <c r="FJ32" s="62">
        <f ca="1">AVERAGE(OFFSET($FI$3,0,0,'Données projet'!$E$16+1,1))-AVERAGE(OFFSET($H$3,0,0,'Données projet'!$E$16+1,1))</f>
        <v>197.08445731383847</v>
      </c>
      <c r="FK32" s="62">
        <f t="shared" si="48"/>
        <v>157.12482557016511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503.67832244229635</v>
      </c>
      <c r="S33" s="62">
        <f ca="1">AVERAGE(OFFSET($R$3,0,0,'Données projet'!$E$9+1,1))-AVERAGE(OFFSET($H$3,0,0,'Données projet'!$E$9+1,1))</f>
        <v>428.8489304403459</v>
      </c>
      <c r="T33" s="62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2">
        <f t="shared" si="5"/>
        <v>528.40210679086033</v>
      </c>
      <c r="AN33" s="62">
        <f ca="1">AVERAGE(OFFSET($AM$3,0,0,'Données projet'!$E$10+1,1))-AVERAGE(OFFSET($H$3,0,0,'Données projet'!$E$10+1,1))</f>
        <v>475.47920969424894</v>
      </c>
      <c r="AO33" s="62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103.27692307692307</v>
      </c>
      <c r="BB33" s="13">
        <f>VLOOKUP(A33,'Données projet'!$A$87:$I$107,9,0)</f>
        <v>3.4425641025641025</v>
      </c>
      <c r="BC33" s="13">
        <f t="array" ref="BC33">INDEX(BB:BB,MIN(IF(ISNUMBER(BB33:BB229),ROW(BB33:BB229),"")))</f>
        <v>3.4425641025641025</v>
      </c>
      <c r="BD33" s="13">
        <f>IF('Données projet'!$A$88&gt;35,BD32+BC33-BL32,IF(A33&lt;'Données projet'!$A$88,$BA$205^A33,IF(A33='Données projet'!$A$88,'Données projet'!$B$88,BD32+BC33-BL32)))</f>
        <v>103.27692307692307</v>
      </c>
      <c r="BE33" s="14">
        <f>BD33*VLOOKUP('Données projet'!$B$11,Paramètres!$A$1:$I$89,3,0)*VLOOKUP('Données projet'!$B$11,Paramètres!$A$1:$I$89,5,0)</f>
        <v>48.333599999999997</v>
      </c>
      <c r="BF33" s="14">
        <f t="shared" si="37"/>
        <v>14.182559301951969</v>
      </c>
      <c r="BG33" s="22">
        <f t="shared" si="7"/>
        <v>108.88231078423301</v>
      </c>
      <c r="BH33" s="62">
        <f t="shared" si="8"/>
        <v>402.21564411756634</v>
      </c>
      <c r="BI33" s="62">
        <f ca="1">AVERAGE(OFFSET($BH$3,0,0,'Données projet'!$E$11+1,1))-AVERAGE(OFFSET($H$3,0,0,'Données projet'!$E$11+1,1))</f>
        <v>246.73711856758143</v>
      </c>
      <c r="BJ33" s="62">
        <f t="shared" si="38"/>
        <v>145.54897745089966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18.092307692307688</v>
      </c>
      <c r="BY33" s="13">
        <f>IF('Données projet'!$A$114&gt;35,BY32+BX33-CG32,IF(A33&lt;'Données projet'!$A$114,$BV$205^A33,IF(A33='Données projet'!$A$114,'Données projet'!$B$114,BY32+BX33-CG32)))</f>
        <v>215.03076923076921</v>
      </c>
      <c r="BZ33" s="14">
        <f>BY33*VLOOKUP('Données projet'!$B$12,Paramètres!$A$1:$I$89,3,0)*VLOOKUP('Données projet'!$B$12,Paramètres!$A$1:$I$89,5,0)</f>
        <v>120.20219999999999</v>
      </c>
      <c r="CA33" s="14">
        <f t="shared" si="39"/>
        <v>31.722154501696497</v>
      </c>
      <c r="CB33" s="22">
        <f t="shared" si="10"/>
        <v>264.60158409045465</v>
      </c>
      <c r="CC33" s="62">
        <f t="shared" si="11"/>
        <v>557.93491742378797</v>
      </c>
      <c r="CD33" s="62">
        <f ca="1">AVERAGE(OFFSET($CC$3,0,0,'Données projet'!$E$12+1,1))-AVERAGE(OFFSET($H$3,0,0,'Données projet'!$E$12+1,1))</f>
        <v>321.13335003345236</v>
      </c>
      <c r="CE33" s="62">
        <f t="shared" si="40"/>
        <v>301.26825075712128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20.61824910270435</v>
      </c>
      <c r="CM33" s="23">
        <f>EXP(-LN(2)/2)*CM32+(1-EXP(-LN(2)/2))/(LN(2)/2)*CG33*CJ33*VLOOKUP('Données projet'!$B$12,Paramètres!$A$1:$I$89,3,0)*0.475*44/12</f>
        <v>9.8611816687983254</v>
      </c>
      <c r="CN33" s="24">
        <f t="shared" si="12"/>
        <v>30.479430771502678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14.298901098901101</v>
      </c>
      <c r="CT33" s="13">
        <f>IF('Données projet'!$A$140&gt;35,CT32+CS33-DB32,IF(A33&lt;'Données projet'!$A$140,$CQ$205^A33,IF(A33='Données projet'!$A$140,'Données projet'!$B$140,CT32+CS33-DB32)))</f>
        <v>176.78351648351651</v>
      </c>
      <c r="CU33" s="18">
        <f>CT33*VLOOKUP('Données projet'!$B$13,Paramètres!$A$1:$I$89,3,0)*VLOOKUP('Données projet'!$B$13,Paramètres!$A$1:$I$89,5,0)</f>
        <v>105.71654285714287</v>
      </c>
      <c r="CV33" s="14">
        <f t="shared" si="41"/>
        <v>28.319447591123378</v>
      </c>
      <c r="CW33" s="22">
        <f t="shared" si="13"/>
        <v>233.44601669739703</v>
      </c>
      <c r="CX33" s="62">
        <f t="shared" si="14"/>
        <v>526.77935003073037</v>
      </c>
      <c r="CY33" s="62">
        <f ca="1">AVERAGE(OFFSET($CX$3,0,0,'Données projet'!$E$13+1,1))-AVERAGE(OFFSET($H$3,0,0,'Données projet'!$E$13+1,1))</f>
        <v>260.02504691866199</v>
      </c>
      <c r="CZ33" s="62">
        <f t="shared" si="42"/>
        <v>270.11268336406368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10.008304365563527</v>
      </c>
      <c r="DG33" s="23">
        <f>EXP(-LN(2)/25)*DG32+(1-EXP(-LN(2)/25))/(LN(2)/25)*Calculateur!DB33*Calculateur!DD33*VLOOKUP('Données projet'!$B$13,Paramètres!$A$1:$I$89,3,0)*0.475*44/12</f>
        <v>16.436037444215632</v>
      </c>
      <c r="DH33" s="23">
        <f>EXP(-LN(2)/2)*DH32+(1-EXP(-LN(2)/2))/(LN(2)/2)*DB33*DE33*VLOOKUP('Données projet'!$B$13,Paramètres!$A$1:$I$89,3,0)*0.475*44/12</f>
        <v>6.3399609459238393</v>
      </c>
      <c r="DI33" s="24">
        <f t="shared" si="15"/>
        <v>32.784302755703003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175</v>
      </c>
      <c r="DM33" s="13">
        <f>VLOOKUP(A33,'Données projet'!$A$165:$I$185,9,0)</f>
        <v>12</v>
      </c>
      <c r="DN33" s="13">
        <f t="array" ref="DN33">INDEX(DM:DM,MIN(IF(ISNUMBER(DM33:DM229),ROW(DM33:DM229),"")))</f>
        <v>12</v>
      </c>
      <c r="DO33" s="13">
        <f>IF('Données projet'!$A$166&gt;35,DO32+DN33-DW32,IF(A33&lt;'Données projet'!$A$166,$DL$205^A33,IF(A33='Données projet'!$A$166,'Données projet'!$B$166,DO32+DN33-DW32)))</f>
        <v>174.99999999999994</v>
      </c>
      <c r="DP33" s="18">
        <f>DO33*VLOOKUP('Données projet'!$B$14,Paramètres!$A$1:$I$89,3,0)*VLOOKUP('Données projet'!$B$14,Paramètres!$A$1:$I$89,5,0)</f>
        <v>139.22999999999996</v>
      </c>
      <c r="DQ33" s="14">
        <f t="shared" si="43"/>
        <v>36.120552727378737</v>
      </c>
      <c r="DR33" s="22">
        <f t="shared" si="16"/>
        <v>305.4022126668512</v>
      </c>
      <c r="DS33" s="62">
        <f t="shared" si="17"/>
        <v>598.73554600018451</v>
      </c>
      <c r="DT33" s="62">
        <f ca="1">AVERAGE(OFFSET($DS$3,0,0,'Données projet'!$E$14+1,1))-AVERAGE(OFFSET($H$3,0,0,'Données projet'!$E$14+1,1))</f>
        <v>312.53381881960331</v>
      </c>
      <c r="DU33" s="62">
        <f t="shared" si="44"/>
        <v>342.06887933351783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56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3.6</v>
      </c>
      <c r="EI33" s="13">
        <f t="array" ref="EI33">INDEX(EH:EH,MIN(IF(ISNUMBER(EH33:EH229),ROW(EH33:EH229),"")))</f>
        <v>3.6</v>
      </c>
      <c r="EJ33" s="13">
        <f>IF('Données projet'!$A$192&gt;35,EJ32+EI33-ER32,IF(A33&lt;'Données projet'!$A$192,$EG$205^A33,IF(A33='Données projet'!$A$192,'Données projet'!$B$192,EJ32+EI33-ER32)))</f>
        <v>54.000000000000007</v>
      </c>
      <c r="EK33" s="18">
        <f>EJ33*VLOOKUP('Données projet'!$B$15,Paramètres!$A$1:$I$89,3,0)*VLOOKUP('Données projet'!$B$15,Paramètres!$A$1:$I$89,5,0)</f>
        <v>52.228800000000007</v>
      </c>
      <c r="EL33" s="14">
        <f t="shared" si="45"/>
        <v>15.18788789973001</v>
      </c>
      <c r="EM33" s="22">
        <f t="shared" si="19"/>
        <v>117.41739809202979</v>
      </c>
      <c r="EN33" s="62">
        <f t="shared" si="20"/>
        <v>410.75073142536309</v>
      </c>
      <c r="EO33" s="62">
        <f ca="1">AVERAGE(OFFSET($EN$3,0,0,'Données projet'!$E$15+1,1))-AVERAGE(OFFSET($H$3,0,0,'Données projet'!$E$15+1,1))</f>
        <v>255.59755832175625</v>
      </c>
      <c r="EP33" s="62">
        <f t="shared" si="46"/>
        <v>154.0840647586964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3.78125</v>
      </c>
      <c r="FE33" s="13">
        <f>IF('Données projet'!$A$218&gt;35,FE32+FD33-FM32,IF(A33&lt;'Données projet'!$A$218,$FB$205^A33,IF(A33='Données projet'!$A$218,'Données projet'!$B$218,FE32+FD33-FM32)))</f>
        <v>89.66259101146386</v>
      </c>
      <c r="FF33" s="18">
        <f>FE33*VLOOKUP('Données projet'!$B$16,Paramètres!$A$1:$I$89,3,0)*VLOOKUP('Données projet'!$B$16,Paramètres!$A$1:$I$89,5,0)</f>
        <v>53.618229424855393</v>
      </c>
      <c r="FG33" s="14">
        <f t="shared" si="47"/>
        <v>15.544349849880573</v>
      </c>
      <c r="FH33" s="22">
        <f t="shared" si="22"/>
        <v>120.45815890349847</v>
      </c>
      <c r="FI33" s="62">
        <f t="shared" si="23"/>
        <v>413.7914922368318</v>
      </c>
      <c r="FJ33" s="62">
        <f ca="1">AVERAGE(OFFSET($FI$3,0,0,'Données projet'!$E$16+1,1))-AVERAGE(OFFSET($H$3,0,0,'Données projet'!$E$16+1,1))</f>
        <v>197.08445731383847</v>
      </c>
      <c r="FK33" s="62">
        <f t="shared" si="48"/>
        <v>157.12482557016511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428.8489304403459</v>
      </c>
      <c r="T34" s="62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475.47920969424894</v>
      </c>
      <c r="AO34" s="62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10.407692307692306</v>
      </c>
      <c r="BD34" s="13">
        <f>IF('Données projet'!$A$88&gt;35,BD33+BC34-BL33,IF(A34&lt;'Données projet'!$A$88,$BA$205^A34,IF(A34='Données projet'!$A$88,'Données projet'!$B$88,BD33+BC34-BL33)))</f>
        <v>113.68461538461537</v>
      </c>
      <c r="BE34" s="14">
        <f>BD34*VLOOKUP('Données projet'!$B$11,Paramètres!$A$1:$I$89,3,0)*VLOOKUP('Données projet'!$B$11,Paramètres!$A$1:$I$89,5,0)</f>
        <v>53.204399999999993</v>
      </c>
      <c r="BF34" s="14">
        <f t="shared" si="37"/>
        <v>15.43829445428918</v>
      </c>
      <c r="BG34" s="22">
        <f t="shared" si="7"/>
        <v>119.55269284122029</v>
      </c>
      <c r="BH34" s="62">
        <f t="shared" si="8"/>
        <v>412.88602617455359</v>
      </c>
      <c r="BI34" s="62">
        <f ca="1">AVERAGE(OFFSET($BH$3,0,0,'Données projet'!$E$11+1,1))-AVERAGE(OFFSET($H$3,0,0,'Données projet'!$E$11+1,1))</f>
        <v>246.73711856758143</v>
      </c>
      <c r="BJ34" s="62">
        <f t="shared" si="38"/>
        <v>145.54897745089966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18.092307692307688</v>
      </c>
      <c r="BY34" s="13">
        <f>IF('Données projet'!$A$114&gt;35,BY33+BX34-CG33,IF(A34&lt;'Données projet'!$A$114,$BV$205^A34,IF(A34='Données projet'!$A$114,'Données projet'!$B$114,BY33+BX34-CG33)))</f>
        <v>233.12307692307689</v>
      </c>
      <c r="BZ34" s="14">
        <f>BY34*VLOOKUP('Données projet'!$B$12,Paramètres!$A$1:$I$89,3,0)*VLOOKUP('Données projet'!$B$12,Paramètres!$A$1:$I$89,5,0)</f>
        <v>130.3158</v>
      </c>
      <c r="CA34" s="14">
        <f t="shared" si="39"/>
        <v>34.069321132661628</v>
      </c>
      <c r="CB34" s="22">
        <f t="shared" si="10"/>
        <v>286.30408597271895</v>
      </c>
      <c r="CC34" s="62">
        <f t="shared" si="11"/>
        <v>579.63741930605227</v>
      </c>
      <c r="CD34" s="62">
        <f ca="1">AVERAGE(OFFSET($CC$3,0,0,'Données projet'!$E$12+1,1))-AVERAGE(OFFSET($H$3,0,0,'Données projet'!$E$12+1,1))</f>
        <v>321.13335003345236</v>
      </c>
      <c r="CE34" s="62">
        <f t="shared" si="40"/>
        <v>301.26825075712128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20.054441996724304</v>
      </c>
      <c r="CM34" s="23">
        <f>EXP(-LN(2)/2)*CM33+(1-EXP(-LN(2)/2))/(LN(2)/2)*CG34*CJ34*VLOOKUP('Données projet'!$B$12,Paramètres!$A$1:$I$89,3,0)*0.475*44/12</f>
        <v>6.9729084285197711</v>
      </c>
      <c r="CN34" s="24">
        <f t="shared" si="12"/>
        <v>27.027350425244073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14.298901098901101</v>
      </c>
      <c r="CT34" s="13">
        <f>IF('Données projet'!$A$140&gt;35,CT33+CS34-DB33,IF(A34&lt;'Données projet'!$A$140,$CQ$205^A34,IF(A34='Données projet'!$A$140,'Données projet'!$B$140,CT33+CS34-DB33)))</f>
        <v>191.08241758241761</v>
      </c>
      <c r="CU34" s="18">
        <f>CT34*VLOOKUP('Données projet'!$B$13,Paramètres!$A$1:$I$89,3,0)*VLOOKUP('Données projet'!$B$13,Paramètres!$A$1:$I$89,5,0)</f>
        <v>114.26728571428573</v>
      </c>
      <c r="CV34" s="14">
        <f t="shared" si="41"/>
        <v>30.334152496808123</v>
      </c>
      <c r="CW34" s="22">
        <f t="shared" si="13"/>
        <v>251.84750488432181</v>
      </c>
      <c r="CX34" s="62">
        <f t="shared" si="14"/>
        <v>545.18083821765515</v>
      </c>
      <c r="CY34" s="62">
        <f ca="1">AVERAGE(OFFSET($CX$3,0,0,'Données projet'!$E$13+1,1))-AVERAGE(OFFSET($H$3,0,0,'Données projet'!$E$13+1,1))</f>
        <v>260.02504691866199</v>
      </c>
      <c r="CZ34" s="62">
        <f t="shared" si="42"/>
        <v>270.11268336406368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9.8120476214177241</v>
      </c>
      <c r="DG34" s="23">
        <f>EXP(-LN(2)/25)*DG33+(1-EXP(-LN(2)/25))/(LN(2)/25)*Calculateur!DB34*Calculateur!DD34*VLOOKUP('Données projet'!$B$13,Paramètres!$A$1:$I$89,3,0)*0.475*44/12</f>
        <v>15.986593135969912</v>
      </c>
      <c r="DH34" s="23">
        <f>EXP(-LN(2)/2)*DH33+(1-EXP(-LN(2)/2))/(LN(2)/2)*DB34*DE34*VLOOKUP('Données projet'!$B$13,Paramètres!$A$1:$I$89,3,0)*0.475*44/12</f>
        <v>4.4830293773206256</v>
      </c>
      <c r="DI34" s="24">
        <f t="shared" si="15"/>
        <v>30.281670134708264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10.6</v>
      </c>
      <c r="DO34" s="13">
        <f>IF('Données projet'!$A$166&gt;35,DO33+DN34-DW33,IF(A34&lt;'Données projet'!$A$166,$DL$205^A34,IF(A34='Données projet'!$A$166,'Données projet'!$B$166,DO33+DN34-DW33)))</f>
        <v>129.59999999999994</v>
      </c>
      <c r="DP34" s="18">
        <f>DO34*VLOOKUP('Données projet'!$B$14,Paramètres!$A$1:$I$89,3,0)*VLOOKUP('Données projet'!$B$14,Paramètres!$A$1:$I$89,5,0)</f>
        <v>103.10975999999997</v>
      </c>
      <c r="DQ34" s="14">
        <f t="shared" si="43"/>
        <v>27.701529389122925</v>
      </c>
      <c r="DR34" s="22">
        <f t="shared" si="16"/>
        <v>227.82966235272235</v>
      </c>
      <c r="DS34" s="62">
        <f t="shared" si="17"/>
        <v>521.16299568605564</v>
      </c>
      <c r="DT34" s="62">
        <f ca="1">AVERAGE(OFFSET($DS$3,0,0,'Données projet'!$E$14+1,1))-AVERAGE(OFFSET($H$3,0,0,'Données projet'!$E$14+1,1))</f>
        <v>312.53381881960331</v>
      </c>
      <c r="DU34" s="62">
        <f t="shared" si="44"/>
        <v>342.06887933351783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3.6</v>
      </c>
      <c r="EJ34" s="13">
        <f>IF('Données projet'!$A$192&gt;35,EJ33+EI34-ER33,IF(A34&lt;'Données projet'!$A$192,$EG$205^A34,IF(A34='Données projet'!$A$192,'Données projet'!$B$192,EJ33+EI34-ER33)))</f>
        <v>57.600000000000009</v>
      </c>
      <c r="EK34" s="18">
        <f>EJ34*VLOOKUP('Données projet'!$B$15,Paramètres!$A$1:$I$89,3,0)*VLOOKUP('Données projet'!$B$15,Paramètres!$A$1:$I$89,5,0)</f>
        <v>55.710720000000009</v>
      </c>
      <c r="EL34" s="14">
        <f t="shared" si="45"/>
        <v>16.079167640728176</v>
      </c>
      <c r="EM34" s="22">
        <f t="shared" si="19"/>
        <v>125.03405430760159</v>
      </c>
      <c r="EN34" s="62">
        <f t="shared" si="20"/>
        <v>418.36738764093491</v>
      </c>
      <c r="EO34" s="62">
        <f ca="1">AVERAGE(OFFSET($EN$3,0,0,'Données projet'!$E$15+1,1))-AVERAGE(OFFSET($H$3,0,0,'Données projet'!$E$15+1,1))</f>
        <v>255.59755832175625</v>
      </c>
      <c r="EP34" s="62">
        <f t="shared" si="46"/>
        <v>154.0840647586964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3.78125</v>
      </c>
      <c r="FE34" s="13">
        <f>IF('Données projet'!$A$218&gt;35,FE33+FD34-FM33,IF(A34&lt;'Données projet'!$A$218,$FB$205^A34,IF(A34='Données projet'!$A$218,'Données projet'!$B$218,FE33+FD34-FM33)))</f>
        <v>104.15936593694833</v>
      </c>
      <c r="FF34" s="18">
        <f>FE34*VLOOKUP('Données projet'!$B$16,Paramètres!$A$1:$I$89,3,0)*VLOOKUP('Données projet'!$B$16,Paramètres!$A$1:$I$89,5,0)</f>
        <v>62.287300830295109</v>
      </c>
      <c r="FG34" s="14">
        <f t="shared" si="47"/>
        <v>17.74530520300873</v>
      </c>
      <c r="FH34" s="22">
        <f t="shared" si="22"/>
        <v>139.39012217467084</v>
      </c>
      <c r="FI34" s="62">
        <f t="shared" si="23"/>
        <v>432.72345550800412</v>
      </c>
      <c r="FJ34" s="62">
        <f ca="1">AVERAGE(OFFSET($FI$3,0,0,'Données projet'!$E$16+1,1))-AVERAGE(OFFSET($H$3,0,0,'Données projet'!$E$16+1,1))</f>
        <v>197.08445731383847</v>
      </c>
      <c r="FK34" s="62">
        <f t="shared" si="48"/>
        <v>157.12482557016511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428.8489304403459</v>
      </c>
      <c r="T35" s="62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475.47920969424894</v>
      </c>
      <c r="AO35" s="62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10.407692307692306</v>
      </c>
      <c r="BD35" s="13">
        <f>IF('Données projet'!$A$88&gt;35,BD34+BC35-BL34,IF(A35&lt;'Données projet'!$A$88,$BA$205^A35,IF(A35='Données projet'!$A$88,'Données projet'!$B$88,BD34+BC35-BL34)))</f>
        <v>124.09230769230767</v>
      </c>
      <c r="BE35" s="14">
        <f>BD35*VLOOKUP('Données projet'!$B$11,Paramètres!$A$1:$I$89,3,0)*VLOOKUP('Données projet'!$B$11,Paramètres!$A$1:$I$89,5,0)</f>
        <v>58.075199999999995</v>
      </c>
      <c r="BF35" s="14">
        <f t="shared" si="37"/>
        <v>16.680699544623803</v>
      </c>
      <c r="BG35" s="22">
        <f t="shared" si="7"/>
        <v>130.19985837355313</v>
      </c>
      <c r="BH35" s="62">
        <f t="shared" si="8"/>
        <v>423.53319170688644</v>
      </c>
      <c r="BI35" s="62">
        <f ca="1">AVERAGE(OFFSET($BH$3,0,0,'Données projet'!$E$11+1,1))-AVERAGE(OFFSET($H$3,0,0,'Données projet'!$E$11+1,1))</f>
        <v>246.73711856758143</v>
      </c>
      <c r="BJ35" s="62">
        <f t="shared" si="38"/>
        <v>145.54897745089966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18.092307692307688</v>
      </c>
      <c r="BY35" s="13">
        <f>IF('Données projet'!$A$114&gt;35,BY34+BX35-CG34,IF(A35&lt;'Données projet'!$A$114,$BV$205^A35,IF(A35='Données projet'!$A$114,'Données projet'!$B$114,BY34+BX35-CG34)))</f>
        <v>251.21538461538458</v>
      </c>
      <c r="BZ35" s="14">
        <f>BY35*VLOOKUP('Données projet'!$B$12,Paramètres!$A$1:$I$89,3,0)*VLOOKUP('Données projet'!$B$12,Paramètres!$A$1:$I$89,5,0)</f>
        <v>140.42939999999999</v>
      </c>
      <c r="CA35" s="14">
        <f t="shared" si="39"/>
        <v>36.395357465468557</v>
      </c>
      <c r="CB35" s="22">
        <f t="shared" si="10"/>
        <v>307.96978591902433</v>
      </c>
      <c r="CC35" s="62">
        <f t="shared" si="11"/>
        <v>601.30311925235765</v>
      </c>
      <c r="CD35" s="62">
        <f ca="1">AVERAGE(OFFSET($CC$3,0,0,'Données projet'!$E$12+1,1))-AVERAGE(OFFSET($H$3,0,0,'Données projet'!$E$12+1,1))</f>
        <v>321.13335003345236</v>
      </c>
      <c r="CE35" s="62">
        <f t="shared" si="40"/>
        <v>301.26825075712128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19.506052225706608</v>
      </c>
      <c r="CM35" s="23">
        <f>EXP(-LN(2)/2)*CM34+(1-EXP(-LN(2)/2))/(LN(2)/2)*CG35*CJ35*VLOOKUP('Données projet'!$B$12,Paramètres!$A$1:$I$89,3,0)*0.475*44/12</f>
        <v>4.9305908343991627</v>
      </c>
      <c r="CN35" s="24">
        <f t="shared" si="12"/>
        <v>24.436643060105769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14.298901098901101</v>
      </c>
      <c r="CT35" s="13">
        <f>IF('Données projet'!$A$140&gt;35,CT34+CS35-DB34,IF(A35&lt;'Données projet'!$A$140,$CQ$205^A35,IF(A35='Données projet'!$A$140,'Données projet'!$B$140,CT34+CS35-DB34)))</f>
        <v>205.3813186813187</v>
      </c>
      <c r="CU35" s="18">
        <f>CT35*VLOOKUP('Données projet'!$B$13,Paramètres!$A$1:$I$89,3,0)*VLOOKUP('Données projet'!$B$13,Paramètres!$A$1:$I$89,5,0)</f>
        <v>122.81802857142858</v>
      </c>
      <c r="CV35" s="14">
        <f t="shared" si="41"/>
        <v>32.331367630744694</v>
      </c>
      <c r="CW35" s="22">
        <f t="shared" si="13"/>
        <v>270.21853171878513</v>
      </c>
      <c r="CX35" s="62">
        <f t="shared" si="14"/>
        <v>563.5518650521185</v>
      </c>
      <c r="CY35" s="62">
        <f ca="1">AVERAGE(OFFSET($CX$3,0,0,'Données projet'!$E$13+1,1))-AVERAGE(OFFSET($H$3,0,0,'Données projet'!$E$13+1,1))</f>
        <v>260.02504691866199</v>
      </c>
      <c r="CZ35" s="62">
        <f t="shared" si="42"/>
        <v>270.11268336406368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9.619639352319826</v>
      </c>
      <c r="DG35" s="23">
        <f>EXP(-LN(2)/25)*DG34+(1-EXP(-LN(2)/25))/(LN(2)/25)*Calculateur!DB35*Calculateur!DD35*VLOOKUP('Données projet'!$B$13,Paramètres!$A$1:$I$89,3,0)*0.475*44/12</f>
        <v>15.549438905968419</v>
      </c>
      <c r="DH35" s="23">
        <f>EXP(-LN(2)/2)*DH34+(1-EXP(-LN(2)/2))/(LN(2)/2)*DB35*DE35*VLOOKUP('Données projet'!$B$13,Paramètres!$A$1:$I$89,3,0)*0.475*44/12</f>
        <v>3.1699804729619201</v>
      </c>
      <c r="DI35" s="24">
        <f t="shared" si="15"/>
        <v>28.339058731250166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10.6</v>
      </c>
      <c r="DO35" s="13">
        <f>IF('Données projet'!$A$166&gt;35,DO34+DN35-DW34,IF(A35&lt;'Données projet'!$A$166,$DL$205^A35,IF(A35='Données projet'!$A$166,'Données projet'!$B$166,DO34+DN35-DW34)))</f>
        <v>140.19999999999993</v>
      </c>
      <c r="DP35" s="18">
        <f>DO35*VLOOKUP('Données projet'!$B$14,Paramètres!$A$1:$I$89,3,0)*VLOOKUP('Données projet'!$B$14,Paramètres!$A$1:$I$89,5,0)</f>
        <v>111.54311999999996</v>
      </c>
      <c r="DQ35" s="14">
        <f t="shared" si="43"/>
        <v>29.6942603807586</v>
      </c>
      <c r="DR35" s="22">
        <f t="shared" si="16"/>
        <v>245.98843749648782</v>
      </c>
      <c r="DS35" s="62">
        <f t="shared" si="17"/>
        <v>539.32177082982116</v>
      </c>
      <c r="DT35" s="62">
        <f ca="1">AVERAGE(OFFSET($DS$3,0,0,'Données projet'!$E$14+1,1))-AVERAGE(OFFSET($H$3,0,0,'Données projet'!$E$14+1,1))</f>
        <v>312.53381881960331</v>
      </c>
      <c r="DU35" s="62">
        <f t="shared" si="44"/>
        <v>342.06887933351783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3.6</v>
      </c>
      <c r="EJ35" s="13">
        <f>IF('Données projet'!$A$192&gt;35,EJ34+EI35-ER34,IF(A35&lt;'Données projet'!$A$192,$EG$205^A35,IF(A35='Données projet'!$A$192,'Données projet'!$B$192,EJ34+EI35-ER34)))</f>
        <v>61.20000000000001</v>
      </c>
      <c r="EK35" s="18">
        <f>EJ35*VLOOKUP('Données projet'!$B$15,Paramètres!$A$1:$I$89,3,0)*VLOOKUP('Données projet'!$B$15,Paramètres!$A$1:$I$89,5,0)</f>
        <v>59.192640000000004</v>
      </c>
      <c r="EL35" s="14">
        <f t="shared" si="45"/>
        <v>16.963982408330725</v>
      </c>
      <c r="EM35" s="22">
        <f t="shared" si="19"/>
        <v>132.63945069450935</v>
      </c>
      <c r="EN35" s="62">
        <f t="shared" si="20"/>
        <v>425.97278402784264</v>
      </c>
      <c r="EO35" s="62">
        <f ca="1">AVERAGE(OFFSET($EN$3,0,0,'Données projet'!$E$15+1,1))-AVERAGE(OFFSET($H$3,0,0,'Données projet'!$E$15+1,1))</f>
        <v>255.59755832175625</v>
      </c>
      <c r="EP35" s="62">
        <f t="shared" si="46"/>
        <v>154.0840647586964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>
        <f>VLOOKUP(A35,'Données projet'!$A$217:$I$237,2,0)</f>
        <v>121</v>
      </c>
      <c r="FC35" s="13">
        <f>VLOOKUP(A35,'Données projet'!$A$217:$I$237,9,0)</f>
        <v>3.78125</v>
      </c>
      <c r="FD35" s="13">
        <f t="array" ref="FD35">INDEX(FC:FC,MIN(IF(ISNUMBER(FC35:FC231),ROW(FC35:FC231),"")))</f>
        <v>3.78125</v>
      </c>
      <c r="FE35" s="13">
        <f>IF('Données projet'!$A$218&gt;35,FE34+FD35-FM34,IF(A35&lt;'Données projet'!$A$218,$FB$205^A35,IF(A35='Données projet'!$A$218,'Données projet'!$B$218,FE34+FD35-FM34)))</f>
        <v>121</v>
      </c>
      <c r="FF35" s="18">
        <f>FE35*VLOOKUP('Données projet'!$B$16,Paramètres!$A$1:$I$89,3,0)*VLOOKUP('Données projet'!$B$16,Paramètres!$A$1:$I$89,5,0)</f>
        <v>72.358000000000004</v>
      </c>
      <c r="FG35" s="14">
        <f t="shared" si="47"/>
        <v>20.257898193815318</v>
      </c>
      <c r="FH35" s="22">
        <f t="shared" si="22"/>
        <v>161.30602268756169</v>
      </c>
      <c r="FI35" s="62">
        <f t="shared" si="23"/>
        <v>454.63935602089498</v>
      </c>
      <c r="FJ35" s="62">
        <f ca="1">AVERAGE(OFFSET($FI$3,0,0,'Données projet'!$E$16+1,1))-AVERAGE(OFFSET($H$3,0,0,'Données projet'!$E$16+1,1))</f>
        <v>197.08445731383847</v>
      </c>
      <c r="FK35" s="62">
        <f t="shared" si="48"/>
        <v>157.12482557016511</v>
      </c>
      <c r="FL35" s="16">
        <f>IF(ISNA(VLOOKUP(A35,'Données projet'!$A$217:$I$237,3,0)),0,VLOOKUP(A35,'Données projet'!$A$217:$I$237,3,0))</f>
        <v>1</v>
      </c>
      <c r="FM35" s="16">
        <f>IF(ISNA(VLOOKUP(A35,'Données projet'!$A$217:$I$237,4,0)),0,VLOOKUP(A35,'Données projet'!$A$217:$I$237,4,0))</f>
        <v>46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428.8489304403459</v>
      </c>
      <c r="T36" s="62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475.47920969424894</v>
      </c>
      <c r="AO36" s="62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10.407692307692306</v>
      </c>
      <c r="BD36" s="13">
        <f>IF('Données projet'!$A$88&gt;35,BD35+BC36-BL35,IF(A36&lt;'Données projet'!$A$88,$BA$205^A36,IF(A36='Données projet'!$A$88,'Données projet'!$B$88,BD35+BC36-BL35)))</f>
        <v>134.49999999999997</v>
      </c>
      <c r="BE36" s="14">
        <f>BD36*VLOOKUP('Données projet'!$B$11,Paramètres!$A$1:$I$89,3,0)*VLOOKUP('Données projet'!$B$11,Paramètres!$A$1:$I$89,5,0)</f>
        <v>62.945999999999984</v>
      </c>
      <c r="BF36" s="14">
        <f t="shared" si="37"/>
        <v>17.911019680519317</v>
      </c>
      <c r="BG36" s="22">
        <f t="shared" si="7"/>
        <v>140.82597594357108</v>
      </c>
      <c r="BH36" s="62">
        <f t="shared" si="8"/>
        <v>434.15930927690442</v>
      </c>
      <c r="BI36" s="62">
        <f ca="1">AVERAGE(OFFSET($BH$3,0,0,'Données projet'!$E$11+1,1))-AVERAGE(OFFSET($H$3,0,0,'Données projet'!$E$11+1,1))</f>
        <v>246.73711856758143</v>
      </c>
      <c r="BJ36" s="62">
        <f t="shared" si="38"/>
        <v>145.54897745089966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18.092307692307688</v>
      </c>
      <c r="BY36" s="13">
        <f>IF('Données projet'!$A$114&gt;35,BY35+BX36-CG35,IF(A36&lt;'Données projet'!$A$114,$BV$205^A36,IF(A36='Données projet'!$A$114,'Données projet'!$B$114,BY35+BX36-CG35)))</f>
        <v>269.30769230769226</v>
      </c>
      <c r="BZ36" s="14">
        <f>BY36*VLOOKUP('Données projet'!$B$12,Paramètres!$A$1:$I$89,3,0)*VLOOKUP('Données projet'!$B$12,Paramètres!$A$1:$I$89,5,0)</f>
        <v>150.54299999999998</v>
      </c>
      <c r="CA36" s="14">
        <f t="shared" si="39"/>
        <v>38.701958356159636</v>
      </c>
      <c r="CB36" s="22">
        <f t="shared" si="10"/>
        <v>329.60163580364463</v>
      </c>
      <c r="CC36" s="62">
        <f t="shared" si="11"/>
        <v>622.934969136978</v>
      </c>
      <c r="CD36" s="62">
        <f ca="1">AVERAGE(OFFSET($CC$3,0,0,'Données projet'!$E$12+1,1))-AVERAGE(OFFSET($H$3,0,0,'Données projet'!$E$12+1,1))</f>
        <v>321.13335003345236</v>
      </c>
      <c r="CE36" s="62">
        <f t="shared" si="40"/>
        <v>301.26825075712128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18.972658201815957</v>
      </c>
      <c r="CM36" s="23">
        <f>EXP(-LN(2)/2)*CM35+(1-EXP(-LN(2)/2))/(LN(2)/2)*CG36*CJ36*VLOOKUP('Données projet'!$B$12,Paramètres!$A$1:$I$89,3,0)*0.475*44/12</f>
        <v>3.4864542142598856</v>
      </c>
      <c r="CN36" s="24">
        <f t="shared" si="12"/>
        <v>22.459112416075843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14.298901098901101</v>
      </c>
      <c r="CT36" s="13">
        <f>IF('Données projet'!$A$140&gt;35,CT35+CS36-DB35,IF(A36&lt;'Données projet'!$A$140,$CQ$205^A36,IF(A36='Données projet'!$A$140,'Données projet'!$B$140,CT35+CS36-DB35)))</f>
        <v>219.6802197802198</v>
      </c>
      <c r="CU36" s="18">
        <f>CT36*VLOOKUP('Données projet'!$B$13,Paramètres!$A$1:$I$89,3,0)*VLOOKUP('Données projet'!$B$13,Paramètres!$A$1:$I$89,5,0)</f>
        <v>131.36877142857145</v>
      </c>
      <c r="CV36" s="14">
        <f t="shared" si="41"/>
        <v>34.312449162076589</v>
      </c>
      <c r="CW36" s="22">
        <f t="shared" si="13"/>
        <v>288.56145919537863</v>
      </c>
      <c r="CX36" s="62">
        <f t="shared" si="14"/>
        <v>581.89479252871195</v>
      </c>
      <c r="CY36" s="62">
        <f ca="1">AVERAGE(OFFSET($CX$3,0,0,'Données projet'!$E$13+1,1))-AVERAGE(OFFSET($H$3,0,0,'Données projet'!$E$13+1,1))</f>
        <v>260.02504691866199</v>
      </c>
      <c r="CZ36" s="62">
        <f t="shared" si="42"/>
        <v>270.11268336406368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9.4310040920214817</v>
      </c>
      <c r="DG36" s="23">
        <f>EXP(-LN(2)/25)*DG35+(1-EXP(-LN(2)/25))/(LN(2)/25)*Calculateur!DB36*Calculateur!DD36*VLOOKUP('Données projet'!$B$13,Paramètres!$A$1:$I$89,3,0)*0.475*44/12</f>
        <v>15.124238681375259</v>
      </c>
      <c r="DH36" s="23">
        <f>EXP(-LN(2)/2)*DH35+(1-EXP(-LN(2)/2))/(LN(2)/2)*DB36*DE36*VLOOKUP('Données projet'!$B$13,Paramètres!$A$1:$I$89,3,0)*0.475*44/12</f>
        <v>2.2415146886603132</v>
      </c>
      <c r="DI36" s="24">
        <f t="shared" si="15"/>
        <v>26.796757462057055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10.6</v>
      </c>
      <c r="DO36" s="13">
        <f>IF('Données projet'!$A$166&gt;35,DO35+DN36-DW35,IF(A36&lt;'Données projet'!$A$166,$DL$205^A36,IF(A36='Données projet'!$A$166,'Données projet'!$B$166,DO35+DN36-DW35)))</f>
        <v>150.79999999999993</v>
      </c>
      <c r="DP36" s="18">
        <f>DO36*VLOOKUP('Données projet'!$B$14,Paramètres!$A$1:$I$89,3,0)*VLOOKUP('Données projet'!$B$14,Paramètres!$A$1:$I$89,5,0)</f>
        <v>119.97647999999994</v>
      </c>
      <c r="DQ36" s="14">
        <f t="shared" si="43"/>
        <v>31.669513577784763</v>
      </c>
      <c r="DR36" s="22">
        <f t="shared" si="16"/>
        <v>264.11677214797504</v>
      </c>
      <c r="DS36" s="62">
        <f t="shared" si="17"/>
        <v>557.45010548130836</v>
      </c>
      <c r="DT36" s="62">
        <f ca="1">AVERAGE(OFFSET($DS$3,0,0,'Données projet'!$E$14+1,1))-AVERAGE(OFFSET($H$3,0,0,'Données projet'!$E$14+1,1))</f>
        <v>312.53381881960331</v>
      </c>
      <c r="DU36" s="62">
        <f t="shared" si="44"/>
        <v>342.06887933351783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3.6</v>
      </c>
      <c r="EJ36" s="13">
        <f>IF('Données projet'!$A$192&gt;35,EJ35+EI36-ER35,IF(A36&lt;'Données projet'!$A$192,$EG$205^A36,IF(A36='Données projet'!$A$192,'Données projet'!$B$192,EJ35+EI36-ER35)))</f>
        <v>64.800000000000011</v>
      </c>
      <c r="EK36" s="18">
        <f>EJ36*VLOOKUP('Données projet'!$B$15,Paramètres!$A$1:$I$89,3,0)*VLOOKUP('Données projet'!$B$15,Paramètres!$A$1:$I$89,5,0)</f>
        <v>62.674560000000014</v>
      </c>
      <c r="EL36" s="14">
        <f t="shared" si="45"/>
        <v>17.8427558136393</v>
      </c>
      <c r="EM36" s="22">
        <f t="shared" si="19"/>
        <v>140.23432504208844</v>
      </c>
      <c r="EN36" s="62">
        <f t="shared" si="20"/>
        <v>433.56765837542173</v>
      </c>
      <c r="EO36" s="62">
        <f ca="1">AVERAGE(OFFSET($EN$3,0,0,'Données projet'!$E$15+1,1))-AVERAGE(OFFSET($H$3,0,0,'Données projet'!$E$15+1,1))</f>
        <v>255.59755832175625</v>
      </c>
      <c r="EP36" s="62">
        <f t="shared" si="46"/>
        <v>154.0840647586964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9.5</v>
      </c>
      <c r="FE36" s="13">
        <f>IF('Données projet'!$A$218&gt;35,FE35+FD36-FM35,IF(A36&lt;'Données projet'!$A$218,$FB$205^A36,IF(A36='Données projet'!$A$218,'Données projet'!$B$218,FE35+FD36-FM35)))</f>
        <v>84.5</v>
      </c>
      <c r="FF36" s="18">
        <f>FE36*VLOOKUP('Données projet'!$B$16,Paramètres!$A$1:$I$89,3,0)*VLOOKUP('Données projet'!$B$16,Paramètres!$A$1:$I$89,5,0)</f>
        <v>50.531000000000006</v>
      </c>
      <c r="FG36" s="14">
        <f t="shared" si="47"/>
        <v>14.750808302375741</v>
      </c>
      <c r="FH36" s="22">
        <f t="shared" si="22"/>
        <v>113.69914945997108</v>
      </c>
      <c r="FI36" s="62">
        <f t="shared" si="23"/>
        <v>407.03248279330438</v>
      </c>
      <c r="FJ36" s="62">
        <f ca="1">AVERAGE(OFFSET($FI$3,0,0,'Données projet'!$E$16+1,1))-AVERAGE(OFFSET($H$3,0,0,'Données projet'!$E$16+1,1))</f>
        <v>197.08445731383847</v>
      </c>
      <c r="FK36" s="62">
        <f t="shared" si="48"/>
        <v>157.12482557016511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428.8489304403459</v>
      </c>
      <c r="T37" s="62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475.47920969424894</v>
      </c>
      <c r="AO37" s="62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10.407692307692306</v>
      </c>
      <c r="BD37" s="13">
        <f>IF('Données projet'!$A$88&gt;35,BD36+BC37-BL36,IF(A37&lt;'Données projet'!$A$88,$BA$205^A37,IF(A37='Données projet'!$A$88,'Données projet'!$B$88,BD36+BC37-BL36)))</f>
        <v>144.90769230769229</v>
      </c>
      <c r="BE37" s="14">
        <f>BD37*VLOOKUP('Données projet'!$B$11,Paramètres!$A$1:$I$89,3,0)*VLOOKUP('Données projet'!$B$11,Paramètres!$A$1:$I$89,5,0)</f>
        <v>67.816799999999986</v>
      </c>
      <c r="BF37" s="14">
        <f t="shared" si="37"/>
        <v>19.130296326257337</v>
      </c>
      <c r="BG37" s="22">
        <f t="shared" si="7"/>
        <v>151.43285943489818</v>
      </c>
      <c r="BH37" s="62">
        <f t="shared" si="8"/>
        <v>444.76619276823146</v>
      </c>
      <c r="BI37" s="62">
        <f ca="1">AVERAGE(OFFSET($BH$3,0,0,'Données projet'!$E$11+1,1))-AVERAGE(OFFSET($H$3,0,0,'Données projet'!$E$11+1,1))</f>
        <v>246.73711856758143</v>
      </c>
      <c r="BJ37" s="62">
        <f t="shared" si="38"/>
        <v>145.54897745089966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18.092307692307688</v>
      </c>
      <c r="BY37" s="13">
        <f>IF('Données projet'!$A$114&gt;35,BY36+BX37-CG36,IF(A37&lt;'Données projet'!$A$114,$BV$205^A37,IF(A37='Données projet'!$A$114,'Données projet'!$B$114,BY36+BX37-CG36)))</f>
        <v>287.39999999999998</v>
      </c>
      <c r="BZ37" s="14">
        <f>BY37*VLOOKUP('Données projet'!$B$12,Paramètres!$A$1:$I$89,3,0)*VLOOKUP('Données projet'!$B$12,Paramètres!$A$1:$I$89,5,0)</f>
        <v>160.6566</v>
      </c>
      <c r="CA37" s="14">
        <f t="shared" si="39"/>
        <v>40.990578051927393</v>
      </c>
      <c r="CB37" s="22">
        <f t="shared" si="10"/>
        <v>351.20216844044018</v>
      </c>
      <c r="CC37" s="62">
        <f t="shared" si="11"/>
        <v>644.53550177377349</v>
      </c>
      <c r="CD37" s="62">
        <f ca="1">AVERAGE(OFFSET($CC$3,0,0,'Données projet'!$E$12+1,1))-AVERAGE(OFFSET($H$3,0,0,'Données projet'!$E$12+1,1))</f>
        <v>321.13335003345236</v>
      </c>
      <c r="CE37" s="62">
        <f t="shared" si="40"/>
        <v>301.26825075712128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18.453849865558567</v>
      </c>
      <c r="CM37" s="23">
        <f>EXP(-LN(2)/2)*CM36+(1-EXP(-LN(2)/2))/(LN(2)/2)*CG37*CJ37*VLOOKUP('Données projet'!$B$12,Paramètres!$A$1:$I$89,3,0)*0.475*44/12</f>
        <v>2.4652954171995813</v>
      </c>
      <c r="CN37" s="24">
        <f t="shared" si="12"/>
        <v>20.919145282758148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14.298901098901101</v>
      </c>
      <c r="CT37" s="13">
        <f>IF('Données projet'!$A$140&gt;35,CT36+CS37-DB36,IF(A37&lt;'Données projet'!$A$140,$CQ$205^A37,IF(A37='Données projet'!$A$140,'Données projet'!$B$140,CT36+CS37-DB36)))</f>
        <v>233.9791208791209</v>
      </c>
      <c r="CU37" s="18">
        <f>CT37*VLOOKUP('Données projet'!$B$13,Paramètres!$A$1:$I$89,3,0)*VLOOKUP('Données projet'!$B$13,Paramètres!$A$1:$I$89,5,0)</f>
        <v>139.91951428571431</v>
      </c>
      <c r="CV37" s="14">
        <f t="shared" si="41"/>
        <v>36.278566731027588</v>
      </c>
      <c r="CW37" s="22">
        <f t="shared" si="13"/>
        <v>306.87832443749215</v>
      </c>
      <c r="CX37" s="62">
        <f t="shared" si="14"/>
        <v>600.21165777082547</v>
      </c>
      <c r="CY37" s="62">
        <f ca="1">AVERAGE(OFFSET($CX$3,0,0,'Données projet'!$E$13+1,1))-AVERAGE(OFFSET($H$3,0,0,'Données projet'!$E$13+1,1))</f>
        <v>260.02504691866199</v>
      </c>
      <c r="CZ37" s="62">
        <f t="shared" si="42"/>
        <v>270.11268336406368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9.2460678541214403</v>
      </c>
      <c r="DG37" s="23">
        <f>EXP(-LN(2)/25)*DG36+(1-EXP(-LN(2)/25))/(LN(2)/25)*Calculateur!DB37*Calculateur!DD37*VLOOKUP('Données projet'!$B$13,Paramètres!$A$1:$I$89,3,0)*0.475*44/12</f>
        <v>14.710665579283907</v>
      </c>
      <c r="DH37" s="23">
        <f>EXP(-LN(2)/2)*DH36+(1-EXP(-LN(2)/2))/(LN(2)/2)*DB37*DE37*VLOOKUP('Données projet'!$B$13,Paramètres!$A$1:$I$89,3,0)*0.475*44/12</f>
        <v>1.5849902364809605</v>
      </c>
      <c r="DI37" s="24">
        <f t="shared" si="15"/>
        <v>25.541723669886309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10.6</v>
      </c>
      <c r="DO37" s="13">
        <f>IF('Données projet'!$A$166&gt;35,DO36+DN37-DW36,IF(A37&lt;'Données projet'!$A$166,$DL$205^A37,IF(A37='Données projet'!$A$166,'Données projet'!$B$166,DO36+DN37-DW36)))</f>
        <v>161.39999999999992</v>
      </c>
      <c r="DP37" s="18">
        <f>DO37*VLOOKUP('Données projet'!$B$14,Paramètres!$A$1:$I$89,3,0)*VLOOKUP('Données projet'!$B$14,Paramètres!$A$1:$I$89,5,0)</f>
        <v>128.40983999999995</v>
      </c>
      <c r="DQ37" s="14">
        <f t="shared" si="43"/>
        <v>33.62865726522088</v>
      </c>
      <c r="DR37" s="22">
        <f t="shared" si="16"/>
        <v>282.21704940359291</v>
      </c>
      <c r="DS37" s="62">
        <f t="shared" si="17"/>
        <v>575.55038273692617</v>
      </c>
      <c r="DT37" s="62">
        <f ca="1">AVERAGE(OFFSET($DS$3,0,0,'Données projet'!$E$14+1,1))-AVERAGE(OFFSET($H$3,0,0,'Données projet'!$E$14+1,1))</f>
        <v>312.53381881960331</v>
      </c>
      <c r="DU37" s="62">
        <f t="shared" si="44"/>
        <v>342.06887933351783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3.6</v>
      </c>
      <c r="EJ37" s="13">
        <f>IF('Données projet'!$A$192&gt;35,EJ36+EI37-ER36,IF(A37&lt;'Données projet'!$A$192,$EG$205^A37,IF(A37='Données projet'!$A$192,'Données projet'!$B$192,EJ36+EI37-ER36)))</f>
        <v>68.400000000000006</v>
      </c>
      <c r="EK37" s="18">
        <f>EJ37*VLOOKUP('Données projet'!$B$15,Paramètres!$A$1:$I$89,3,0)*VLOOKUP('Données projet'!$B$15,Paramètres!$A$1:$I$89,5,0)</f>
        <v>66.156480000000002</v>
      </c>
      <c r="EL37" s="14">
        <f t="shared" si="45"/>
        <v>18.71586174150994</v>
      </c>
      <c r="EM37" s="22">
        <f t="shared" si="19"/>
        <v>147.81932853312981</v>
      </c>
      <c r="EN37" s="62">
        <f t="shared" si="20"/>
        <v>441.15266186646312</v>
      </c>
      <c r="EO37" s="62">
        <f ca="1">AVERAGE(OFFSET($EN$3,0,0,'Données projet'!$E$15+1,1))-AVERAGE(OFFSET($H$3,0,0,'Données projet'!$E$15+1,1))</f>
        <v>255.59755832175625</v>
      </c>
      <c r="EP37" s="62">
        <f t="shared" si="46"/>
        <v>154.0840647586964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9.5</v>
      </c>
      <c r="FE37" s="13">
        <f>IF('Données projet'!$A$218&gt;35,FE36+FD37-FM36,IF(A37&lt;'Données projet'!$A$218,$FB$205^A37,IF(A37='Données projet'!$A$218,'Données projet'!$B$218,FE36+FD37-FM36)))</f>
        <v>94</v>
      </c>
      <c r="FF37" s="18">
        <f>FE37*VLOOKUP('Données projet'!$B$16,Paramètres!$A$1:$I$89,3,0)*VLOOKUP('Données projet'!$B$16,Paramètres!$A$1:$I$89,5,0)</f>
        <v>56.212000000000003</v>
      </c>
      <c r="FG37" s="14">
        <f t="shared" si="47"/>
        <v>16.206939185290707</v>
      </c>
      <c r="FH37" s="22">
        <f t="shared" si="22"/>
        <v>126.12965241438131</v>
      </c>
      <c r="FI37" s="62">
        <f t="shared" si="23"/>
        <v>419.46298574771464</v>
      </c>
      <c r="FJ37" s="62">
        <f ca="1">AVERAGE(OFFSET($FI$3,0,0,'Données projet'!$E$16+1,1))-AVERAGE(OFFSET($H$3,0,0,'Données projet'!$E$16+1,1))</f>
        <v>197.08445731383847</v>
      </c>
      <c r="FK37" s="62">
        <f t="shared" si="48"/>
        <v>157.12482557016511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428.8489304403459</v>
      </c>
      <c r="T38" s="62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475.47920969424894</v>
      </c>
      <c r="AO38" s="62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10.407692307692306</v>
      </c>
      <c r="BD38" s="13">
        <f>IF('Données projet'!$A$88&gt;35,BD37+BC38-BL37,IF(A38&lt;'Données projet'!$A$88,$BA$205^A38,IF(A38='Données projet'!$A$88,'Données projet'!$B$88,BD37+BC38-BL37)))</f>
        <v>155.3153846153846</v>
      </c>
      <c r="BE38" s="14">
        <f>BD38*VLOOKUP('Données projet'!$B$11,Paramètres!$A$1:$I$89,3,0)*VLOOKUP('Données projet'!$B$11,Paramètres!$A$1:$I$89,5,0)</f>
        <v>72.687600000000003</v>
      </c>
      <c r="BF38" s="14">
        <f t="shared" si="37"/>
        <v>20.339412865653394</v>
      </c>
      <c r="BG38" s="22">
        <f t="shared" si="7"/>
        <v>162.02204740767968</v>
      </c>
      <c r="BH38" s="62">
        <f t="shared" si="8"/>
        <v>455.35538074101299</v>
      </c>
      <c r="BI38" s="62">
        <f ca="1">AVERAGE(OFFSET($BH$3,0,0,'Données projet'!$E$11+1,1))-AVERAGE(OFFSET($H$3,0,0,'Données projet'!$E$11+1,1))</f>
        <v>246.73711856758143</v>
      </c>
      <c r="BJ38" s="62">
        <f t="shared" si="38"/>
        <v>145.54897745089966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305.49230769230769</v>
      </c>
      <c r="BW38" s="13">
        <f>VLOOKUP(A38,'Données projet'!$A$113:$I$133,9,0)</f>
        <v>18.092307692307688</v>
      </c>
      <c r="BX38" s="13">
        <f t="array" ref="BX38">INDEX(BW:BW,MIN(IF(ISNUMBER(BW38:BW234),ROW(BW38:BW234),"")))</f>
        <v>18.092307692307688</v>
      </c>
      <c r="BY38" s="13">
        <f>IF('Données projet'!$A$114&gt;35,BY37+BX38-CG37,IF(A38&lt;'Données projet'!$A$114,$BV$205^A38,IF(A38='Données projet'!$A$114,'Données projet'!$B$114,BY37+BX38-CG37)))</f>
        <v>305.49230769230769</v>
      </c>
      <c r="BZ38" s="14">
        <f>BY38*VLOOKUP('Données projet'!$B$12,Paramètres!$A$1:$I$89,3,0)*VLOOKUP('Données projet'!$B$12,Paramètres!$A$1:$I$89,5,0)</f>
        <v>170.77019999999999</v>
      </c>
      <c r="CA38" s="14">
        <f t="shared" si="39"/>
        <v>43.26247735598961</v>
      </c>
      <c r="CB38" s="22">
        <f t="shared" si="10"/>
        <v>372.77357972834852</v>
      </c>
      <c r="CC38" s="62">
        <f t="shared" si="11"/>
        <v>666.10691306168178</v>
      </c>
      <c r="CD38" s="62">
        <f ca="1">AVERAGE(OFFSET($CC$3,0,0,'Données projet'!$E$12+1,1))-AVERAGE(OFFSET($H$3,0,0,'Données projet'!$E$12+1,1))</f>
        <v>321.13335003345236</v>
      </c>
      <c r="CE38" s="62">
        <f t="shared" si="40"/>
        <v>301.26825075712128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70.5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17.949228370539082</v>
      </c>
      <c r="CM38" s="23">
        <f>EXP(-LN(2)/2)*CM37+(1-EXP(-LN(2)/2))/(LN(2)/2)*CG38*CJ38*VLOOKUP('Données projet'!$B$12,Paramètres!$A$1:$I$89,3,0)*0.475*44/12</f>
        <v>1.7432271071299428</v>
      </c>
      <c r="CN38" s="24">
        <f t="shared" si="12"/>
        <v>19.692455477669025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14.298901098901101</v>
      </c>
      <c r="CT38" s="13">
        <f>IF('Données projet'!$A$140&gt;35,CT37+CS38-DB37,IF(A38&lt;'Données projet'!$A$140,$CQ$205^A38,IF(A38='Données projet'!$A$140,'Données projet'!$B$140,CT37+CS38-DB37)))</f>
        <v>248.278021978022</v>
      </c>
      <c r="CU38" s="18">
        <f>CT38*VLOOKUP('Données projet'!$B$13,Paramètres!$A$1:$I$89,3,0)*VLOOKUP('Données projet'!$B$13,Paramètres!$A$1:$I$89,5,0)</f>
        <v>148.47025714285718</v>
      </c>
      <c r="CV38" s="14">
        <f t="shared" si="41"/>
        <v>38.230738941903269</v>
      </c>
      <c r="CW38" s="22">
        <f t="shared" si="13"/>
        <v>325.17090151429107</v>
      </c>
      <c r="CX38" s="62">
        <f t="shared" si="14"/>
        <v>618.50423484762439</v>
      </c>
      <c r="CY38" s="62">
        <f ca="1">AVERAGE(OFFSET($CX$3,0,0,'Données projet'!$E$13+1,1))-AVERAGE(OFFSET($H$3,0,0,'Données projet'!$E$13+1,1))</f>
        <v>260.02504691866199</v>
      </c>
      <c r="CZ38" s="62">
        <f t="shared" si="42"/>
        <v>270.11268336406368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9.0647581030466515</v>
      </c>
      <c r="DG38" s="23">
        <f>EXP(-LN(2)/25)*DG37+(1-EXP(-LN(2)/25))/(LN(2)/25)*Calculateur!DB38*Calculateur!DD38*VLOOKUP('Données projet'!$B$13,Paramètres!$A$1:$I$89,3,0)*0.475*44/12</f>
        <v>14.308401655418107</v>
      </c>
      <c r="DH38" s="23">
        <f>EXP(-LN(2)/2)*DH37+(1-EXP(-LN(2)/2))/(LN(2)/2)*DB38*DE38*VLOOKUP('Données projet'!$B$13,Paramètres!$A$1:$I$89,3,0)*0.475*44/12</f>
        <v>1.1207573443301568</v>
      </c>
      <c r="DI38" s="24">
        <f t="shared" si="15"/>
        <v>24.493917102794917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172</v>
      </c>
      <c r="DM38" s="13">
        <f>VLOOKUP(A38,'Données projet'!$A$165:$I$185,9,0)</f>
        <v>10.6</v>
      </c>
      <c r="DN38" s="13">
        <f t="array" ref="DN38">INDEX(DM:DM,MIN(IF(ISNUMBER(DM38:DM234),ROW(DM38:DM234),"")))</f>
        <v>10.6</v>
      </c>
      <c r="DO38" s="13">
        <f>IF('Données projet'!$A$166&gt;35,DO37+DN38-DW37,IF(A38&lt;'Données projet'!$A$166,$DL$205^A38,IF(A38='Données projet'!$A$166,'Données projet'!$B$166,DO37+DN38-DW37)))</f>
        <v>171.99999999999991</v>
      </c>
      <c r="DP38" s="18">
        <f>DO38*VLOOKUP('Données projet'!$B$14,Paramètres!$A$1:$I$89,3,0)*VLOOKUP('Données projet'!$B$14,Paramètres!$A$1:$I$89,5,0)</f>
        <v>136.84319999999994</v>
      </c>
      <c r="DQ38" s="14">
        <f t="shared" si="43"/>
        <v>35.572869837729613</v>
      </c>
      <c r="DR38" s="22">
        <f t="shared" si="16"/>
        <v>300.29132163404557</v>
      </c>
      <c r="DS38" s="62">
        <f t="shared" si="17"/>
        <v>593.62465496737889</v>
      </c>
      <c r="DT38" s="62">
        <f ca="1">AVERAGE(OFFSET($DS$3,0,0,'Données projet'!$E$14+1,1))-AVERAGE(OFFSET($H$3,0,0,'Données projet'!$E$14+1,1))</f>
        <v>312.53381881960331</v>
      </c>
      <c r="DU38" s="62">
        <f t="shared" si="44"/>
        <v>342.06887933351783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72</v>
      </c>
      <c r="EH38" s="13">
        <f>VLOOKUP(A38,'Données projet'!$A$191:$I$211,9,0)</f>
        <v>3.6</v>
      </c>
      <c r="EI38" s="13">
        <f t="array" ref="EI38">INDEX(EH:EH,MIN(IF(ISNUMBER(EH38:EH234),ROW(EH38:EH234),"")))</f>
        <v>3.6</v>
      </c>
      <c r="EJ38" s="13">
        <f>IF('Données projet'!$A$192&gt;35,EJ37+EI38-ER37,IF(A38&lt;'Données projet'!$A$192,$EG$205^A38,IF(A38='Données projet'!$A$192,'Données projet'!$B$192,EJ37+EI38-ER37)))</f>
        <v>72</v>
      </c>
      <c r="EK38" s="18">
        <f>EJ38*VLOOKUP('Données projet'!$B$15,Paramètres!$A$1:$I$89,3,0)*VLOOKUP('Données projet'!$B$15,Paramètres!$A$1:$I$89,5,0)</f>
        <v>69.638400000000004</v>
      </c>
      <c r="EL38" s="14">
        <f t="shared" si="45"/>
        <v>19.583632497664617</v>
      </c>
      <c r="EM38" s="22">
        <f t="shared" si="19"/>
        <v>155.39503993343254</v>
      </c>
      <c r="EN38" s="62">
        <f t="shared" si="20"/>
        <v>448.72837326676586</v>
      </c>
      <c r="EO38" s="62">
        <f ca="1">AVERAGE(OFFSET($EN$3,0,0,'Données projet'!$E$15+1,1))-AVERAGE(OFFSET($H$3,0,0,'Données projet'!$E$15+1,1))</f>
        <v>255.59755832175625</v>
      </c>
      <c r="EP38" s="62">
        <f t="shared" si="46"/>
        <v>154.0840647586964</v>
      </c>
      <c r="EQ38" s="16">
        <f>IF(ISNA(VLOOKUP(A38,'Données projet'!$A$191:$I$211,3,0)),0,VLOOKUP(A38,'Données projet'!$A$191:$I$211,3,0))</f>
        <v>1</v>
      </c>
      <c r="ER38" s="16">
        <f>IF(ISNA(VLOOKUP(A38,'Données projet'!$A$191:$I$211,4,0)),0,VLOOKUP(A38,'Données projet'!$A$191:$I$211,4,0))</f>
        <v>17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9.5</v>
      </c>
      <c r="FE38" s="13">
        <f>IF('Données projet'!$A$218&gt;35,FE37+FD38-FM37,IF(A38&lt;'Données projet'!$A$218,$FB$205^A38,IF(A38='Données projet'!$A$218,'Données projet'!$B$218,FE37+FD38-FM37)))</f>
        <v>103.5</v>
      </c>
      <c r="FF38" s="18">
        <f>FE38*VLOOKUP('Données projet'!$B$16,Paramètres!$A$1:$I$89,3,0)*VLOOKUP('Données projet'!$B$16,Paramètres!$A$1:$I$89,5,0)</f>
        <v>61.893000000000001</v>
      </c>
      <c r="FG38" s="14">
        <f t="shared" si="47"/>
        <v>17.646010126491074</v>
      </c>
      <c r="FH38" s="22">
        <f t="shared" si="22"/>
        <v>138.53044263697197</v>
      </c>
      <c r="FI38" s="62">
        <f t="shared" si="23"/>
        <v>431.86377597030526</v>
      </c>
      <c r="FJ38" s="62">
        <f ca="1">AVERAGE(OFFSET($FI$3,0,0,'Données projet'!$E$16+1,1))-AVERAGE(OFFSET($H$3,0,0,'Données projet'!$E$16+1,1))</f>
        <v>197.08445731383847</v>
      </c>
      <c r="FK38" s="62">
        <f t="shared" si="48"/>
        <v>157.12482557016511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541.50302276112825</v>
      </c>
      <c r="S39" s="62">
        <f ca="1">AVERAGE(OFFSET($R$3,0,0,'Données projet'!$E$9+1,1))-AVERAGE(OFFSET($H$3,0,0,'Données projet'!$E$9+1,1))</f>
        <v>428.8489304403459</v>
      </c>
      <c r="T39" s="62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2">
        <f t="shared" si="5"/>
        <v>570.68476131278612</v>
      </c>
      <c r="AN39" s="62">
        <f ca="1">AVERAGE(OFFSET($AM$3,0,0,'Données projet'!$E$10+1,1))-AVERAGE(OFFSET($H$3,0,0,'Données projet'!$E$10+1,1))</f>
        <v>475.47920969424894</v>
      </c>
      <c r="AO39" s="62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10.407692307692306</v>
      </c>
      <c r="BD39" s="13">
        <f>IF('Données projet'!$A$88&gt;35,BD38+BC39-BL38,IF(A39&lt;'Données projet'!$A$88,$BA$205^A39,IF(A39='Données projet'!$A$88,'Données projet'!$B$88,BD38+BC39-BL38)))</f>
        <v>165.72307692307692</v>
      </c>
      <c r="BE39" s="14">
        <f>BD39*VLOOKUP('Données projet'!$B$11,Paramètres!$A$1:$I$89,3,0)*VLOOKUP('Données projet'!$B$11,Paramètres!$A$1:$I$89,5,0)</f>
        <v>77.558400000000006</v>
      </c>
      <c r="BF39" s="14">
        <f t="shared" si="37"/>
        <v>21.539127592741618</v>
      </c>
      <c r="BG39" s="22">
        <f t="shared" si="7"/>
        <v>172.59486055735832</v>
      </c>
      <c r="BH39" s="62">
        <f t="shared" si="8"/>
        <v>465.92819389069166</v>
      </c>
      <c r="BI39" s="62">
        <f ca="1">AVERAGE(OFFSET($BH$3,0,0,'Données projet'!$E$11+1,1))-AVERAGE(OFFSET($H$3,0,0,'Données projet'!$E$11+1,1))</f>
        <v>246.73711856758143</v>
      </c>
      <c r="BJ39" s="62">
        <f t="shared" si="38"/>
        <v>145.54897745089966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18.229670329670324</v>
      </c>
      <c r="BY39" s="13">
        <f>IF('Données projet'!$A$114&gt;35,BY38+BX39-CG38,IF(A39&lt;'Données projet'!$A$114,$BV$205^A39,IF(A39='Données projet'!$A$114,'Données projet'!$B$114,BY38+BX39-CG38)))</f>
        <v>253.22197802197803</v>
      </c>
      <c r="BZ39" s="14">
        <f>BY39*VLOOKUP('Données projet'!$B$12,Paramètres!$A$1:$I$89,3,0)*VLOOKUP('Données projet'!$B$12,Paramètres!$A$1:$I$89,5,0)</f>
        <v>141.55108571428573</v>
      </c>
      <c r="CA39" s="14">
        <f t="shared" si="39"/>
        <v>36.652109269178766</v>
      </c>
      <c r="CB39" s="22">
        <f t="shared" si="10"/>
        <v>310.37056459620067</v>
      </c>
      <c r="CC39" s="62">
        <f t="shared" si="11"/>
        <v>603.70389792953392</v>
      </c>
      <c r="CD39" s="62">
        <f ca="1">AVERAGE(OFFSET($CC$3,0,0,'Données projet'!$E$12+1,1))-AVERAGE(OFFSET($H$3,0,0,'Données projet'!$E$12+1,1))</f>
        <v>321.13335003345236</v>
      </c>
      <c r="CE39" s="62">
        <f t="shared" si="40"/>
        <v>301.26825075712128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17.458405776837793</v>
      </c>
      <c r="CM39" s="23">
        <f>EXP(-LN(2)/2)*CM38+(1-EXP(-LN(2)/2))/(LN(2)/2)*CG39*CJ39*VLOOKUP('Données projet'!$B$12,Paramètres!$A$1:$I$89,3,0)*0.475*44/12</f>
        <v>1.2326477085997907</v>
      </c>
      <c r="CN39" s="24">
        <f t="shared" si="12"/>
        <v>18.691053485437585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262.57692307692309</v>
      </c>
      <c r="CR39" s="13">
        <f>VLOOKUP(A39,'Données projet'!$A$139:$I$159,9,0)</f>
        <v>14.298901098901101</v>
      </c>
      <c r="CS39" s="13">
        <f t="array" ref="CS39">INDEX(CR:CR,MIN(IF(ISNUMBER(CR39:CR235),ROW(CR39:CR235),"")))</f>
        <v>14.298901098901101</v>
      </c>
      <c r="CT39" s="13">
        <f>IF('Données projet'!$A$140&gt;35,CT38+CS39-DB38,IF(A39&lt;'Données projet'!$A$140,$CQ$205^A39,IF(A39='Données projet'!$A$140,'Données projet'!$B$140,CT38+CS39-DB38)))</f>
        <v>262.57692307692309</v>
      </c>
      <c r="CU39" s="18">
        <f>CT39*VLOOKUP('Données projet'!$B$13,Paramètres!$A$1:$I$89,3,0)*VLOOKUP('Données projet'!$B$13,Paramètres!$A$1:$I$89,5,0)</f>
        <v>157.02100000000002</v>
      </c>
      <c r="CV39" s="14">
        <f t="shared" si="41"/>
        <v>40.169860444278903</v>
      </c>
      <c r="CW39" s="22">
        <f t="shared" si="13"/>
        <v>343.44074860711908</v>
      </c>
      <c r="CX39" s="62">
        <f t="shared" si="14"/>
        <v>636.77408194045233</v>
      </c>
      <c r="CY39" s="62">
        <f ca="1">AVERAGE(OFFSET($CX$3,0,0,'Données projet'!$E$13+1,1))-AVERAGE(OFFSET($H$3,0,0,'Données projet'!$E$13+1,1))</f>
        <v>260.02504691866199</v>
      </c>
      <c r="CZ39" s="62">
        <f t="shared" si="42"/>
        <v>270.11268336406368</v>
      </c>
      <c r="DA39" s="16">
        <f>IF(ISNA(VLOOKUP(A39,'Données projet'!$A$139:$I$159,3,0)),0,VLOOKUP(A39,'Données projet'!$A$139:$I$159,3,0))</f>
        <v>4</v>
      </c>
      <c r="DB39" s="16">
        <f>IF(ISNA(VLOOKUP(A39,'Données projet'!$A$139:$I$159,4,0)),0,VLOOKUP(A39,'Données projet'!$A$139:$I$159,4,0))</f>
        <v>64.553846153846166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8.8870037256024101</v>
      </c>
      <c r="DG39" s="23">
        <f>EXP(-LN(2)/25)*DG38+(1-EXP(-LN(2)/25))/(LN(2)/25)*Calculateur!DB39*Calculateur!DD39*VLOOKUP('Données projet'!$B$13,Paramètres!$A$1:$I$89,3,0)*0.475*44/12</f>
        <v>13.917137659704558</v>
      </c>
      <c r="DH39" s="23">
        <f>EXP(-LN(2)/2)*DH38+(1-EXP(-LN(2)/2))/(LN(2)/2)*DB39*DE39*VLOOKUP('Données projet'!$B$13,Paramètres!$A$1:$I$89,3,0)*0.475*44/12</f>
        <v>0.79249511824048036</v>
      </c>
      <c r="DI39" s="24">
        <f t="shared" si="15"/>
        <v>23.596636503547451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9.6</v>
      </c>
      <c r="DO39" s="13">
        <f>IF('Données projet'!$A$166&gt;35,DO38+DN39-DW38,IF(A39&lt;'Données projet'!$A$166,$DL$205^A39,IF(A39='Données projet'!$A$166,'Données projet'!$B$166,DO38+DN39-DW38)))</f>
        <v>181.59999999999991</v>
      </c>
      <c r="DP39" s="18">
        <f>DO39*VLOOKUP('Données projet'!$B$14,Paramètres!$A$1:$I$89,3,0)*VLOOKUP('Données projet'!$B$14,Paramètres!$A$1:$I$89,5,0)</f>
        <v>144.48095999999993</v>
      </c>
      <c r="DQ39" s="14">
        <f t="shared" si="43"/>
        <v>37.321640695251794</v>
      </c>
      <c r="DR39" s="22">
        <f t="shared" si="16"/>
        <v>316.63952954423013</v>
      </c>
      <c r="DS39" s="62">
        <f t="shared" si="17"/>
        <v>609.97286287756344</v>
      </c>
      <c r="DT39" s="62">
        <f ca="1">AVERAGE(OFFSET($DS$3,0,0,'Données projet'!$E$14+1,1))-AVERAGE(OFFSET($H$3,0,0,'Données projet'!$E$14+1,1))</f>
        <v>312.53381881960331</v>
      </c>
      <c r="DU39" s="62">
        <f t="shared" si="44"/>
        <v>342.06887933351783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</v>
      </c>
      <c r="EJ39" s="13">
        <f>IF('Données projet'!$A$192&gt;35,EJ38+EI39-ER38,IF(A39&lt;'Données projet'!$A$192,$EG$205^A39,IF(A39='Données projet'!$A$192,'Données projet'!$B$192,EJ38+EI39-ER38)))</f>
        <v>59</v>
      </c>
      <c r="EK39" s="18">
        <f>EJ39*VLOOKUP('Données projet'!$B$15,Paramètres!$A$1:$I$89,3,0)*VLOOKUP('Données projet'!$B$15,Paramètres!$A$1:$I$89,5,0)</f>
        <v>57.064799999999998</v>
      </c>
      <c r="EL39" s="14">
        <f t="shared" si="45"/>
        <v>16.424005972947381</v>
      </c>
      <c r="EM39" s="22">
        <f t="shared" si="19"/>
        <v>127.99300373621668</v>
      </c>
      <c r="EN39" s="62">
        <f t="shared" si="20"/>
        <v>421.32633706954999</v>
      </c>
      <c r="EO39" s="62">
        <f ca="1">AVERAGE(OFFSET($EN$3,0,0,'Données projet'!$E$15+1,1))-AVERAGE(OFFSET($H$3,0,0,'Données projet'!$E$15+1,1))</f>
        <v>255.59755832175625</v>
      </c>
      <c r="EP39" s="62">
        <f t="shared" si="46"/>
        <v>154.0840647586964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9.5</v>
      </c>
      <c r="FE39" s="13">
        <f>IF('Données projet'!$A$218&gt;35,FE38+FD39-FM38,IF(A39&lt;'Données projet'!$A$218,$FB$205^A39,IF(A39='Données projet'!$A$218,'Données projet'!$B$218,FE38+FD39-FM38)))</f>
        <v>113</v>
      </c>
      <c r="FF39" s="18">
        <f>FE39*VLOOKUP('Données projet'!$B$16,Paramètres!$A$1:$I$89,3,0)*VLOOKUP('Données projet'!$B$16,Paramètres!$A$1:$I$89,5,0)</f>
        <v>67.574000000000012</v>
      </c>
      <c r="FG39" s="14">
        <f t="shared" si="47"/>
        <v>19.069765110231607</v>
      </c>
      <c r="FH39" s="22">
        <f t="shared" si="22"/>
        <v>150.90455756698671</v>
      </c>
      <c r="FI39" s="62">
        <f t="shared" si="23"/>
        <v>444.23789090032005</v>
      </c>
      <c r="FJ39" s="62">
        <f ca="1">AVERAGE(OFFSET($FI$3,0,0,'Données projet'!$E$16+1,1))-AVERAGE(OFFSET($H$3,0,0,'Données projet'!$E$16+1,1))</f>
        <v>197.08445731383847</v>
      </c>
      <c r="FK39" s="62">
        <f t="shared" si="48"/>
        <v>157.12482557016511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557.83878140250943</v>
      </c>
      <c r="S40" s="62">
        <f ca="1">AVERAGE(OFFSET($R$3,0,0,'Données projet'!$E$9+1,1))-AVERAGE(OFFSET($H$3,0,0,'Données projet'!$E$9+1,1))</f>
        <v>428.8489304403459</v>
      </c>
      <c r="T40" s="62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2">
        <f t="shared" si="5"/>
        <v>588.9463250104435</v>
      </c>
      <c r="AN40" s="62">
        <f ca="1">AVERAGE(OFFSET($AM$3,0,0,'Données projet'!$E$10+1,1))-AVERAGE(OFFSET($H$3,0,0,'Données projet'!$E$10+1,1))</f>
        <v>475.47920969424894</v>
      </c>
      <c r="AO40" s="62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10.407692307692306</v>
      </c>
      <c r="BD40" s="13">
        <f>IF('Données projet'!$A$88&gt;35,BD39+BC40-BL39,IF(A40&lt;'Données projet'!$A$88,$BA$205^A40,IF(A40='Données projet'!$A$88,'Données projet'!$B$88,BD39+BC40-BL39)))</f>
        <v>176.13076923076923</v>
      </c>
      <c r="BE40" s="14">
        <f>BD40*VLOOKUP('Données projet'!$B$11,Paramètres!$A$1:$I$89,3,0)*VLOOKUP('Données projet'!$B$11,Paramètres!$A$1:$I$89,5,0)</f>
        <v>82.429199999999994</v>
      </c>
      <c r="BF40" s="14">
        <f t="shared" si="37"/>
        <v>22.730098173705116</v>
      </c>
      <c r="BG40" s="22">
        <f t="shared" si="7"/>
        <v>183.15244431920306</v>
      </c>
      <c r="BH40" s="62">
        <f t="shared" si="8"/>
        <v>476.4857776525364</v>
      </c>
      <c r="BI40" s="62">
        <f ca="1">AVERAGE(OFFSET($BH$3,0,0,'Données projet'!$E$11+1,1))-AVERAGE(OFFSET($H$3,0,0,'Données projet'!$E$11+1,1))</f>
        <v>246.73711856758143</v>
      </c>
      <c r="BJ40" s="62">
        <f t="shared" si="38"/>
        <v>145.54897745089966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18.229670329670324</v>
      </c>
      <c r="BY40" s="13">
        <f>IF('Données projet'!$A$114&gt;35,BY39+BX40-CG39,IF(A40&lt;'Données projet'!$A$114,$BV$205^A40,IF(A40='Données projet'!$A$114,'Données projet'!$B$114,BY39+BX40-CG39)))</f>
        <v>271.45164835164837</v>
      </c>
      <c r="BZ40" s="14">
        <f>BY40*VLOOKUP('Données projet'!$B$12,Paramètres!$A$1:$I$89,3,0)*VLOOKUP('Données projet'!$B$12,Paramètres!$A$1:$I$89,5,0)</f>
        <v>151.74147142857143</v>
      </c>
      <c r="CA40" s="14">
        <f t="shared" si="39"/>
        <v>38.974074991810518</v>
      </c>
      <c r="CB40" s="22">
        <f t="shared" si="10"/>
        <v>332.16291001549854</v>
      </c>
      <c r="CC40" s="62">
        <f t="shared" si="11"/>
        <v>625.49624334883185</v>
      </c>
      <c r="CD40" s="62">
        <f ca="1">AVERAGE(OFFSET($CC$3,0,0,'Données projet'!$E$12+1,1))-AVERAGE(OFFSET($H$3,0,0,'Données projet'!$E$12+1,1))</f>
        <v>321.13335003345236</v>
      </c>
      <c r="CE40" s="62">
        <f t="shared" si="40"/>
        <v>301.26825075712128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16.981004752772506</v>
      </c>
      <c r="CM40" s="23">
        <f>EXP(-LN(2)/2)*CM39+(1-EXP(-LN(2)/2))/(LN(2)/2)*CG40*CJ40*VLOOKUP('Données projet'!$B$12,Paramètres!$A$1:$I$89,3,0)*0.475*44/12</f>
        <v>0.87161355356497139</v>
      </c>
      <c r="CN40" s="24">
        <f t="shared" si="12"/>
        <v>17.852618306337476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13.141346153846158</v>
      </c>
      <c r="CT40" s="13">
        <f>IF('Données projet'!$A$140&gt;35,CT39+CS40-DB39,IF(A40&lt;'Données projet'!$A$140,$CQ$205^A40,IF(A40='Données projet'!$A$140,'Données projet'!$B$140,CT39+CS40-DB39)))</f>
        <v>211.16442307692307</v>
      </c>
      <c r="CU40" s="18">
        <f>CT40*VLOOKUP('Données projet'!$B$13,Paramètres!$A$1:$I$89,3,0)*VLOOKUP('Données projet'!$B$13,Paramètres!$A$1:$I$89,5,0)</f>
        <v>126.27632500000001</v>
      </c>
      <c r="CV40" s="14">
        <f t="shared" si="41"/>
        <v>33.134477451871625</v>
      </c>
      <c r="CW40" s="22">
        <f t="shared" si="13"/>
        <v>277.64048093700978</v>
      </c>
      <c r="CX40" s="62">
        <f t="shared" si="14"/>
        <v>570.97381427034315</v>
      </c>
      <c r="CY40" s="62">
        <f ca="1">AVERAGE(OFFSET($CX$3,0,0,'Données projet'!$E$13+1,1))-AVERAGE(OFFSET($H$3,0,0,'Données projet'!$E$13+1,1))</f>
        <v>260.02504691866199</v>
      </c>
      <c r="CZ40" s="62">
        <f t="shared" si="42"/>
        <v>270.11268336406368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8.7127350030803861</v>
      </c>
      <c r="DG40" s="23">
        <f>EXP(-LN(2)/25)*DG39+(1-EXP(-LN(2)/25))/(LN(2)/25)*Calculateur!DB40*Calculateur!DD40*VLOOKUP('Données projet'!$B$13,Paramètres!$A$1:$I$89,3,0)*0.475*44/12</f>
        <v>13.536572798529475</v>
      </c>
      <c r="DH40" s="23">
        <f>EXP(-LN(2)/2)*DH39+(1-EXP(-LN(2)/2))/(LN(2)/2)*DB40*DE40*VLOOKUP('Données projet'!$B$13,Paramètres!$A$1:$I$89,3,0)*0.475*44/12</f>
        <v>0.56037867216507853</v>
      </c>
      <c r="DI40" s="24">
        <f t="shared" si="15"/>
        <v>22.809686473774939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9.6</v>
      </c>
      <c r="DO40" s="13">
        <f>IF('Données projet'!$A$166&gt;35,DO39+DN40-DW39,IF(A40&lt;'Données projet'!$A$166,$DL$205^A40,IF(A40='Données projet'!$A$166,'Données projet'!$B$166,DO39+DN40-DW39)))</f>
        <v>191.1999999999999</v>
      </c>
      <c r="DP40" s="18">
        <f>DO40*VLOOKUP('Données projet'!$B$14,Paramètres!$A$1:$I$89,3,0)*VLOOKUP('Données projet'!$B$14,Paramètres!$A$1:$I$89,5,0)</f>
        <v>152.11871999999994</v>
      </c>
      <c r="DQ40" s="14">
        <f t="shared" si="43"/>
        <v>39.059678596099225</v>
      </c>
      <c r="DR40" s="22">
        <f t="shared" si="16"/>
        <v>332.96904422153938</v>
      </c>
      <c r="DS40" s="62">
        <f t="shared" si="17"/>
        <v>626.30237755487269</v>
      </c>
      <c r="DT40" s="62">
        <f ca="1">AVERAGE(OFFSET($DS$3,0,0,'Données projet'!$E$14+1,1))-AVERAGE(OFFSET($H$3,0,0,'Données projet'!$E$14+1,1))</f>
        <v>312.53381881960331</v>
      </c>
      <c r="DU40" s="62">
        <f t="shared" si="44"/>
        <v>342.06887933351783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</v>
      </c>
      <c r="EJ40" s="13">
        <f>IF('Données projet'!$A$192&gt;35,EJ39+EI40-ER39,IF(A40&lt;'Données projet'!$A$192,$EG$205^A40,IF(A40='Données projet'!$A$192,'Données projet'!$B$192,EJ39+EI40-ER39)))</f>
        <v>63</v>
      </c>
      <c r="EK40" s="18">
        <f>EJ40*VLOOKUP('Données projet'!$B$15,Paramètres!$A$1:$I$89,3,0)*VLOOKUP('Données projet'!$B$15,Paramètres!$A$1:$I$89,5,0)</f>
        <v>60.933600000000006</v>
      </c>
      <c r="EL40" s="14">
        <f t="shared" si="45"/>
        <v>17.404099852856145</v>
      </c>
      <c r="EM40" s="22">
        <f t="shared" si="19"/>
        <v>136.4381605770578</v>
      </c>
      <c r="EN40" s="62">
        <f t="shared" si="20"/>
        <v>429.77149391039109</v>
      </c>
      <c r="EO40" s="62">
        <f ca="1">AVERAGE(OFFSET($EN$3,0,0,'Données projet'!$E$15+1,1))-AVERAGE(OFFSET($H$3,0,0,'Données projet'!$E$15+1,1))</f>
        <v>255.59755832175625</v>
      </c>
      <c r="EP40" s="62">
        <f t="shared" si="46"/>
        <v>154.0840647586964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9.5</v>
      </c>
      <c r="FE40" s="13">
        <f>IF('Données projet'!$A$218&gt;35,FE39+FD40-FM39,IF(A40&lt;'Données projet'!$A$218,$FB$205^A40,IF(A40='Données projet'!$A$218,'Données projet'!$B$218,FE39+FD40-FM39)))</f>
        <v>122.5</v>
      </c>
      <c r="FF40" s="18">
        <f>FE40*VLOOKUP('Données projet'!$B$16,Paramètres!$A$1:$I$89,3,0)*VLOOKUP('Données projet'!$B$16,Paramètres!$A$1:$I$89,5,0)</f>
        <v>73.25500000000001</v>
      </c>
      <c r="FG40" s="14">
        <f t="shared" si="47"/>
        <v>20.479638154475385</v>
      </c>
      <c r="FH40" s="22">
        <f t="shared" si="22"/>
        <v>163.2544947857113</v>
      </c>
      <c r="FI40" s="62">
        <f t="shared" si="23"/>
        <v>456.58782811904462</v>
      </c>
      <c r="FJ40" s="62">
        <f ca="1">AVERAGE(OFFSET($FI$3,0,0,'Données projet'!$E$16+1,1))-AVERAGE(OFFSET($H$3,0,0,'Données projet'!$E$16+1,1))</f>
        <v>197.08445731383847</v>
      </c>
      <c r="FK40" s="62">
        <f t="shared" si="48"/>
        <v>157.12482557016511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574.15179438724942</v>
      </c>
      <c r="S41" s="62">
        <f ca="1">AVERAGE(OFFSET($R$3,0,0,'Données projet'!$E$9+1,1))-AVERAGE(OFFSET($H$3,0,0,'Données projet'!$E$9+1,1))</f>
        <v>428.8489304403459</v>
      </c>
      <c r="T41" s="62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2">
        <f t="shared" si="5"/>
        <v>607.18273374145838</v>
      </c>
      <c r="AN41" s="62">
        <f ca="1">AVERAGE(OFFSET($AM$3,0,0,'Données projet'!$E$10+1,1))-AVERAGE(OFFSET($H$3,0,0,'Données projet'!$E$10+1,1))</f>
        <v>475.47920969424894</v>
      </c>
      <c r="AO41" s="62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10.407692307692306</v>
      </c>
      <c r="BD41" s="13">
        <f>IF('Données projet'!$A$88&gt;35,BD40+BC41-BL40,IF(A41&lt;'Données projet'!$A$88,$BA$205^A41,IF(A41='Données projet'!$A$88,'Données projet'!$B$88,BD40+BC41-BL40)))</f>
        <v>186.53846153846155</v>
      </c>
      <c r="BE41" s="14">
        <f>BD41*VLOOKUP('Données projet'!$B$11,Paramètres!$A$1:$I$89,3,0)*VLOOKUP('Données projet'!$B$11,Paramètres!$A$1:$I$89,5,0)</f>
        <v>87.300000000000011</v>
      </c>
      <c r="BF41" s="14">
        <f t="shared" si="37"/>
        <v>23.912900160000429</v>
      </c>
      <c r="BG41" s="22">
        <f t="shared" si="7"/>
        <v>193.69580111200079</v>
      </c>
      <c r="BH41" s="62">
        <f t="shared" si="8"/>
        <v>487.02913444533408</v>
      </c>
      <c r="BI41" s="62">
        <f ca="1">AVERAGE(OFFSET($BH$3,0,0,'Données projet'!$E$11+1,1))-AVERAGE(OFFSET($H$3,0,0,'Données projet'!$E$11+1,1))</f>
        <v>246.73711856758143</v>
      </c>
      <c r="BJ41" s="62">
        <f t="shared" si="38"/>
        <v>145.54897745089966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18.229670329670324</v>
      </c>
      <c r="BY41" s="13">
        <f>IF('Données projet'!$A$114&gt;35,BY40+BX41-CG40,IF(A41&lt;'Données projet'!$A$114,$BV$205^A41,IF(A41='Données projet'!$A$114,'Données projet'!$B$114,BY40+BX41-CG40)))</f>
        <v>289.68131868131871</v>
      </c>
      <c r="BZ41" s="14">
        <f>BY41*VLOOKUP('Données projet'!$B$12,Paramètres!$A$1:$I$89,3,0)*VLOOKUP('Données projet'!$B$12,Paramètres!$A$1:$I$89,5,0)</f>
        <v>161.93185714285718</v>
      </c>
      <c r="CA41" s="14">
        <f t="shared" si="39"/>
        <v>41.277946347593272</v>
      </c>
      <c r="CB41" s="22">
        <f t="shared" si="10"/>
        <v>353.92374107920119</v>
      </c>
      <c r="CC41" s="62">
        <f t="shared" si="11"/>
        <v>647.25707441253451</v>
      </c>
      <c r="CD41" s="62">
        <f ca="1">AVERAGE(OFFSET($CC$3,0,0,'Données projet'!$E$12+1,1))-AVERAGE(OFFSET($H$3,0,0,'Données projet'!$E$12+1,1))</f>
        <v>321.13335003345236</v>
      </c>
      <c r="CE41" s="62">
        <f t="shared" si="40"/>
        <v>301.26825075712128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16.516658284815712</v>
      </c>
      <c r="CM41" s="23">
        <f>EXP(-LN(2)/2)*CM40+(1-EXP(-LN(2)/2))/(LN(2)/2)*CG41*CJ41*VLOOKUP('Données projet'!$B$12,Paramètres!$A$1:$I$89,3,0)*0.475*44/12</f>
        <v>0.61632385429989534</v>
      </c>
      <c r="CN41" s="24">
        <f t="shared" si="12"/>
        <v>17.132982139115608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13.141346153846158</v>
      </c>
      <c r="CT41" s="13">
        <f>IF('Données projet'!$A$140&gt;35,CT40+CS41-DB40,IF(A41&lt;'Données projet'!$A$140,$CQ$205^A41,IF(A41='Données projet'!$A$140,'Données projet'!$B$140,CT40+CS41-DB40)))</f>
        <v>224.30576923076922</v>
      </c>
      <c r="CU41" s="18">
        <f>CT41*VLOOKUP('Données projet'!$B$13,Paramètres!$A$1:$I$89,3,0)*VLOOKUP('Données projet'!$B$13,Paramètres!$A$1:$I$89,5,0)</f>
        <v>134.13485</v>
      </c>
      <c r="CV41" s="14">
        <f t="shared" si="41"/>
        <v>34.950053695803156</v>
      </c>
      <c r="CW41" s="22">
        <f t="shared" si="13"/>
        <v>294.48954060352384</v>
      </c>
      <c r="CX41" s="62">
        <f t="shared" si="14"/>
        <v>587.82287393685715</v>
      </c>
      <c r="CY41" s="62">
        <f ca="1">AVERAGE(OFFSET($CX$3,0,0,'Données projet'!$E$13+1,1))-AVERAGE(OFFSET($H$3,0,0,'Données projet'!$E$13+1,1))</f>
        <v>260.02504691866199</v>
      </c>
      <c r="CZ41" s="62">
        <f t="shared" si="42"/>
        <v>270.11268336406368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8.5418835839135934</v>
      </c>
      <c r="DG41" s="23">
        <f>EXP(-LN(2)/25)*DG40+(1-EXP(-LN(2)/25))/(LN(2)/25)*Calculateur!DB41*Calculateur!DD41*VLOOKUP('Données projet'!$B$13,Paramètres!$A$1:$I$89,3,0)*0.475*44/12</f>
        <v>13.166414503496261</v>
      </c>
      <c r="DH41" s="23">
        <f>EXP(-LN(2)/2)*DH40+(1-EXP(-LN(2)/2))/(LN(2)/2)*DB41*DE41*VLOOKUP('Données projet'!$B$13,Paramètres!$A$1:$I$89,3,0)*0.475*44/12</f>
        <v>0.39624755912024023</v>
      </c>
      <c r="DI41" s="24">
        <f t="shared" si="15"/>
        <v>22.104545646530095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9.6</v>
      </c>
      <c r="DO41" s="13">
        <f>IF('Données projet'!$A$166&gt;35,DO40+DN41-DW40,IF(A41&lt;'Données projet'!$A$166,$DL$205^A41,IF(A41='Données projet'!$A$166,'Données projet'!$B$166,DO40+DN41-DW40)))</f>
        <v>200.7999999999999</v>
      </c>
      <c r="DP41" s="18">
        <f>DO41*VLOOKUP('Données projet'!$B$14,Paramètres!$A$1:$I$89,3,0)*VLOOKUP('Données projet'!$B$14,Paramètres!$A$1:$I$89,5,0)</f>
        <v>159.75647999999993</v>
      </c>
      <c r="DQ41" s="14">
        <f t="shared" si="43"/>
        <v>40.787583922770757</v>
      </c>
      <c r="DR41" s="22">
        <f t="shared" si="16"/>
        <v>349.28091133215889</v>
      </c>
      <c r="DS41" s="62">
        <f t="shared" si="17"/>
        <v>642.61424466549215</v>
      </c>
      <c r="DT41" s="62">
        <f ca="1">AVERAGE(OFFSET($DS$3,0,0,'Données projet'!$E$14+1,1))-AVERAGE(OFFSET($H$3,0,0,'Données projet'!$E$14+1,1))</f>
        <v>312.53381881960331</v>
      </c>
      <c r="DU41" s="62">
        <f t="shared" si="44"/>
        <v>342.06887933351783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</v>
      </c>
      <c r="EJ41" s="13">
        <f>IF('Données projet'!$A$192&gt;35,EJ40+EI41-ER40,IF(A41&lt;'Données projet'!$A$192,$EG$205^A41,IF(A41='Données projet'!$A$192,'Données projet'!$B$192,EJ40+EI41-ER40)))</f>
        <v>67</v>
      </c>
      <c r="EK41" s="18">
        <f>EJ41*VLOOKUP('Données projet'!$B$15,Paramètres!$A$1:$I$89,3,0)*VLOOKUP('Données projet'!$B$15,Paramètres!$A$1:$I$89,5,0)</f>
        <v>64.802400000000006</v>
      </c>
      <c r="EL41" s="14">
        <f t="shared" si="45"/>
        <v>18.376971951830182</v>
      </c>
      <c r="EM41" s="22">
        <f t="shared" si="19"/>
        <v>144.87073948277092</v>
      </c>
      <c r="EN41" s="62">
        <f t="shared" si="20"/>
        <v>438.20407281610426</v>
      </c>
      <c r="EO41" s="62">
        <f ca="1">AVERAGE(OFFSET($EN$3,0,0,'Données projet'!$E$15+1,1))-AVERAGE(OFFSET($H$3,0,0,'Données projet'!$E$15+1,1))</f>
        <v>255.59755832175625</v>
      </c>
      <c r="EP41" s="62">
        <f t="shared" si="46"/>
        <v>154.0840647586964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9.5</v>
      </c>
      <c r="FE41" s="13">
        <f>IF('Données projet'!$A$218&gt;35,FE40+FD41-FM40,IF(A41&lt;'Données projet'!$A$218,$FB$205^A41,IF(A41='Données projet'!$A$218,'Données projet'!$B$218,FE40+FD41-FM40)))</f>
        <v>132</v>
      </c>
      <c r="FF41" s="18">
        <f>FE41*VLOOKUP('Données projet'!$B$16,Paramètres!$A$1:$I$89,3,0)*VLOOKUP('Données projet'!$B$16,Paramètres!$A$1:$I$89,5,0)</f>
        <v>78.936000000000007</v>
      </c>
      <c r="FG41" s="14">
        <f t="shared" si="47"/>
        <v>21.876828219051273</v>
      </c>
      <c r="FH41" s="22">
        <f t="shared" si="22"/>
        <v>175.5823424815143</v>
      </c>
      <c r="FI41" s="62">
        <f t="shared" si="23"/>
        <v>468.91567581484765</v>
      </c>
      <c r="FJ41" s="62">
        <f ca="1">AVERAGE(OFFSET($FI$3,0,0,'Données projet'!$E$16+1,1))-AVERAGE(OFFSET($H$3,0,0,'Données projet'!$E$16+1,1))</f>
        <v>197.08445731383847</v>
      </c>
      <c r="FK41" s="62">
        <f t="shared" si="48"/>
        <v>157.12482557016511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590.44356897369653</v>
      </c>
      <c r="S42" s="62">
        <f ca="1">AVERAGE(OFFSET($R$3,0,0,'Données projet'!$E$9+1,1))-AVERAGE(OFFSET($H$3,0,0,'Données projet'!$E$9+1,1))</f>
        <v>428.8489304403459</v>
      </c>
      <c r="T42" s="62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2">
        <f t="shared" si="5"/>
        <v>625.39565441895047</v>
      </c>
      <c r="AN42" s="62">
        <f ca="1">AVERAGE(OFFSET($AM$3,0,0,'Données projet'!$E$10+1,1))-AVERAGE(OFFSET($H$3,0,0,'Données projet'!$E$10+1,1))</f>
        <v>475.47920969424894</v>
      </c>
      <c r="AO42" s="62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10.407692307692306</v>
      </c>
      <c r="BD42" s="13">
        <f>IF('Données projet'!$A$88&gt;35,BD41+BC42-BL41,IF(A42&lt;'Données projet'!$A$88,$BA$205^A42,IF(A42='Données projet'!$A$88,'Données projet'!$B$88,BD41+BC42-BL41)))</f>
        <v>196.94615384615386</v>
      </c>
      <c r="BE42" s="14">
        <f>BD42*VLOOKUP('Données projet'!$B$11,Paramètres!$A$1:$I$89,3,0)*VLOOKUP('Données projet'!$B$11,Paramètres!$A$1:$I$89,5,0)</f>
        <v>92.170800000000014</v>
      </c>
      <c r="BF42" s="14">
        <f t="shared" si="37"/>
        <v>25.088041251308066</v>
      </c>
      <c r="BG42" s="22">
        <f t="shared" si="7"/>
        <v>204.22581517936158</v>
      </c>
      <c r="BH42" s="62">
        <f t="shared" si="8"/>
        <v>497.55914851269489</v>
      </c>
      <c r="BI42" s="62">
        <f ca="1">AVERAGE(OFFSET($BH$3,0,0,'Données projet'!$E$11+1,1))-AVERAGE(OFFSET($H$3,0,0,'Données projet'!$E$11+1,1))</f>
        <v>246.73711856758143</v>
      </c>
      <c r="BJ42" s="62">
        <f t="shared" si="38"/>
        <v>145.54897745089966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18.229670329670324</v>
      </c>
      <c r="BY42" s="13">
        <f>IF('Données projet'!$A$114&gt;35,BY41+BX42-CG41,IF(A42&lt;'Données projet'!$A$114,$BV$205^A42,IF(A42='Données projet'!$A$114,'Données projet'!$B$114,BY41+BX42-CG41)))</f>
        <v>307.91098901098906</v>
      </c>
      <c r="BZ42" s="14">
        <f>BY42*VLOOKUP('Données projet'!$B$12,Paramètres!$A$1:$I$89,3,0)*VLOOKUP('Données projet'!$B$12,Paramètres!$A$1:$I$89,5,0)</f>
        <v>172.12224285714288</v>
      </c>
      <c r="CA42" s="14">
        <f t="shared" si="39"/>
        <v>43.564991640658711</v>
      </c>
      <c r="CB42" s="22">
        <f t="shared" si="10"/>
        <v>375.65526675033772</v>
      </c>
      <c r="CC42" s="62">
        <f t="shared" si="11"/>
        <v>668.98860008367103</v>
      </c>
      <c r="CD42" s="62">
        <f ca="1">AVERAGE(OFFSET($CC$3,0,0,'Données projet'!$E$12+1,1))-AVERAGE(OFFSET($H$3,0,0,'Données projet'!$E$12+1,1))</f>
        <v>321.13335003345236</v>
      </c>
      <c r="CE42" s="62">
        <f t="shared" si="40"/>
        <v>301.26825075712128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16.065009395444118</v>
      </c>
      <c r="CM42" s="23">
        <f>EXP(-LN(2)/2)*CM41+(1-EXP(-LN(2)/2))/(LN(2)/2)*CG42*CJ42*VLOOKUP('Données projet'!$B$12,Paramètres!$A$1:$I$89,3,0)*0.475*44/12</f>
        <v>0.43580677678248569</v>
      </c>
      <c r="CN42" s="24">
        <f t="shared" si="12"/>
        <v>16.500816172226603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13.141346153846158</v>
      </c>
      <c r="CT42" s="13">
        <f>IF('Données projet'!$A$140&gt;35,CT41+CS42-DB41,IF(A42&lt;'Données projet'!$A$140,$CQ$205^A42,IF(A42='Données projet'!$A$140,'Données projet'!$B$140,CT41+CS42-DB41)))</f>
        <v>237.44711538461536</v>
      </c>
      <c r="CU42" s="18">
        <f>CT42*VLOOKUP('Données projet'!$B$13,Paramètres!$A$1:$I$89,3,0)*VLOOKUP('Données projet'!$B$13,Paramètres!$A$1:$I$89,5,0)</f>
        <v>141.99337499999999</v>
      </c>
      <c r="CV42" s="14">
        <f t="shared" si="41"/>
        <v>36.753283288028733</v>
      </c>
      <c r="CW42" s="22">
        <f t="shared" si="13"/>
        <v>311.31709651831665</v>
      </c>
      <c r="CX42" s="62">
        <f t="shared" si="14"/>
        <v>604.65042985164996</v>
      </c>
      <c r="CY42" s="62">
        <f ca="1">AVERAGE(OFFSET($CX$3,0,0,'Données projet'!$E$13+1,1))-AVERAGE(OFFSET($H$3,0,0,'Données projet'!$E$13+1,1))</f>
        <v>260.02504691866199</v>
      </c>
      <c r="CZ42" s="62">
        <f t="shared" si="42"/>
        <v>270.11268336406368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8.3743824568675862</v>
      </c>
      <c r="DG42" s="23">
        <f>EXP(-LN(2)/25)*DG41+(1-EXP(-LN(2)/25))/(LN(2)/25)*Calculateur!DB42*Calculateur!DD42*VLOOKUP('Données projet'!$B$13,Paramètres!$A$1:$I$89,3,0)*0.475*44/12</f>
        <v>12.80637820650651</v>
      </c>
      <c r="DH42" s="23">
        <f>EXP(-LN(2)/2)*DH41+(1-EXP(-LN(2)/2))/(LN(2)/2)*DB42*DE42*VLOOKUP('Données projet'!$B$13,Paramètres!$A$1:$I$89,3,0)*0.475*44/12</f>
        <v>0.28018933608253926</v>
      </c>
      <c r="DI42" s="24">
        <f t="shared" si="15"/>
        <v>21.460949999456634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9.6</v>
      </c>
      <c r="DO42" s="13">
        <f>IF('Données projet'!$A$166&gt;35,DO41+DN42-DW41,IF(A42&lt;'Données projet'!$A$166,$DL$205^A42,IF(A42='Données projet'!$A$166,'Données projet'!$B$166,DO41+DN42-DW41)))</f>
        <v>210.39999999999989</v>
      </c>
      <c r="DP42" s="18">
        <f>DO42*VLOOKUP('Données projet'!$B$14,Paramètres!$A$1:$I$89,3,0)*VLOOKUP('Données projet'!$B$14,Paramètres!$A$1:$I$89,5,0)</f>
        <v>167.39423999999991</v>
      </c>
      <c r="DQ42" s="14">
        <f t="shared" si="43"/>
        <v>42.505896406938106</v>
      </c>
      <c r="DR42" s="22">
        <f t="shared" si="16"/>
        <v>365.57607090875041</v>
      </c>
      <c r="DS42" s="62">
        <f t="shared" si="17"/>
        <v>658.90940424208372</v>
      </c>
      <c r="DT42" s="62">
        <f ca="1">AVERAGE(OFFSET($DS$3,0,0,'Données projet'!$E$14+1,1))-AVERAGE(OFFSET($H$3,0,0,'Données projet'!$E$14+1,1))</f>
        <v>312.53381881960331</v>
      </c>
      <c r="DU42" s="62">
        <f t="shared" si="44"/>
        <v>342.06887933351783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</v>
      </c>
      <c r="EJ42" s="13">
        <f>IF('Données projet'!$A$192&gt;35,EJ41+EI42-ER41,IF(A42&lt;'Données projet'!$A$192,$EG$205^A42,IF(A42='Données projet'!$A$192,'Données projet'!$B$192,EJ41+EI42-ER41)))</f>
        <v>71</v>
      </c>
      <c r="EK42" s="18">
        <f>EJ42*VLOOKUP('Données projet'!$B$15,Paramètres!$A$1:$I$89,3,0)*VLOOKUP('Données projet'!$B$15,Paramètres!$A$1:$I$89,5,0)</f>
        <v>68.671200000000013</v>
      </c>
      <c r="EL42" s="14">
        <f t="shared" si="45"/>
        <v>19.343102525659866</v>
      </c>
      <c r="EM42" s="22">
        <f t="shared" si="19"/>
        <v>153.29157689885758</v>
      </c>
      <c r="EN42" s="62">
        <f t="shared" si="20"/>
        <v>446.62491023219093</v>
      </c>
      <c r="EO42" s="62">
        <f ca="1">AVERAGE(OFFSET($EN$3,0,0,'Données projet'!$E$15+1,1))-AVERAGE(OFFSET($H$3,0,0,'Données projet'!$E$15+1,1))</f>
        <v>255.59755832175625</v>
      </c>
      <c r="EP42" s="62">
        <f t="shared" si="46"/>
        <v>154.0840647586964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9.5</v>
      </c>
      <c r="FE42" s="13">
        <f>IF('Données projet'!$A$218&gt;35,FE41+FD42-FM41,IF(A42&lt;'Données projet'!$A$218,$FB$205^A42,IF(A42='Données projet'!$A$218,'Données projet'!$B$218,FE41+FD42-FM41)))</f>
        <v>141.5</v>
      </c>
      <c r="FF42" s="18">
        <f>FE42*VLOOKUP('Données projet'!$B$16,Paramètres!$A$1:$I$89,3,0)*VLOOKUP('Données projet'!$B$16,Paramètres!$A$1:$I$89,5,0)</f>
        <v>84.617000000000004</v>
      </c>
      <c r="FG42" s="14">
        <f t="shared" si="47"/>
        <v>23.262351905082731</v>
      </c>
      <c r="FH42" s="22">
        <f t="shared" si="22"/>
        <v>187.88987123468576</v>
      </c>
      <c r="FI42" s="62">
        <f t="shared" si="23"/>
        <v>481.22320456801907</v>
      </c>
      <c r="FJ42" s="62">
        <f ca="1">AVERAGE(OFFSET($FI$3,0,0,'Données projet'!$E$16+1,1))-AVERAGE(OFFSET($H$3,0,0,'Données projet'!$E$16+1,1))</f>
        <v>197.08445731383847</v>
      </c>
      <c r="FK42" s="62">
        <f t="shared" si="48"/>
        <v>157.12482557016511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606.71543359582972</v>
      </c>
      <c r="S43" s="62">
        <f ca="1">AVERAGE(OFFSET($R$3,0,0,'Données projet'!$E$9+1,1))-AVERAGE(OFFSET($H$3,0,0,'Données projet'!$E$9+1,1))</f>
        <v>428.8489304403459</v>
      </c>
      <c r="T43" s="62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2">
        <f t="shared" si="5"/>
        <v>643.58655618988507</v>
      </c>
      <c r="AN43" s="62">
        <f ca="1">AVERAGE(OFFSET($AM$3,0,0,'Données projet'!$E$10+1,1))-AVERAGE(OFFSET($H$3,0,0,'Données projet'!$E$10+1,1))</f>
        <v>475.47920969424894</v>
      </c>
      <c r="AO43" s="62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10.407692307692306</v>
      </c>
      <c r="BD43" s="13">
        <f>IF('Données projet'!$A$88&gt;35,BD42+BC43-BL42,IF(A43&lt;'Données projet'!$A$88,$BA$205^A43,IF(A43='Données projet'!$A$88,'Données projet'!$B$88,BD42+BC43-BL42)))</f>
        <v>207.35384615384618</v>
      </c>
      <c r="BE43" s="14">
        <f>BD43*VLOOKUP('Données projet'!$B$11,Paramètres!$A$1:$I$89,3,0)*VLOOKUP('Données projet'!$B$11,Paramètres!$A$1:$I$89,5,0)</f>
        <v>97.041600000000017</v>
      </c>
      <c r="BF43" s="14">
        <f t="shared" si="37"/>
        <v>26.255972457521427</v>
      </c>
      <c r="BG43" s="22">
        <f t="shared" si="7"/>
        <v>214.74327203018319</v>
      </c>
      <c r="BH43" s="62">
        <f t="shared" si="8"/>
        <v>508.07660536351648</v>
      </c>
      <c r="BI43" s="62">
        <f ca="1">AVERAGE(OFFSET($BH$3,0,0,'Données projet'!$E$11+1,1))-AVERAGE(OFFSET($H$3,0,0,'Données projet'!$E$11+1,1))</f>
        <v>246.73711856758143</v>
      </c>
      <c r="BJ43" s="62">
        <f t="shared" si="38"/>
        <v>145.54897745089966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18.229670329670324</v>
      </c>
      <c r="BY43" s="13">
        <f>IF('Données projet'!$A$114&gt;35,BY42+BX43-CG42,IF(A43&lt;'Données projet'!$A$114,$BV$205^A43,IF(A43='Données projet'!$A$114,'Données projet'!$B$114,BY42+BX43-CG42)))</f>
        <v>326.1406593406594</v>
      </c>
      <c r="BZ43" s="14">
        <f>BY43*VLOOKUP('Données projet'!$B$12,Paramètres!$A$1:$I$89,3,0)*VLOOKUP('Données projet'!$B$12,Paramètres!$A$1:$I$89,5,0)</f>
        <v>182.31262857142863</v>
      </c>
      <c r="CA43" s="14">
        <f t="shared" si="39"/>
        <v>45.836320512875446</v>
      </c>
      <c r="CB43" s="22">
        <f t="shared" si="10"/>
        <v>397.35941965516298</v>
      </c>
      <c r="CC43" s="62">
        <f t="shared" si="11"/>
        <v>690.6927529884963</v>
      </c>
      <c r="CD43" s="62">
        <f ca="1">AVERAGE(OFFSET($CC$3,0,0,'Données projet'!$E$12+1,1))-AVERAGE(OFFSET($H$3,0,0,'Données projet'!$E$12+1,1))</f>
        <v>321.13335003345236</v>
      </c>
      <c r="CE43" s="62">
        <f t="shared" si="40"/>
        <v>301.26825075712128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15.625710868703571</v>
      </c>
      <c r="CM43" s="23">
        <f>EXP(-LN(2)/2)*CM42+(1-EXP(-LN(2)/2))/(LN(2)/2)*CG43*CJ43*VLOOKUP('Données projet'!$B$12,Paramètres!$A$1:$I$89,3,0)*0.475*44/12</f>
        <v>0.30816192714994767</v>
      </c>
      <c r="CN43" s="24">
        <f t="shared" si="12"/>
        <v>15.933872795853519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13.141346153846158</v>
      </c>
      <c r="CT43" s="13">
        <f>IF('Données projet'!$A$140&gt;35,CT42+CS43-DB42,IF(A43&lt;'Données projet'!$A$140,$CQ$205^A43,IF(A43='Données projet'!$A$140,'Données projet'!$B$140,CT42+CS43-DB42)))</f>
        <v>250.5884615384615</v>
      </c>
      <c r="CU43" s="18">
        <f>CT43*VLOOKUP('Données projet'!$B$13,Paramètres!$A$1:$I$89,3,0)*VLOOKUP('Données projet'!$B$13,Paramètres!$A$1:$I$89,5,0)</f>
        <v>149.8519</v>
      </c>
      <c r="CV43" s="14">
        <f t="shared" si="41"/>
        <v>38.544927429723309</v>
      </c>
      <c r="CW43" s="22">
        <f t="shared" si="13"/>
        <v>328.12447444010144</v>
      </c>
      <c r="CX43" s="62">
        <f t="shared" si="14"/>
        <v>621.45780777343475</v>
      </c>
      <c r="CY43" s="62">
        <f ca="1">AVERAGE(OFFSET($CX$3,0,0,'Données projet'!$E$13+1,1))-AVERAGE(OFFSET($H$3,0,0,'Données projet'!$E$13+1,1))</f>
        <v>260.02504691866199</v>
      </c>
      <c r="CZ43" s="62">
        <f t="shared" si="42"/>
        <v>270.11268336406368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8.2101659247573515</v>
      </c>
      <c r="DG43" s="23">
        <f>EXP(-LN(2)/25)*DG42+(1-EXP(-LN(2)/25))/(LN(2)/25)*Calculateur!DB43*Calculateur!DD43*VLOOKUP('Données projet'!$B$13,Paramètres!$A$1:$I$89,3,0)*0.475*44/12</f>
        <v>12.456187120991428</v>
      </c>
      <c r="DH43" s="23">
        <f>EXP(-LN(2)/2)*DH42+(1-EXP(-LN(2)/2))/(LN(2)/2)*DB43*DE43*VLOOKUP('Données projet'!$B$13,Paramètres!$A$1:$I$89,3,0)*0.475*44/12</f>
        <v>0.19812377956012012</v>
      </c>
      <c r="DI43" s="24">
        <f t="shared" si="15"/>
        <v>20.864476825308898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220</v>
      </c>
      <c r="DM43" s="13">
        <f>VLOOKUP(A43,'Données projet'!$A$165:$I$185,9,0)</f>
        <v>9.6</v>
      </c>
      <c r="DN43" s="13">
        <f t="array" ref="DN43">INDEX(DM:DM,MIN(IF(ISNUMBER(DM43:DM239),ROW(DM43:DM239),"")))</f>
        <v>9.6</v>
      </c>
      <c r="DO43" s="13">
        <f>IF('Données projet'!$A$166&gt;35,DO42+DN43-DW42,IF(A43&lt;'Données projet'!$A$166,$DL$205^A43,IF(A43='Données projet'!$A$166,'Données projet'!$B$166,DO42+DN43-DW42)))</f>
        <v>219.99999999999989</v>
      </c>
      <c r="DP43" s="18">
        <f>DO43*VLOOKUP('Données projet'!$B$14,Paramètres!$A$1:$I$89,3,0)*VLOOKUP('Données projet'!$B$14,Paramètres!$A$1:$I$89,5,0)</f>
        <v>175.03199999999993</v>
      </c>
      <c r="DQ43" s="14">
        <f t="shared" si="43"/>
        <v>44.215103743191008</v>
      </c>
      <c r="DR43" s="22">
        <f t="shared" si="16"/>
        <v>381.85537235272426</v>
      </c>
      <c r="DS43" s="62">
        <f t="shared" si="17"/>
        <v>675.18870568605757</v>
      </c>
      <c r="DT43" s="62">
        <f ca="1">AVERAGE(OFFSET($DS$3,0,0,'Données projet'!$E$14+1,1))-AVERAGE(OFFSET($H$3,0,0,'Données projet'!$E$14+1,1))</f>
        <v>312.53381881960331</v>
      </c>
      <c r="DU43" s="62">
        <f t="shared" si="44"/>
        <v>342.06887933351783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56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75</v>
      </c>
      <c r="EH43" s="13">
        <f>VLOOKUP(A43,'Données projet'!$A$191:$I$211,9,0)</f>
        <v>4</v>
      </c>
      <c r="EI43" s="13">
        <f t="array" ref="EI43">INDEX(EH:EH,MIN(IF(ISNUMBER(EH43:EH239),ROW(EH43:EH239),"")))</f>
        <v>4</v>
      </c>
      <c r="EJ43" s="13">
        <f>IF('Données projet'!$A$192&gt;35,EJ42+EI43-ER42,IF(A43&lt;'Données projet'!$A$192,$EG$205^A43,IF(A43='Données projet'!$A$192,'Données projet'!$B$192,EJ42+EI43-ER42)))</f>
        <v>75</v>
      </c>
      <c r="EK43" s="18">
        <f>EJ43*VLOOKUP('Données projet'!$B$15,Paramètres!$A$1:$I$89,3,0)*VLOOKUP('Données projet'!$B$15,Paramètres!$A$1:$I$89,5,0)</f>
        <v>72.540000000000006</v>
      </c>
      <c r="EL43" s="14">
        <f t="shared" si="45"/>
        <v>20.302914660456786</v>
      </c>
      <c r="EM43" s="22">
        <f t="shared" si="19"/>
        <v>161.70140970029556</v>
      </c>
      <c r="EN43" s="62">
        <f t="shared" si="20"/>
        <v>455.03474303362884</v>
      </c>
      <c r="EO43" s="62">
        <f ca="1">AVERAGE(OFFSET($EN$3,0,0,'Données projet'!$E$15+1,1))-AVERAGE(OFFSET($H$3,0,0,'Données projet'!$E$15+1,1))</f>
        <v>255.59755832175625</v>
      </c>
      <c r="EP43" s="62">
        <f t="shared" si="46"/>
        <v>154.0840647586964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151</v>
      </c>
      <c r="FC43" s="13">
        <f>VLOOKUP(A43,'Données projet'!$A$217:$I$237,9,0)</f>
        <v>9.5</v>
      </c>
      <c r="FD43" s="13">
        <f t="array" ref="FD43">INDEX(FC:FC,MIN(IF(ISNUMBER(FC43:FC239),ROW(FC43:FC239),"")))</f>
        <v>9.5</v>
      </c>
      <c r="FE43" s="13">
        <f>IF('Données projet'!$A$218&gt;35,FE42+FD43-FM42,IF(A43&lt;'Données projet'!$A$218,$FB$205^A43,IF(A43='Données projet'!$A$218,'Données projet'!$B$218,FE42+FD43-FM42)))</f>
        <v>151</v>
      </c>
      <c r="FF43" s="18">
        <f>FE43*VLOOKUP('Données projet'!$B$16,Paramètres!$A$1:$I$89,3,0)*VLOOKUP('Données projet'!$B$16,Paramètres!$A$1:$I$89,5,0)</f>
        <v>90.298000000000016</v>
      </c>
      <c r="FG43" s="14">
        <f t="shared" si="47"/>
        <v>24.637081585210524</v>
      </c>
      <c r="FH43" s="22">
        <f t="shared" si="22"/>
        <v>200.17860042757502</v>
      </c>
      <c r="FI43" s="62">
        <f t="shared" si="23"/>
        <v>493.51193376090833</v>
      </c>
      <c r="FJ43" s="62">
        <f ca="1">AVERAGE(OFFSET($FI$3,0,0,'Données projet'!$E$16+1,1))-AVERAGE(OFFSET($H$3,0,0,'Données projet'!$E$16+1,1))</f>
        <v>197.08445731383847</v>
      </c>
      <c r="FK43" s="62">
        <f t="shared" si="48"/>
        <v>157.12482557016511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428.8489304403459</v>
      </c>
      <c r="T44" s="62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475.47920969424894</v>
      </c>
      <c r="AO44" s="62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10.407692307692306</v>
      </c>
      <c r="BD44" s="13">
        <f>IF('Données projet'!$A$88&gt;35,BD43+BC44-BL43,IF(A44&lt;'Données projet'!$A$88,$BA$205^A44,IF(A44='Données projet'!$A$88,'Données projet'!$B$88,BD43+BC44-BL43)))</f>
        <v>217.76153846153849</v>
      </c>
      <c r="BE44" s="14">
        <f>BD44*VLOOKUP('Données projet'!$B$11,Paramètres!$A$1:$I$89,3,0)*VLOOKUP('Données projet'!$B$11,Paramètres!$A$1:$I$89,5,0)</f>
        <v>101.91240000000002</v>
      </c>
      <c r="BF44" s="14">
        <f t="shared" si="37"/>
        <v>27.417096956022522</v>
      </c>
      <c r="BG44" s="22">
        <f t="shared" si="7"/>
        <v>225.2488738650726</v>
      </c>
      <c r="BH44" s="62">
        <f t="shared" si="8"/>
        <v>518.58220719840597</v>
      </c>
      <c r="BI44" s="62">
        <f ca="1">AVERAGE(OFFSET($BH$3,0,0,'Données projet'!$E$11+1,1))-AVERAGE(OFFSET($H$3,0,0,'Données projet'!$E$11+1,1))</f>
        <v>246.73711856758143</v>
      </c>
      <c r="BJ44" s="62">
        <f t="shared" si="38"/>
        <v>145.54897745089966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18.229670329670324</v>
      </c>
      <c r="BY44" s="13">
        <f>IF('Données projet'!$A$114&gt;35,BY43+BX44-CG43,IF(A44&lt;'Données projet'!$A$114,$BV$205^A44,IF(A44='Données projet'!$A$114,'Données projet'!$B$114,BY43+BX44-CG43)))</f>
        <v>344.37032967032974</v>
      </c>
      <c r="BZ44" s="14">
        <f>BY44*VLOOKUP('Données projet'!$B$12,Paramètres!$A$1:$I$89,3,0)*VLOOKUP('Données projet'!$B$12,Paramètres!$A$1:$I$89,5,0)</f>
        <v>192.50301428571433</v>
      </c>
      <c r="CA44" s="14">
        <f t="shared" si="39"/>
        <v>48.092911552862631</v>
      </c>
      <c r="CB44" s="22">
        <f t="shared" si="10"/>
        <v>419.03790416885482</v>
      </c>
      <c r="CC44" s="62">
        <f t="shared" si="11"/>
        <v>712.37123750218814</v>
      </c>
      <c r="CD44" s="62">
        <f ca="1">AVERAGE(OFFSET($CC$3,0,0,'Données projet'!$E$12+1,1))-AVERAGE(OFFSET($H$3,0,0,'Données projet'!$E$12+1,1))</f>
        <v>321.13335003345236</v>
      </c>
      <c r="CE44" s="62">
        <f t="shared" si="40"/>
        <v>301.26825075712128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15.19842498327845</v>
      </c>
      <c r="CM44" s="23">
        <f>EXP(-LN(2)/2)*CM43+(1-EXP(-LN(2)/2))/(LN(2)/2)*CG44*CJ44*VLOOKUP('Données projet'!$B$12,Paramètres!$A$1:$I$89,3,0)*0.475*44/12</f>
        <v>0.21790338839124285</v>
      </c>
      <c r="CN44" s="24">
        <f t="shared" si="12"/>
        <v>15.416328371669692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13.141346153846158</v>
      </c>
      <c r="CT44" s="13">
        <f>IF('Données projet'!$A$140&gt;35,CT43+CS44-DB43,IF(A44&lt;'Données projet'!$A$140,$CQ$205^A44,IF(A44='Données projet'!$A$140,'Données projet'!$B$140,CT43+CS44-DB43)))</f>
        <v>263.72980769230765</v>
      </c>
      <c r="CU44" s="18">
        <f>CT44*VLOOKUP('Données projet'!$B$13,Paramètres!$A$1:$I$89,3,0)*VLOOKUP('Données projet'!$B$13,Paramètres!$A$1:$I$89,5,0)</f>
        <v>157.71042499999999</v>
      </c>
      <c r="CV44" s="14">
        <f t="shared" si="41"/>
        <v>40.325662975074472</v>
      </c>
      <c r="CW44" s="22">
        <f t="shared" si="13"/>
        <v>344.91285322325461</v>
      </c>
      <c r="CX44" s="62">
        <f t="shared" si="14"/>
        <v>638.24618655658787</v>
      </c>
      <c r="CY44" s="62">
        <f ca="1">AVERAGE(OFFSET($CX$3,0,0,'Données projet'!$E$13+1,1))-AVERAGE(OFFSET($H$3,0,0,'Données projet'!$E$13+1,1))</f>
        <v>260.02504691866199</v>
      </c>
      <c r="CZ44" s="62">
        <f t="shared" si="42"/>
        <v>270.11268336406368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8.0491695786796047</v>
      </c>
      <c r="DG44" s="23">
        <f>EXP(-LN(2)/25)*DG43+(1-EXP(-LN(2)/25))/(LN(2)/25)*Calculateur!DB44*Calculateur!DD44*VLOOKUP('Données projet'!$B$13,Paramètres!$A$1:$I$89,3,0)*0.475*44/12</f>
        <v>12.115572029125506</v>
      </c>
      <c r="DH44" s="23">
        <f>EXP(-LN(2)/2)*DH43+(1-EXP(-LN(2)/2))/(LN(2)/2)*DB44*DE44*VLOOKUP('Données projet'!$B$13,Paramètres!$A$1:$I$89,3,0)*0.475*44/12</f>
        <v>0.14009466804126963</v>
      </c>
      <c r="DI44" s="24">
        <f t="shared" si="15"/>
        <v>20.30483627584638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8.1999999999999993</v>
      </c>
      <c r="DO44" s="13">
        <f>IF('Données projet'!$A$166&gt;35,DO43+DN44-DW43,IF(A44&lt;'Données projet'!$A$166,$DL$205^A44,IF(A44='Données projet'!$A$166,'Données projet'!$B$166,DO43+DN44-DW43)))</f>
        <v>172.19999999999987</v>
      </c>
      <c r="DP44" s="18">
        <f>DO44*VLOOKUP('Données projet'!$B$14,Paramètres!$A$1:$I$89,3,0)*VLOOKUP('Données projet'!$B$14,Paramètres!$A$1:$I$89,5,0)</f>
        <v>137.00231999999991</v>
      </c>
      <c r="DQ44" s="14">
        <f t="shared" si="43"/>
        <v>35.609416420931318</v>
      </c>
      <c r="DR44" s="22">
        <f t="shared" si="16"/>
        <v>300.63210759978858</v>
      </c>
      <c r="DS44" s="62">
        <f t="shared" si="17"/>
        <v>593.96544093312195</v>
      </c>
      <c r="DT44" s="62">
        <f ca="1">AVERAGE(OFFSET($DS$3,0,0,'Données projet'!$E$14+1,1))-AVERAGE(OFFSET($H$3,0,0,'Données projet'!$E$14+1,1))</f>
        <v>312.53381881960331</v>
      </c>
      <c r="DU44" s="62">
        <f t="shared" si="44"/>
        <v>342.06887933351783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3.8</v>
      </c>
      <c r="EJ44" s="13">
        <f>IF('Données projet'!$A$192&gt;35,EJ43+EI44-ER43,IF(A44&lt;'Données projet'!$A$192,$EG$205^A44,IF(A44='Données projet'!$A$192,'Données projet'!$B$192,EJ43+EI44-ER43)))</f>
        <v>78.8</v>
      </c>
      <c r="EK44" s="18">
        <f>EJ44*VLOOKUP('Données projet'!$B$15,Paramètres!$A$1:$I$89,3,0)*VLOOKUP('Données projet'!$B$15,Paramètres!$A$1:$I$89,5,0)</f>
        <v>76.21535999999999</v>
      </c>
      <c r="EL44" s="14">
        <f t="shared" si="45"/>
        <v>21.209226133452251</v>
      </c>
      <c r="EM44" s="22">
        <f t="shared" si="19"/>
        <v>169.68115418242931</v>
      </c>
      <c r="EN44" s="62">
        <f t="shared" si="20"/>
        <v>463.01448751576265</v>
      </c>
      <c r="EO44" s="62">
        <f ca="1">AVERAGE(OFFSET($EN$3,0,0,'Données projet'!$E$15+1,1))-AVERAGE(OFFSET($H$3,0,0,'Données projet'!$E$15+1,1))</f>
        <v>255.59755832175625</v>
      </c>
      <c r="EP44" s="62">
        <f t="shared" si="46"/>
        <v>154.0840647586964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9.8888888888888893</v>
      </c>
      <c r="FE44" s="13">
        <f>IF('Données projet'!$A$218&gt;35,FE43+FD44-FM43,IF(A44&lt;'Données projet'!$A$218,$FB$205^A44,IF(A44='Données projet'!$A$218,'Données projet'!$B$218,FE43+FD44-FM43)))</f>
        <v>104.88888888888889</v>
      </c>
      <c r="FF44" s="18">
        <f>FE44*VLOOKUP('Données projet'!$B$16,Paramètres!$A$1:$I$89,3,0)*VLOOKUP('Données projet'!$B$16,Paramètres!$A$1:$I$89,5,0)</f>
        <v>62.723555555555564</v>
      </c>
      <c r="FG44" s="14">
        <f t="shared" si="47"/>
        <v>17.855080142483615</v>
      </c>
      <c r="FH44" s="22">
        <f t="shared" si="22"/>
        <v>140.34112384075158</v>
      </c>
      <c r="FI44" s="62">
        <f t="shared" si="23"/>
        <v>433.67445717408486</v>
      </c>
      <c r="FJ44" s="62">
        <f ca="1">AVERAGE(OFFSET($FI$3,0,0,'Données projet'!$E$16+1,1))-AVERAGE(OFFSET($H$3,0,0,'Données projet'!$E$16+1,1))</f>
        <v>197.08445731383847</v>
      </c>
      <c r="FK44" s="62">
        <f t="shared" si="48"/>
        <v>157.12482557016511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428.8489304403459</v>
      </c>
      <c r="T45" s="62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475.47920969424894</v>
      </c>
      <c r="AO45" s="62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10.407692307692306</v>
      </c>
      <c r="BD45" s="13">
        <f>IF('Données projet'!$A$88&gt;35,BD44+BC45-BL44,IF(A45&lt;'Données projet'!$A$88,$BA$205^A45,IF(A45='Données projet'!$A$88,'Données projet'!$B$88,BD44+BC45-BL44)))</f>
        <v>228.16923076923081</v>
      </c>
      <c r="BE45" s="14">
        <f>BD45*VLOOKUP('Données projet'!$B$11,Paramètres!$A$1:$I$89,3,0)*VLOOKUP('Données projet'!$B$11,Paramètres!$A$1:$I$89,5,0)</f>
        <v>106.78320000000002</v>
      </c>
      <c r="BF45" s="14">
        <f t="shared" si="37"/>
        <v>28.571777207672977</v>
      </c>
      <c r="BG45" s="22">
        <f t="shared" si="7"/>
        <v>235.74325197003046</v>
      </c>
      <c r="BH45" s="62">
        <f t="shared" si="8"/>
        <v>529.0765853033638</v>
      </c>
      <c r="BI45" s="62">
        <f ca="1">AVERAGE(OFFSET($BH$3,0,0,'Données projet'!$E$11+1,1))-AVERAGE(OFFSET($H$3,0,0,'Données projet'!$E$11+1,1))</f>
        <v>246.73711856758143</v>
      </c>
      <c r="BJ45" s="62">
        <f t="shared" si="38"/>
        <v>145.54897745089966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362.59999999999997</v>
      </c>
      <c r="BW45" s="13">
        <f>VLOOKUP(A45,'Données projet'!$A$113:$I$133,9,0)</f>
        <v>18.229670329670324</v>
      </c>
      <c r="BX45" s="13">
        <f t="array" ref="BX45">INDEX(BW:BW,MIN(IF(ISNUMBER(BW45:BW241),ROW(BW45:BW241),"")))</f>
        <v>18.229670329670324</v>
      </c>
      <c r="BY45" s="13">
        <f>IF('Données projet'!$A$114&gt;35,BY44+BX45-CG44,IF(A45&lt;'Données projet'!$A$114,$BV$205^A45,IF(A45='Données projet'!$A$114,'Données projet'!$B$114,BY44+BX45-CG44)))</f>
        <v>362.60000000000008</v>
      </c>
      <c r="BZ45" s="14">
        <f>BY45*VLOOKUP('Données projet'!$B$12,Paramètres!$A$1:$I$89,3,0)*VLOOKUP('Données projet'!$B$12,Paramètres!$A$1:$I$89,5,0)</f>
        <v>202.69340000000005</v>
      </c>
      <c r="CA45" s="14">
        <f t="shared" si="39"/>
        <v>50.335633892078647</v>
      </c>
      <c r="CB45" s="22">
        <f t="shared" si="10"/>
        <v>440.69223402870375</v>
      </c>
      <c r="CC45" s="62">
        <f t="shared" si="11"/>
        <v>734.02556736203701</v>
      </c>
      <c r="CD45" s="62">
        <f ca="1">AVERAGE(OFFSET($CC$3,0,0,'Données projet'!$E$12+1,1))-AVERAGE(OFFSET($H$3,0,0,'Données projet'!$E$12+1,1))</f>
        <v>321.13335003345236</v>
      </c>
      <c r="CE45" s="62">
        <f t="shared" si="40"/>
        <v>301.26825075712128</v>
      </c>
      <c r="CF45" s="16">
        <f>IF(ISNA(VLOOKUP(A45,'Données projet'!$A$113:$I$133,3,0)),0,VLOOKUP(A45,'Données projet'!$A$113:$I$133,3,0))</f>
        <v>4</v>
      </c>
      <c r="CG45" s="16">
        <f>IF(ISNA(VLOOKUP(A45,'Données projet'!$A$113:$I$133,4,0)),0,VLOOKUP(A45,'Données projet'!$A$113:$I$133,4,0))</f>
        <v>80.669230769230765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14.782823252860267</v>
      </c>
      <c r="CM45" s="23">
        <f>EXP(-LN(2)/2)*CM44+(1-EXP(-LN(2)/2))/(LN(2)/2)*CG45*CJ45*VLOOKUP('Données projet'!$B$12,Paramètres!$A$1:$I$89,3,0)*0.475*44/12</f>
        <v>0.15408096357497383</v>
      </c>
      <c r="CN45" s="24">
        <f t="shared" si="12"/>
        <v>14.93690421643524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13.141346153846158</v>
      </c>
      <c r="CT45" s="13">
        <f>IF('Données projet'!$A$140&gt;35,CT44+CS45-DB44,IF(A45&lt;'Données projet'!$A$140,$CQ$205^A45,IF(A45='Données projet'!$A$140,'Données projet'!$B$140,CT44+CS45-DB44)))</f>
        <v>276.87115384615379</v>
      </c>
      <c r="CU45" s="18">
        <f>CT45*VLOOKUP('Données projet'!$B$13,Paramètres!$A$1:$I$89,3,0)*VLOOKUP('Données projet'!$B$13,Paramètres!$A$1:$I$89,5,0)</f>
        <v>165.56894999999997</v>
      </c>
      <c r="CV45" s="14">
        <f t="shared" si="41"/>
        <v>42.096095514085818</v>
      </c>
      <c r="CW45" s="22">
        <f t="shared" si="13"/>
        <v>361.6832876036994</v>
      </c>
      <c r="CX45" s="62">
        <f t="shared" si="14"/>
        <v>655.01662093703271</v>
      </c>
      <c r="CY45" s="62">
        <f ca="1">AVERAGE(OFFSET($CX$3,0,0,'Données projet'!$E$13+1,1))-AVERAGE(OFFSET($H$3,0,0,'Données projet'!$E$13+1,1))</f>
        <v>260.02504691866199</v>
      </c>
      <c r="CZ45" s="62">
        <f t="shared" si="42"/>
        <v>270.11268336406368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7.8913302727503671</v>
      </c>
      <c r="DG45" s="23">
        <f>EXP(-LN(2)/25)*DG44+(1-EXP(-LN(2)/25))/(LN(2)/25)*Calculateur!DB45*Calculateur!DD45*VLOOKUP('Données projet'!$B$13,Paramètres!$A$1:$I$89,3,0)*0.475*44/12</f>
        <v>11.784271074858827</v>
      </c>
      <c r="DH45" s="23">
        <f>EXP(-LN(2)/2)*DH44+(1-EXP(-LN(2)/2))/(LN(2)/2)*DB45*DE45*VLOOKUP('Données projet'!$B$13,Paramètres!$A$1:$I$89,3,0)*0.475*44/12</f>
        <v>9.9061889780060058E-2</v>
      </c>
      <c r="DI45" s="24">
        <f t="shared" si="15"/>
        <v>19.774663237389255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8.1999999999999993</v>
      </c>
      <c r="DO45" s="13">
        <f>IF('Données projet'!$A$166&gt;35,DO44+DN45-DW44,IF(A45&lt;'Données projet'!$A$166,$DL$205^A45,IF(A45='Données projet'!$A$166,'Données projet'!$B$166,DO44+DN45-DW44)))</f>
        <v>180.39999999999986</v>
      </c>
      <c r="DP45" s="18">
        <f>DO45*VLOOKUP('Données projet'!$B$14,Paramètres!$A$1:$I$89,3,0)*VLOOKUP('Données projet'!$B$14,Paramètres!$A$1:$I$89,5,0)</f>
        <v>143.52623999999989</v>
      </c>
      <c r="DQ45" s="14">
        <f t="shared" si="43"/>
        <v>37.10364433723624</v>
      </c>
      <c r="DR45" s="22">
        <f t="shared" si="16"/>
        <v>314.59704855401958</v>
      </c>
      <c r="DS45" s="62">
        <f t="shared" si="17"/>
        <v>607.93038188735295</v>
      </c>
      <c r="DT45" s="62">
        <f ca="1">AVERAGE(OFFSET($DS$3,0,0,'Données projet'!$E$14+1,1))-AVERAGE(OFFSET($H$3,0,0,'Données projet'!$E$14+1,1))</f>
        <v>312.53381881960331</v>
      </c>
      <c r="DU45" s="62">
        <f t="shared" si="44"/>
        <v>342.06887933351783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3.8</v>
      </c>
      <c r="EJ45" s="13">
        <f>IF('Données projet'!$A$192&gt;35,EJ44+EI45-ER44,IF(A45&lt;'Données projet'!$A$192,$EG$205^A45,IF(A45='Données projet'!$A$192,'Données projet'!$B$192,EJ44+EI45-ER44)))</f>
        <v>82.6</v>
      </c>
      <c r="EK45" s="18">
        <f>EJ45*VLOOKUP('Données projet'!$B$15,Paramètres!$A$1:$I$89,3,0)*VLOOKUP('Données projet'!$B$15,Paramètres!$A$1:$I$89,5,0)</f>
        <v>79.890720000000002</v>
      </c>
      <c r="EL45" s="14">
        <f t="shared" si="45"/>
        <v>22.110462475232147</v>
      </c>
      <c r="EM45" s="22">
        <f t="shared" si="19"/>
        <v>177.65205947769599</v>
      </c>
      <c r="EN45" s="62">
        <f t="shared" si="20"/>
        <v>470.98539281102933</v>
      </c>
      <c r="EO45" s="62">
        <f ca="1">AVERAGE(OFFSET($EN$3,0,0,'Données projet'!$E$15+1,1))-AVERAGE(OFFSET($H$3,0,0,'Données projet'!$E$15+1,1))</f>
        <v>255.59755832175625</v>
      </c>
      <c r="EP45" s="62">
        <f t="shared" si="46"/>
        <v>154.0840647586964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9.8888888888888893</v>
      </c>
      <c r="FE45" s="13">
        <f>IF('Données projet'!$A$218&gt;35,FE44+FD45-FM44,IF(A45&lt;'Données projet'!$A$218,$FB$205^A45,IF(A45='Données projet'!$A$218,'Données projet'!$B$218,FE44+FD45-FM44)))</f>
        <v>114.77777777777777</v>
      </c>
      <c r="FF45" s="18">
        <f>FE45*VLOOKUP('Données projet'!$B$16,Paramètres!$A$1:$I$89,3,0)*VLOOKUP('Données projet'!$B$16,Paramètres!$A$1:$I$89,5,0)</f>
        <v>68.637111111111111</v>
      </c>
      <c r="FG45" s="14">
        <f t="shared" si="47"/>
        <v>19.334617901691367</v>
      </c>
      <c r="FH45" s="22">
        <f t="shared" si="22"/>
        <v>153.217428030631</v>
      </c>
      <c r="FI45" s="62">
        <f t="shared" si="23"/>
        <v>446.55076136396428</v>
      </c>
      <c r="FJ45" s="62">
        <f ca="1">AVERAGE(OFFSET($FI$3,0,0,'Données projet'!$E$16+1,1))-AVERAGE(OFFSET($H$3,0,0,'Données projet'!$E$16+1,1))</f>
        <v>197.08445731383847</v>
      </c>
      <c r="FK45" s="62">
        <f t="shared" si="48"/>
        <v>157.12482557016511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428.8489304403459</v>
      </c>
      <c r="T46" s="62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475.47920969424894</v>
      </c>
      <c r="AO46" s="62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10.407692307692306</v>
      </c>
      <c r="BD46" s="13">
        <f>IF('Données projet'!$A$88&gt;35,BD45+BC46-BL45,IF(A46&lt;'Données projet'!$A$88,$BA$205^A46,IF(A46='Données projet'!$A$88,'Données projet'!$B$88,BD45+BC46-BL45)))</f>
        <v>238.57692307692312</v>
      </c>
      <c r="BE46" s="14">
        <f>BD46*VLOOKUP('Données projet'!$B$11,Paramètres!$A$1:$I$89,3,0)*VLOOKUP('Données projet'!$B$11,Paramètres!$A$1:$I$89,5,0)</f>
        <v>111.65400000000002</v>
      </c>
      <c r="BF46" s="14">
        <f t="shared" si="37"/>
        <v>29.720340737744728</v>
      </c>
      <c r="BG46" s="22">
        <f t="shared" si="7"/>
        <v>246.22697678490542</v>
      </c>
      <c r="BH46" s="62">
        <f t="shared" si="8"/>
        <v>539.5603101182387</v>
      </c>
      <c r="BI46" s="62">
        <f ca="1">AVERAGE(OFFSET($BH$3,0,0,'Données projet'!$E$11+1,1))-AVERAGE(OFFSET($H$3,0,0,'Données projet'!$E$11+1,1))</f>
        <v>246.73711856758143</v>
      </c>
      <c r="BJ46" s="62">
        <f t="shared" si="38"/>
        <v>145.54897745089966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17.519780219780223</v>
      </c>
      <c r="BY46" s="13">
        <f>IF('Données projet'!$A$114&gt;35,BY45+BX46-CG45,IF(A46&lt;'Données projet'!$A$114,$BV$205^A46,IF(A46='Données projet'!$A$114,'Données projet'!$B$114,BY45+BX46-CG45)))</f>
        <v>299.45054945054954</v>
      </c>
      <c r="BZ46" s="14">
        <f>BY46*VLOOKUP('Données projet'!$B$12,Paramètres!$A$1:$I$89,3,0)*VLOOKUP('Données projet'!$B$12,Paramètres!$A$1:$I$89,5,0)</f>
        <v>167.3928571428572</v>
      </c>
      <c r="CA46" s="14">
        <f t="shared" si="39"/>
        <v>42.505586135425617</v>
      </c>
      <c r="CB46" s="22">
        <f t="shared" si="10"/>
        <v>365.57312204300916</v>
      </c>
      <c r="CC46" s="62">
        <f t="shared" si="11"/>
        <v>658.90645537634248</v>
      </c>
      <c r="CD46" s="62">
        <f ca="1">AVERAGE(OFFSET($CC$3,0,0,'Données projet'!$E$12+1,1))-AVERAGE(OFFSET($H$3,0,0,'Données projet'!$E$12+1,1))</f>
        <v>321.13335003345236</v>
      </c>
      <c r="CE46" s="62">
        <f t="shared" si="40"/>
        <v>301.26825075712128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14.378586173615915</v>
      </c>
      <c r="CM46" s="23">
        <f>EXP(-LN(2)/2)*CM45+(1-EXP(-LN(2)/2))/(LN(2)/2)*CG46*CJ46*VLOOKUP('Données projet'!$B$12,Paramètres!$A$1:$I$89,3,0)*0.475*44/12</f>
        <v>0.10895169419562142</v>
      </c>
      <c r="CN46" s="24">
        <f t="shared" si="12"/>
        <v>14.487537867811536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13.141346153846158</v>
      </c>
      <c r="CT46" s="13">
        <f>IF('Données projet'!$A$140&gt;35,CT45+CS46-DB45,IF(A46&lt;'Données projet'!$A$140,$CQ$205^A46,IF(A46='Données projet'!$A$140,'Données projet'!$B$140,CT45+CS46-DB45)))</f>
        <v>290.01249999999993</v>
      </c>
      <c r="CU46" s="18">
        <f>CT46*VLOOKUP('Données projet'!$B$13,Paramètres!$A$1:$I$89,3,0)*VLOOKUP('Données projet'!$B$13,Paramètres!$A$1:$I$89,5,0)</f>
        <v>173.42747499999999</v>
      </c>
      <c r="CV46" s="14">
        <f t="shared" si="41"/>
        <v>43.856769901180428</v>
      </c>
      <c r="CW46" s="22">
        <f t="shared" si="13"/>
        <v>378.43672653622252</v>
      </c>
      <c r="CX46" s="62">
        <f t="shared" si="14"/>
        <v>671.77005986955578</v>
      </c>
      <c r="CY46" s="62">
        <f ca="1">AVERAGE(OFFSET($CX$3,0,0,'Données projet'!$E$13+1,1))-AVERAGE(OFFSET($H$3,0,0,'Données projet'!$E$13+1,1))</f>
        <v>260.02504691866199</v>
      </c>
      <c r="CZ46" s="62">
        <f t="shared" si="42"/>
        <v>270.11268336406368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7.7365860993379316</v>
      </c>
      <c r="DG46" s="23">
        <f>EXP(-LN(2)/25)*DG45+(1-EXP(-LN(2)/25))/(LN(2)/25)*Calculateur!DB46*Calculateur!DD46*VLOOKUP('Données projet'!$B$13,Paramètres!$A$1:$I$89,3,0)*0.475*44/12</f>
        <v>11.462029562608929</v>
      </c>
      <c r="DH46" s="23">
        <f>EXP(-LN(2)/2)*DH45+(1-EXP(-LN(2)/2))/(LN(2)/2)*DB46*DE46*VLOOKUP('Données projet'!$B$13,Paramètres!$A$1:$I$89,3,0)*0.475*44/12</f>
        <v>7.0047334020634816E-2</v>
      </c>
      <c r="DI46" s="24">
        <f t="shared" si="15"/>
        <v>19.268662995967496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8.1999999999999993</v>
      </c>
      <c r="DO46" s="13">
        <f>IF('Données projet'!$A$166&gt;35,DO45+DN46-DW45,IF(A46&lt;'Données projet'!$A$166,$DL$205^A46,IF(A46='Données projet'!$A$166,'Données projet'!$B$166,DO45+DN46-DW45)))</f>
        <v>188.59999999999985</v>
      </c>
      <c r="DP46" s="18">
        <f>DO46*VLOOKUP('Données projet'!$B$14,Paramètres!$A$1:$I$89,3,0)*VLOOKUP('Données projet'!$B$14,Paramètres!$A$1:$I$89,5,0)</f>
        <v>150.05015999999989</v>
      </c>
      <c r="DQ46" s="14">
        <f t="shared" si="43"/>
        <v>38.589984439024569</v>
      </c>
      <c r="DR46" s="22">
        <f t="shared" si="16"/>
        <v>328.5482515646342</v>
      </c>
      <c r="DS46" s="62">
        <f t="shared" si="17"/>
        <v>621.88158489796751</v>
      </c>
      <c r="DT46" s="62">
        <f ca="1">AVERAGE(OFFSET($DS$3,0,0,'Données projet'!$E$14+1,1))-AVERAGE(OFFSET($H$3,0,0,'Données projet'!$E$14+1,1))</f>
        <v>312.53381881960331</v>
      </c>
      <c r="DU46" s="62">
        <f t="shared" si="44"/>
        <v>342.06887933351783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3.8</v>
      </c>
      <c r="EJ46" s="13">
        <f>IF('Données projet'!$A$192&gt;35,EJ45+EI46-ER45,IF(A46&lt;'Données projet'!$A$192,$EG$205^A46,IF(A46='Données projet'!$A$192,'Données projet'!$B$192,EJ45+EI46-ER45)))</f>
        <v>86.399999999999991</v>
      </c>
      <c r="EK46" s="18">
        <f>EJ46*VLOOKUP('Données projet'!$B$15,Paramètres!$A$1:$I$89,3,0)*VLOOKUP('Données projet'!$B$15,Paramètres!$A$1:$I$89,5,0)</f>
        <v>83.566079999999999</v>
      </c>
      <c r="EL46" s="14">
        <f t="shared" si="45"/>
        <v>23.006883834459444</v>
      </c>
      <c r="EM46" s="22">
        <f t="shared" si="19"/>
        <v>185.6145786783502</v>
      </c>
      <c r="EN46" s="62">
        <f t="shared" si="20"/>
        <v>478.94791201168351</v>
      </c>
      <c r="EO46" s="62">
        <f ca="1">AVERAGE(OFFSET($EN$3,0,0,'Données projet'!$E$15+1,1))-AVERAGE(OFFSET($H$3,0,0,'Données projet'!$E$15+1,1))</f>
        <v>255.59755832175625</v>
      </c>
      <c r="EP46" s="62">
        <f t="shared" si="46"/>
        <v>154.0840647586964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9.8888888888888893</v>
      </c>
      <c r="FE46" s="13">
        <f>IF('Données projet'!$A$218&gt;35,FE45+FD46-FM45,IF(A46&lt;'Données projet'!$A$218,$FB$205^A46,IF(A46='Données projet'!$A$218,'Données projet'!$B$218,FE45+FD46-FM45)))</f>
        <v>124.66666666666666</v>
      </c>
      <c r="FF46" s="18">
        <f>FE46*VLOOKUP('Données projet'!$B$16,Paramètres!$A$1:$I$89,3,0)*VLOOKUP('Données projet'!$B$16,Paramètres!$A$1:$I$89,5,0)</f>
        <v>74.550666666666672</v>
      </c>
      <c r="FG46" s="14">
        <f t="shared" si="47"/>
        <v>20.799372750165091</v>
      </c>
      <c r="FH46" s="22">
        <f t="shared" si="22"/>
        <v>166.06798531764863</v>
      </c>
      <c r="FI46" s="62">
        <f t="shared" si="23"/>
        <v>459.40131865098192</v>
      </c>
      <c r="FJ46" s="62">
        <f ca="1">AVERAGE(OFFSET($FI$3,0,0,'Données projet'!$E$16+1,1))-AVERAGE(OFFSET($H$3,0,0,'Données projet'!$E$16+1,1))</f>
        <v>197.08445731383847</v>
      </c>
      <c r="FK46" s="62">
        <f t="shared" si="48"/>
        <v>157.12482557016511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428.8489304403459</v>
      </c>
      <c r="T47" s="62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475.47920969424894</v>
      </c>
      <c r="AO47" s="62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10.407692307692306</v>
      </c>
      <c r="BD47" s="13">
        <f>IF('Données projet'!$A$88&gt;35,BD46+BC47-BL46,IF(A47&lt;'Données projet'!$A$88,$BA$205^A47,IF(A47='Données projet'!$A$88,'Données projet'!$B$88,BD46+BC47-BL46)))</f>
        <v>248.98461538461544</v>
      </c>
      <c r="BE47" s="14">
        <f>BD47*VLOOKUP('Données projet'!$B$11,Paramètres!$A$1:$I$89,3,0)*VLOOKUP('Données projet'!$B$11,Paramètres!$A$1:$I$89,5,0)</f>
        <v>116.52480000000001</v>
      </c>
      <c r="BF47" s="14">
        <f t="shared" si="37"/>
        <v>30.86308487963316</v>
      </c>
      <c r="BG47" s="22">
        <f t="shared" si="7"/>
        <v>256.70056616536107</v>
      </c>
      <c r="BH47" s="62">
        <f t="shared" si="8"/>
        <v>550.03389949869438</v>
      </c>
      <c r="BI47" s="62">
        <f ca="1">AVERAGE(OFFSET($BH$3,0,0,'Données projet'!$E$11+1,1))-AVERAGE(OFFSET($H$3,0,0,'Données projet'!$E$11+1,1))</f>
        <v>246.73711856758143</v>
      </c>
      <c r="BJ47" s="62">
        <f t="shared" si="38"/>
        <v>145.54897745089966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17.519780219780223</v>
      </c>
      <c r="BY47" s="13">
        <f>IF('Données projet'!$A$114&gt;35,BY46+BX47-CG46,IF(A47&lt;'Données projet'!$A$114,$BV$205^A47,IF(A47='Données projet'!$A$114,'Données projet'!$B$114,BY46+BX47-CG46)))</f>
        <v>316.97032967032976</v>
      </c>
      <c r="BZ47" s="14">
        <f>BY47*VLOOKUP('Données projet'!$B$12,Paramètres!$A$1:$I$89,3,0)*VLOOKUP('Données projet'!$B$12,Paramètres!$A$1:$I$89,5,0)</f>
        <v>177.18641428571433</v>
      </c>
      <c r="CA47" s="14">
        <f t="shared" si="39"/>
        <v>44.695642380138821</v>
      </c>
      <c r="CB47" s="22">
        <f t="shared" si="10"/>
        <v>386.44458202636088</v>
      </c>
      <c r="CC47" s="62">
        <f t="shared" si="11"/>
        <v>679.77791535969413</v>
      </c>
      <c r="CD47" s="62">
        <f ca="1">AVERAGE(OFFSET($CC$3,0,0,'Données projet'!$E$12+1,1))-AVERAGE(OFFSET($H$3,0,0,'Données projet'!$E$12+1,1))</f>
        <v>321.13335003345236</v>
      </c>
      <c r="CE47" s="62">
        <f t="shared" si="40"/>
        <v>301.26825075712128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13.985402978561403</v>
      </c>
      <c r="CM47" s="23">
        <f>EXP(-LN(2)/2)*CM46+(1-EXP(-LN(2)/2))/(LN(2)/2)*CG47*CJ47*VLOOKUP('Données projet'!$B$12,Paramètres!$A$1:$I$89,3,0)*0.475*44/12</f>
        <v>7.7040481787486917E-2</v>
      </c>
      <c r="CN47" s="24">
        <f t="shared" si="12"/>
        <v>14.06244346034889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303.15384615384619</v>
      </c>
      <c r="CR47" s="13">
        <f>VLOOKUP(A47,'Données projet'!$A$139:$I$159,9,0)</f>
        <v>13.141346153846158</v>
      </c>
      <c r="CS47" s="13">
        <f t="array" ref="CS47">INDEX(CR:CR,MIN(IF(ISNUMBER(CR47:CR243),ROW(CR47:CR243),"")))</f>
        <v>13.141346153846158</v>
      </c>
      <c r="CT47" s="13">
        <f>IF('Données projet'!$A$140&gt;35,CT46+CS47-DB46,IF(A47&lt;'Données projet'!$A$140,$CQ$205^A47,IF(A47='Données projet'!$A$140,'Données projet'!$B$140,CT46+CS47-DB46)))</f>
        <v>303.15384615384608</v>
      </c>
      <c r="CU47" s="18">
        <f>CT47*VLOOKUP('Données projet'!$B$13,Paramètres!$A$1:$I$89,3,0)*VLOOKUP('Données projet'!$B$13,Paramètres!$A$1:$I$89,5,0)</f>
        <v>181.28599999999997</v>
      </c>
      <c r="CV47" s="14">
        <f t="shared" si="41"/>
        <v>45.608178821536583</v>
      </c>
      <c r="CW47" s="22">
        <f t="shared" si="13"/>
        <v>395.17402811417611</v>
      </c>
      <c r="CX47" s="62">
        <f t="shared" si="14"/>
        <v>688.50736144750942</v>
      </c>
      <c r="CY47" s="62">
        <f ca="1">AVERAGE(OFFSET($CX$3,0,0,'Données projet'!$E$13+1,1))-AVERAGE(OFFSET($H$3,0,0,'Données projet'!$E$13+1,1))</f>
        <v>260.02504691866199</v>
      </c>
      <c r="CZ47" s="62">
        <f t="shared" si="42"/>
        <v>270.11268336406368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64.476923076923114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7.5848763647814872</v>
      </c>
      <c r="DG47" s="23">
        <f>EXP(-LN(2)/25)*DG46+(1-EXP(-LN(2)/25))/(LN(2)/25)*Calculateur!DB47*Calculateur!DD47*VLOOKUP('Données projet'!$B$13,Paramètres!$A$1:$I$89,3,0)*0.475*44/12</f>
        <v>11.148599761457451</v>
      </c>
      <c r="DH47" s="23">
        <f>EXP(-LN(2)/2)*DH46+(1-EXP(-LN(2)/2))/(LN(2)/2)*DB47*DE47*VLOOKUP('Données projet'!$B$13,Paramètres!$A$1:$I$89,3,0)*0.475*44/12</f>
        <v>4.9530944890030029E-2</v>
      </c>
      <c r="DI47" s="24">
        <f t="shared" si="15"/>
        <v>18.783007071128967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8.1999999999999993</v>
      </c>
      <c r="DO47" s="13">
        <f>IF('Données projet'!$A$166&gt;35,DO46+DN47-DW46,IF(A47&lt;'Données projet'!$A$166,$DL$205^A47,IF(A47='Données projet'!$A$166,'Données projet'!$B$166,DO46+DN47-DW46)))</f>
        <v>196.79999999999984</v>
      </c>
      <c r="DP47" s="18">
        <f>DO47*VLOOKUP('Données projet'!$B$14,Paramètres!$A$1:$I$89,3,0)*VLOOKUP('Données projet'!$B$14,Paramètres!$A$1:$I$89,5,0)</f>
        <v>156.5740799999999</v>
      </c>
      <c r="DQ47" s="14">
        <f t="shared" si="43"/>
        <v>40.068818872547432</v>
      </c>
      <c r="DR47" s="22">
        <f t="shared" si="16"/>
        <v>342.4863822030199</v>
      </c>
      <c r="DS47" s="62">
        <f t="shared" si="17"/>
        <v>635.81971553635321</v>
      </c>
      <c r="DT47" s="62">
        <f ca="1">AVERAGE(OFFSET($DS$3,0,0,'Données projet'!$E$14+1,1))-AVERAGE(OFFSET($H$3,0,0,'Données projet'!$E$14+1,1))</f>
        <v>312.53381881960331</v>
      </c>
      <c r="DU47" s="62">
        <f t="shared" si="44"/>
        <v>342.06887933351783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3.8</v>
      </c>
      <c r="EJ47" s="13">
        <f>IF('Données projet'!$A$192&gt;35,EJ46+EI47-ER46,IF(A47&lt;'Données projet'!$A$192,$EG$205^A47,IF(A47='Données projet'!$A$192,'Données projet'!$B$192,EJ46+EI47-ER46)))</f>
        <v>90.199999999999989</v>
      </c>
      <c r="EK47" s="18">
        <f>EJ47*VLOOKUP('Données projet'!$B$15,Paramètres!$A$1:$I$89,3,0)*VLOOKUP('Données projet'!$B$15,Paramètres!$A$1:$I$89,5,0)</f>
        <v>87.241439999999997</v>
      </c>
      <c r="EL47" s="14">
        <f t="shared" si="45"/>
        <v>23.898726182438701</v>
      </c>
      <c r="EM47" s="22">
        <f t="shared" si="19"/>
        <v>193.56912276774736</v>
      </c>
      <c r="EN47" s="62">
        <f t="shared" si="20"/>
        <v>486.9024561010807</v>
      </c>
      <c r="EO47" s="62">
        <f ca="1">AVERAGE(OFFSET($EN$3,0,0,'Données projet'!$E$15+1,1))-AVERAGE(OFFSET($H$3,0,0,'Données projet'!$E$15+1,1))</f>
        <v>255.59755832175625</v>
      </c>
      <c r="EP47" s="62">
        <f t="shared" si="46"/>
        <v>154.0840647586964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9.8888888888888893</v>
      </c>
      <c r="FE47" s="13">
        <f>IF('Données projet'!$A$218&gt;35,FE46+FD47-FM46,IF(A47&lt;'Données projet'!$A$218,$FB$205^A47,IF(A47='Données projet'!$A$218,'Données projet'!$B$218,FE46+FD47-FM46)))</f>
        <v>134.55555555555554</v>
      </c>
      <c r="FF47" s="18">
        <f>FE47*VLOOKUP('Données projet'!$B$16,Paramètres!$A$1:$I$89,3,0)*VLOOKUP('Données projet'!$B$16,Paramètres!$A$1:$I$89,5,0)</f>
        <v>80.464222222222219</v>
      </c>
      <c r="FG47" s="14">
        <f t="shared" si="47"/>
        <v>22.250650624858352</v>
      </c>
      <c r="FH47" s="22">
        <f t="shared" si="22"/>
        <v>178.89507020866532</v>
      </c>
      <c r="FI47" s="62">
        <f t="shared" si="23"/>
        <v>472.22840354199866</v>
      </c>
      <c r="FJ47" s="62">
        <f ca="1">AVERAGE(OFFSET($FI$3,0,0,'Données projet'!$E$16+1,1))-AVERAGE(OFFSET($H$3,0,0,'Données projet'!$E$16+1,1))</f>
        <v>197.08445731383847</v>
      </c>
      <c r="FK47" s="62">
        <f t="shared" si="48"/>
        <v>157.12482557016511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428.8489304403459</v>
      </c>
      <c r="T48" s="62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475.47920969424894</v>
      </c>
      <c r="AO48" s="62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10.407692307692306</v>
      </c>
      <c r="BD48" s="13">
        <f>IF('Données projet'!$A$88&gt;35,BD47+BC48-BL47,IF(A48&lt;'Données projet'!$A$88,$BA$205^A48,IF(A48='Données projet'!$A$88,'Données projet'!$B$88,BD47+BC48-BL47)))</f>
        <v>259.39230769230772</v>
      </c>
      <c r="BE48" s="14">
        <f>BD48*VLOOKUP('Données projet'!$B$11,Paramètres!$A$1:$I$89,3,0)*VLOOKUP('Données projet'!$B$11,Paramètres!$A$1:$I$89,5,0)</f>
        <v>121.39560000000002</v>
      </c>
      <c r="BF48" s="14">
        <f t="shared" si="37"/>
        <v>32.000280703058984</v>
      </c>
      <c r="BG48" s="22">
        <f t="shared" si="7"/>
        <v>267.16449222449438</v>
      </c>
      <c r="BH48" s="62">
        <f t="shared" si="8"/>
        <v>560.4978255578277</v>
      </c>
      <c r="BI48" s="62">
        <f ca="1">AVERAGE(OFFSET($BH$3,0,0,'Données projet'!$E$11+1,1))-AVERAGE(OFFSET($H$3,0,0,'Données projet'!$E$11+1,1))</f>
        <v>246.73711856758143</v>
      </c>
      <c r="BJ48" s="62">
        <f t="shared" si="38"/>
        <v>145.54897745089966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17.519780219780223</v>
      </c>
      <c r="BY48" s="13">
        <f>IF('Données projet'!$A$114&gt;35,BY47+BX48-CG47,IF(A48&lt;'Données projet'!$A$114,$BV$205^A48,IF(A48='Données projet'!$A$114,'Données projet'!$B$114,BY47+BX48-CG47)))</f>
        <v>334.49010989010998</v>
      </c>
      <c r="BZ48" s="14">
        <f>BY48*VLOOKUP('Données projet'!$B$12,Paramètres!$A$1:$I$89,3,0)*VLOOKUP('Données projet'!$B$12,Paramètres!$A$1:$I$89,5,0)</f>
        <v>186.9799714285715</v>
      </c>
      <c r="CA48" s="14">
        <f t="shared" si="39"/>
        <v>46.871646064498115</v>
      </c>
      <c r="CB48" s="22">
        <f t="shared" si="10"/>
        <v>407.29156713376295</v>
      </c>
      <c r="CC48" s="62">
        <f t="shared" si="11"/>
        <v>700.62490046709627</v>
      </c>
      <c r="CD48" s="62">
        <f ca="1">AVERAGE(OFFSET($CC$3,0,0,'Données projet'!$E$12+1,1))-AVERAGE(OFFSET($H$3,0,0,'Données projet'!$E$12+1,1))</f>
        <v>321.13335003345236</v>
      </c>
      <c r="CE48" s="62">
        <f t="shared" si="40"/>
        <v>301.26825075712128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13.602971398652263</v>
      </c>
      <c r="CM48" s="23">
        <f>EXP(-LN(2)/2)*CM47+(1-EXP(-LN(2)/2))/(LN(2)/2)*CG48*CJ48*VLOOKUP('Données projet'!$B$12,Paramètres!$A$1:$I$89,3,0)*0.475*44/12</f>
        <v>5.4475847097810712E-2</v>
      </c>
      <c r="CN48" s="24">
        <f t="shared" si="12"/>
        <v>13.657447245750074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11.611538461538466</v>
      </c>
      <c r="CT48" s="13">
        <f>IF('Données projet'!$A$140&gt;35,CT47+CS48-DB47,IF(A48&lt;'Données projet'!$A$140,$CQ$205^A48,IF(A48='Données projet'!$A$140,'Données projet'!$B$140,CT47+CS48-DB47)))</f>
        <v>250.28846153846143</v>
      </c>
      <c r="CU48" s="18">
        <f>CT48*VLOOKUP('Données projet'!$B$13,Paramètres!$A$1:$I$89,3,0)*VLOOKUP('Données projet'!$B$13,Paramètres!$A$1:$I$89,5,0)</f>
        <v>149.67249999999996</v>
      </c>
      <c r="CV48" s="14">
        <f t="shared" si="41"/>
        <v>38.504150605716987</v>
      </c>
      <c r="CW48" s="22">
        <f t="shared" si="13"/>
        <v>327.74099980495697</v>
      </c>
      <c r="CX48" s="62">
        <f t="shared" si="14"/>
        <v>621.07433313829029</v>
      </c>
      <c r="CY48" s="62">
        <f ca="1">AVERAGE(OFFSET($CX$3,0,0,'Données projet'!$E$13+1,1))-AVERAGE(OFFSET($H$3,0,0,'Données projet'!$E$13+1,1))</f>
        <v>260.02504691866199</v>
      </c>
      <c r="CZ48" s="62">
        <f t="shared" si="42"/>
        <v>270.11268336406368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7.4361415655858938</v>
      </c>
      <c r="DG48" s="23">
        <f>EXP(-LN(2)/25)*DG47+(1-EXP(-LN(2)/25))/(LN(2)/25)*Calculateur!DB48*Calculateur!DD48*VLOOKUP('Données projet'!$B$13,Paramètres!$A$1:$I$89,3,0)*0.475*44/12</f>
        <v>10.843740714701015</v>
      </c>
      <c r="DH48" s="23">
        <f>EXP(-LN(2)/2)*DH47+(1-EXP(-LN(2)/2))/(LN(2)/2)*DB48*DE48*VLOOKUP('Données projet'!$B$13,Paramètres!$A$1:$I$89,3,0)*0.475*44/12</f>
        <v>3.5023667010317408E-2</v>
      </c>
      <c r="DI48" s="24">
        <f t="shared" si="15"/>
        <v>18.314905947297227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205</v>
      </c>
      <c r="DM48" s="13">
        <f>VLOOKUP(A48,'Données projet'!$A$165:$I$185,9,0)</f>
        <v>8.1999999999999993</v>
      </c>
      <c r="DN48" s="13">
        <f t="array" ref="DN48">INDEX(DM:DM,MIN(IF(ISNUMBER(DM48:DM244),ROW(DM48:DM244),"")))</f>
        <v>8.1999999999999993</v>
      </c>
      <c r="DO48" s="13">
        <f>IF('Données projet'!$A$166&gt;35,DO47+DN48-DW47,IF(A48&lt;'Données projet'!$A$166,$DL$205^A48,IF(A48='Données projet'!$A$166,'Données projet'!$B$166,DO47+DN48-DW47)))</f>
        <v>204.99999999999983</v>
      </c>
      <c r="DP48" s="18">
        <f>DO48*VLOOKUP('Données projet'!$B$14,Paramètres!$A$1:$I$89,3,0)*VLOOKUP('Données projet'!$B$14,Paramètres!$A$1:$I$89,5,0)</f>
        <v>163.09799999999987</v>
      </c>
      <c r="DQ48" s="14">
        <f t="shared" si="43"/>
        <v>41.540496136845107</v>
      </c>
      <c r="DR48" s="22">
        <f t="shared" si="16"/>
        <v>356.41204743833833</v>
      </c>
      <c r="DS48" s="62">
        <f t="shared" si="17"/>
        <v>649.74538077167165</v>
      </c>
      <c r="DT48" s="62">
        <f ca="1">AVERAGE(OFFSET($DS$3,0,0,'Données projet'!$E$14+1,1))-AVERAGE(OFFSET($H$3,0,0,'Données projet'!$E$14+1,1))</f>
        <v>312.53381881960331</v>
      </c>
      <c r="DU48" s="62">
        <f t="shared" si="44"/>
        <v>342.06887933351783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94</v>
      </c>
      <c r="EH48" s="13">
        <f>VLOOKUP(A48,'Données projet'!$A$191:$I$211,9,0)</f>
        <v>3.8</v>
      </c>
      <c r="EI48" s="13">
        <f t="array" ref="EI48">INDEX(EH:EH,MIN(IF(ISNUMBER(EH48:EH244),ROW(EH48:EH244),"")))</f>
        <v>3.8</v>
      </c>
      <c r="EJ48" s="13">
        <f>IF('Données projet'!$A$192&gt;35,EJ47+EI48-ER47,IF(A48&lt;'Données projet'!$A$192,$EG$205^A48,IF(A48='Données projet'!$A$192,'Données projet'!$B$192,EJ47+EI48-ER47)))</f>
        <v>93.999999999999986</v>
      </c>
      <c r="EK48" s="18">
        <f>EJ48*VLOOKUP('Données projet'!$B$15,Paramètres!$A$1:$I$89,3,0)*VLOOKUP('Données projet'!$B$15,Paramètres!$A$1:$I$89,5,0)</f>
        <v>90.916799999999995</v>
      </c>
      <c r="EL48" s="14">
        <f t="shared" si="45"/>
        <v>24.786204483471451</v>
      </c>
      <c r="EM48" s="22">
        <f t="shared" si="19"/>
        <v>201.51606614204607</v>
      </c>
      <c r="EN48" s="62">
        <f t="shared" si="20"/>
        <v>494.84939947537941</v>
      </c>
      <c r="EO48" s="62">
        <f ca="1">AVERAGE(OFFSET($EN$3,0,0,'Données projet'!$E$15+1,1))-AVERAGE(OFFSET($H$3,0,0,'Données projet'!$E$15+1,1))</f>
        <v>255.59755832175625</v>
      </c>
      <c r="EP48" s="62">
        <f t="shared" si="46"/>
        <v>154.0840647586964</v>
      </c>
      <c r="EQ48" s="16">
        <f>IF(ISNA(VLOOKUP(A48,'Données projet'!$A$191:$I$211,3,0)),0,VLOOKUP(A48,'Données projet'!$A$191:$I$211,3,0))</f>
        <v>2</v>
      </c>
      <c r="ER48" s="16">
        <f>IF(ISNA(VLOOKUP(A48,'Données projet'!$A$191:$I$211,4,0)),0,VLOOKUP(A48,'Données projet'!$A$191:$I$211,4,0))</f>
        <v>18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9.8888888888888893</v>
      </c>
      <c r="FE48" s="13">
        <f>IF('Données projet'!$A$218&gt;35,FE47+FD48-FM47,IF(A48&lt;'Données projet'!$A$218,$FB$205^A48,IF(A48='Données projet'!$A$218,'Données projet'!$B$218,FE47+FD48-FM47)))</f>
        <v>144.44444444444443</v>
      </c>
      <c r="FF48" s="18">
        <f>FE48*VLOOKUP('Données projet'!$B$16,Paramètres!$A$1:$I$89,3,0)*VLOOKUP('Données projet'!$B$16,Paramètres!$A$1:$I$89,5,0)</f>
        <v>86.37777777777778</v>
      </c>
      <c r="FG48" s="14">
        <f t="shared" si="47"/>
        <v>23.689554621982808</v>
      </c>
      <c r="FH48" s="22">
        <f t="shared" si="22"/>
        <v>191.70060392958302</v>
      </c>
      <c r="FI48" s="62">
        <f t="shared" si="23"/>
        <v>485.03393726291631</v>
      </c>
      <c r="FJ48" s="62">
        <f ca="1">AVERAGE(OFFSET($FI$3,0,0,'Données projet'!$E$16+1,1))-AVERAGE(OFFSET($H$3,0,0,'Données projet'!$E$16+1,1))</f>
        <v>197.08445731383847</v>
      </c>
      <c r="FK48" s="62">
        <f t="shared" si="48"/>
        <v>157.12482557016511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622.58179746983251</v>
      </c>
      <c r="S49" s="62">
        <f ca="1">AVERAGE(OFFSET($R$3,0,0,'Données projet'!$E$9+1,1))-AVERAGE(OFFSET($H$3,0,0,'Données projet'!$E$9+1,1))</f>
        <v>428.8489304403459</v>
      </c>
      <c r="T49" s="62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2">
        <f t="shared" si="5"/>
        <v>661.32435123407731</v>
      </c>
      <c r="AN49" s="62">
        <f ca="1">AVERAGE(OFFSET($AM$3,0,0,'Données projet'!$E$10+1,1))-AVERAGE(OFFSET($H$3,0,0,'Données projet'!$E$10+1,1))</f>
        <v>475.47920969424894</v>
      </c>
      <c r="AO49" s="62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10.407692307692306</v>
      </c>
      <c r="BD49" s="13">
        <f>IF('Données projet'!$A$88&gt;35,BD48+BC49-BL48,IF(A49&lt;'Données projet'!$A$88,$BA$205^A49,IF(A49='Données projet'!$A$88,'Données projet'!$B$88,BD48+BC49-BL48)))</f>
        <v>269.8</v>
      </c>
      <c r="BE49" s="14">
        <f>BD49*VLOOKUP('Données projet'!$B$11,Paramètres!$A$1:$I$89,3,0)*VLOOKUP('Données projet'!$B$11,Paramètres!$A$1:$I$89,5,0)</f>
        <v>126.2664</v>
      </c>
      <c r="BF49" s="14">
        <f t="shared" si="37"/>
        <v>33.132176294071812</v>
      </c>
      <c r="BG49" s="22">
        <f t="shared" si="7"/>
        <v>277.6191870455084</v>
      </c>
      <c r="BH49" s="62">
        <f t="shared" si="8"/>
        <v>570.95252037884165</v>
      </c>
      <c r="BI49" s="62">
        <f ca="1">AVERAGE(OFFSET($BH$3,0,0,'Données projet'!$E$11+1,1))-AVERAGE(OFFSET($H$3,0,0,'Données projet'!$E$11+1,1))</f>
        <v>246.73711856758143</v>
      </c>
      <c r="BJ49" s="62">
        <f t="shared" si="38"/>
        <v>145.54897745089966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17.519780219780223</v>
      </c>
      <c r="BY49" s="13">
        <f>IF('Données projet'!$A$114&gt;35,BY48+BX49-CG48,IF(A49&lt;'Données projet'!$A$114,$BV$205^A49,IF(A49='Données projet'!$A$114,'Données projet'!$B$114,BY48+BX49-CG48)))</f>
        <v>352.00989010989019</v>
      </c>
      <c r="BZ49" s="14">
        <f>BY49*VLOOKUP('Données projet'!$B$12,Paramètres!$A$1:$I$89,3,0)*VLOOKUP('Données projet'!$B$12,Paramètres!$A$1:$I$89,5,0)</f>
        <v>196.77352857142861</v>
      </c>
      <c r="CA49" s="14">
        <f t="shared" si="39"/>
        <v>49.034417171503861</v>
      </c>
      <c r="CB49" s="22">
        <f t="shared" si="10"/>
        <v>428.11550550227406</v>
      </c>
      <c r="CC49" s="62">
        <f t="shared" si="11"/>
        <v>721.44883883560738</v>
      </c>
      <c r="CD49" s="62">
        <f ca="1">AVERAGE(OFFSET($CC$3,0,0,'Données projet'!$E$12+1,1))-AVERAGE(OFFSET($H$3,0,0,'Données projet'!$E$12+1,1))</f>
        <v>321.13335003345236</v>
      </c>
      <c r="CE49" s="62">
        <f t="shared" si="40"/>
        <v>301.26825075712128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13.230997430406941</v>
      </c>
      <c r="CM49" s="23">
        <f>EXP(-LN(2)/2)*CM48+(1-EXP(-LN(2)/2))/(LN(2)/2)*CG49*CJ49*VLOOKUP('Données projet'!$B$12,Paramètres!$A$1:$I$89,3,0)*0.475*44/12</f>
        <v>3.8520240893743458E-2</v>
      </c>
      <c r="CN49" s="24">
        <f t="shared" si="12"/>
        <v>13.269517671300685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11.611538461538466</v>
      </c>
      <c r="CT49" s="13">
        <f>IF('Données projet'!$A$140&gt;35,CT48+CS49-DB48,IF(A49&lt;'Données projet'!$A$140,$CQ$205^A49,IF(A49='Données projet'!$A$140,'Données projet'!$B$140,CT48+CS49-DB48)))</f>
        <v>261.89999999999992</v>
      </c>
      <c r="CU49" s="18">
        <f>CT49*VLOOKUP('Données projet'!$B$13,Paramètres!$A$1:$I$89,3,0)*VLOOKUP('Données projet'!$B$13,Paramètres!$A$1:$I$89,5,0)</f>
        <v>156.61619999999996</v>
      </c>
      <c r="CV49" s="14">
        <f t="shared" si="41"/>
        <v>40.07834297246675</v>
      </c>
      <c r="CW49" s="22">
        <f t="shared" si="13"/>
        <v>342.57632901037942</v>
      </c>
      <c r="CX49" s="62">
        <f t="shared" si="14"/>
        <v>635.90966234371274</v>
      </c>
      <c r="CY49" s="62">
        <f ca="1">AVERAGE(OFFSET($CX$3,0,0,'Données projet'!$E$13+1,1))-AVERAGE(OFFSET($H$3,0,0,'Données projet'!$E$13+1,1))</f>
        <v>260.02504691866199</v>
      </c>
      <c r="CZ49" s="62">
        <f t="shared" si="42"/>
        <v>270.11268336406368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7.290323365083256</v>
      </c>
      <c r="DG49" s="23">
        <f>EXP(-LN(2)/25)*DG48+(1-EXP(-LN(2)/25))/(LN(2)/25)*Calculateur!DB49*Calculateur!DD49*VLOOKUP('Données projet'!$B$13,Paramètres!$A$1:$I$89,3,0)*0.475*44/12</f>
        <v>10.547218054609976</v>
      </c>
      <c r="DH49" s="23">
        <f>EXP(-LN(2)/2)*DH48+(1-EXP(-LN(2)/2))/(LN(2)/2)*DB49*DE49*VLOOKUP('Données projet'!$B$13,Paramètres!$A$1:$I$89,3,0)*0.475*44/12</f>
        <v>2.4765472445015015E-2</v>
      </c>
      <c r="DI49" s="24">
        <f t="shared" si="15"/>
        <v>17.862306892138246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</v>
      </c>
      <c r="DO49" s="13">
        <f>IF('Données projet'!$A$166&gt;35,DO48+DN49-DW48,IF(A49&lt;'Données projet'!$A$166,$DL$205^A49,IF(A49='Données projet'!$A$166,'Données projet'!$B$166,DO48+DN49-DW48)))</f>
        <v>211.99999999999983</v>
      </c>
      <c r="DP49" s="18">
        <f>DO49*VLOOKUP('Données projet'!$B$14,Paramètres!$A$1:$I$89,3,0)*VLOOKUP('Données projet'!$B$14,Paramètres!$A$1:$I$89,5,0)</f>
        <v>168.66719999999987</v>
      </c>
      <c r="DQ49" s="14">
        <f t="shared" si="43"/>
        <v>42.791384119459089</v>
      </c>
      <c r="DR49" s="22">
        <f t="shared" si="16"/>
        <v>368.29036734139095</v>
      </c>
      <c r="DS49" s="62">
        <f t="shared" si="17"/>
        <v>661.6237006747242</v>
      </c>
      <c r="DT49" s="62">
        <f ca="1">AVERAGE(OFFSET($DS$3,0,0,'Données projet'!$E$14+1,1))-AVERAGE(OFFSET($H$3,0,0,'Données projet'!$E$14+1,1))</f>
        <v>312.53381881960331</v>
      </c>
      <c r="DU49" s="62">
        <f t="shared" si="44"/>
        <v>342.06887933351783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3.8</v>
      </c>
      <c r="EJ49" s="13">
        <f>IF('Données projet'!$A$192&gt;35,EJ48+EI49-ER48,IF(A49&lt;'Données projet'!$A$192,$EG$205^A49,IF(A49='Données projet'!$A$192,'Données projet'!$B$192,EJ48+EI49-ER48)))</f>
        <v>79.799999999999983</v>
      </c>
      <c r="EK49" s="18">
        <f>EJ49*VLOOKUP('Données projet'!$B$15,Paramètres!$A$1:$I$89,3,0)*VLOOKUP('Données projet'!$B$15,Paramètres!$A$1:$I$89,5,0)</f>
        <v>77.182559999999995</v>
      </c>
      <c r="EL49" s="14">
        <f t="shared" si="45"/>
        <v>21.446874557671695</v>
      </c>
      <c r="EM49" s="22">
        <f t="shared" si="19"/>
        <v>171.77959852127819</v>
      </c>
      <c r="EN49" s="62">
        <f t="shared" si="20"/>
        <v>465.11293185461147</v>
      </c>
      <c r="EO49" s="62">
        <f ca="1">AVERAGE(OFFSET($EN$3,0,0,'Données projet'!$E$15+1,1))-AVERAGE(OFFSET($H$3,0,0,'Données projet'!$E$15+1,1))</f>
        <v>255.59755832175625</v>
      </c>
      <c r="EP49" s="62">
        <f t="shared" si="46"/>
        <v>154.0840647586964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9.8888888888888893</v>
      </c>
      <c r="FE49" s="13">
        <f>IF('Données projet'!$A$218&gt;35,FE48+FD49-FM48,IF(A49&lt;'Données projet'!$A$218,$FB$205^A49,IF(A49='Données projet'!$A$218,'Données projet'!$B$218,FE48+FD49-FM48)))</f>
        <v>154.33333333333331</v>
      </c>
      <c r="FF49" s="18">
        <f>FE49*VLOOKUP('Données projet'!$B$16,Paramètres!$A$1:$I$89,3,0)*VLOOKUP('Données projet'!$B$16,Paramètres!$A$1:$I$89,5,0)</f>
        <v>92.291333333333327</v>
      </c>
      <c r="FG49" s="14">
        <f t="shared" si="47"/>
        <v>25.117028248833339</v>
      </c>
      <c r="FH49" s="22">
        <f t="shared" si="22"/>
        <v>204.48622975560693</v>
      </c>
      <c r="FI49" s="62">
        <f t="shared" si="23"/>
        <v>497.81956308894024</v>
      </c>
      <c r="FJ49" s="62">
        <f ca="1">AVERAGE(OFFSET($FI$3,0,0,'Données projet'!$E$16+1,1))-AVERAGE(OFFSET($H$3,0,0,'Données projet'!$E$16+1,1))</f>
        <v>197.08445731383847</v>
      </c>
      <c r="FK49" s="62">
        <f t="shared" si="48"/>
        <v>157.12482557016511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638.43129351369294</v>
      </c>
      <c r="S50" s="62">
        <f ca="1">AVERAGE(OFFSET($R$3,0,0,'Données projet'!$E$9+1,1))-AVERAGE(OFFSET($H$3,0,0,'Données projet'!$E$9+1,1))</f>
        <v>428.8489304403459</v>
      </c>
      <c r="T50" s="62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2">
        <f t="shared" si="5"/>
        <v>679.04349174077868</v>
      </c>
      <c r="AN50" s="62">
        <f ca="1">AVERAGE(OFFSET($AM$3,0,0,'Données projet'!$E$10+1,1))-AVERAGE(OFFSET($H$3,0,0,'Données projet'!$E$10+1,1))</f>
        <v>475.47920969424894</v>
      </c>
      <c r="AO50" s="62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10.407692307692306</v>
      </c>
      <c r="BD50" s="13">
        <f>IF('Données projet'!$A$88&gt;35,BD49+BC50-BL49,IF(A50&lt;'Données projet'!$A$88,$BA$205^A50,IF(A50='Données projet'!$A$88,'Données projet'!$B$88,BD49+BC50-BL49)))</f>
        <v>280.2076923076923</v>
      </c>
      <c r="BE50" s="14">
        <f>BD50*VLOOKUP('Données projet'!$B$11,Paramètres!$A$1:$I$89,3,0)*VLOOKUP('Données projet'!$B$11,Paramètres!$A$1:$I$89,5,0)</f>
        <v>131.13719999999998</v>
      </c>
      <c r="BF50" s="14">
        <f t="shared" si="37"/>
        <v>34.258999514705152</v>
      </c>
      <c r="BG50" s="22">
        <f t="shared" si="7"/>
        <v>288.06504748811147</v>
      </c>
      <c r="BH50" s="62">
        <f t="shared" si="8"/>
        <v>581.39838082144479</v>
      </c>
      <c r="BI50" s="62">
        <f ca="1">AVERAGE(OFFSET($BH$3,0,0,'Données projet'!$E$11+1,1))-AVERAGE(OFFSET($H$3,0,0,'Données projet'!$E$11+1,1))</f>
        <v>246.73711856758143</v>
      </c>
      <c r="BJ50" s="62">
        <f t="shared" si="38"/>
        <v>145.54897745089966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17.519780219780223</v>
      </c>
      <c r="BY50" s="13">
        <f>IF('Données projet'!$A$114&gt;35,BY49+BX50-CG49,IF(A50&lt;'Données projet'!$A$114,$BV$205^A50,IF(A50='Données projet'!$A$114,'Données projet'!$B$114,BY49+BX50-CG49)))</f>
        <v>369.52967032967041</v>
      </c>
      <c r="BZ50" s="14">
        <f>BY50*VLOOKUP('Données projet'!$B$12,Paramètres!$A$1:$I$89,3,0)*VLOOKUP('Données projet'!$B$12,Paramètres!$A$1:$I$89,5,0)</f>
        <v>206.56708571428578</v>
      </c>
      <c r="CA50" s="14">
        <f t="shared" si="39"/>
        <v>51.184689450990696</v>
      </c>
      <c r="CB50" s="22">
        <f t="shared" si="10"/>
        <v>448.91767507952318</v>
      </c>
      <c r="CC50" s="62">
        <f t="shared" si="11"/>
        <v>742.25100841285644</v>
      </c>
      <c r="CD50" s="62">
        <f ca="1">AVERAGE(OFFSET($CC$3,0,0,'Données projet'!$E$12+1,1))-AVERAGE(OFFSET($H$3,0,0,'Données projet'!$E$12+1,1))</f>
        <v>321.13335003345236</v>
      </c>
      <c r="CE50" s="62">
        <f t="shared" si="40"/>
        <v>301.26825075712128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12.869195109884547</v>
      </c>
      <c r="CM50" s="23">
        <f>EXP(-LN(2)/2)*CM49+(1-EXP(-LN(2)/2))/(LN(2)/2)*CG50*CJ50*VLOOKUP('Données projet'!$B$12,Paramètres!$A$1:$I$89,3,0)*0.475*44/12</f>
        <v>2.7237923548905356E-2</v>
      </c>
      <c r="CN50" s="24">
        <f t="shared" si="12"/>
        <v>12.896433033433453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11.611538461538466</v>
      </c>
      <c r="CT50" s="13">
        <f>IF('Données projet'!$A$140&gt;35,CT49+CS50-DB49,IF(A50&lt;'Données projet'!$A$140,$CQ$205^A50,IF(A50='Données projet'!$A$140,'Données projet'!$B$140,CT49+CS50-DB49)))</f>
        <v>273.51153846153841</v>
      </c>
      <c r="CU50" s="18">
        <f>CT50*VLOOKUP('Données projet'!$B$13,Paramètres!$A$1:$I$89,3,0)*VLOOKUP('Données projet'!$B$13,Paramètres!$A$1:$I$89,5,0)</f>
        <v>163.55989999999997</v>
      </c>
      <c r="CV50" s="14">
        <f t="shared" si="41"/>
        <v>41.644429552500291</v>
      </c>
      <c r="CW50" s="22">
        <f t="shared" si="13"/>
        <v>357.39754063727128</v>
      </c>
      <c r="CX50" s="62">
        <f t="shared" si="14"/>
        <v>650.73087397060453</v>
      </c>
      <c r="CY50" s="62">
        <f ca="1">AVERAGE(OFFSET($CX$3,0,0,'Données projet'!$E$13+1,1))-AVERAGE(OFFSET($H$3,0,0,'Données projet'!$E$13+1,1))</f>
        <v>260.02504691866199</v>
      </c>
      <c r="CZ50" s="62">
        <f t="shared" si="42"/>
        <v>270.11268336406368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7.1473645705521553</v>
      </c>
      <c r="DG50" s="23">
        <f>EXP(-LN(2)/25)*DG49+(1-EXP(-LN(2)/25))/(LN(2)/25)*Calculateur!DB50*Calculateur!DD50*VLOOKUP('Données projet'!$B$13,Paramètres!$A$1:$I$89,3,0)*0.475*44/12</f>
        <v>10.258803822252574</v>
      </c>
      <c r="DH50" s="23">
        <f>EXP(-LN(2)/2)*DH49+(1-EXP(-LN(2)/2))/(LN(2)/2)*DB50*DE50*VLOOKUP('Données projet'!$B$13,Paramètres!$A$1:$I$89,3,0)*0.475*44/12</f>
        <v>1.7511833505158704E-2</v>
      </c>
      <c r="DI50" s="24">
        <f t="shared" si="15"/>
        <v>17.423680226309887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</v>
      </c>
      <c r="DO50" s="13">
        <f>IF('Données projet'!$A$166&gt;35,DO49+DN50-DW49,IF(A50&lt;'Données projet'!$A$166,$DL$205^A50,IF(A50='Données projet'!$A$166,'Données projet'!$B$166,DO49+DN50-DW49)))</f>
        <v>218.99999999999983</v>
      </c>
      <c r="DP50" s="18">
        <f>DO50*VLOOKUP('Données projet'!$B$14,Paramètres!$A$1:$I$89,3,0)*VLOOKUP('Données projet'!$B$14,Paramètres!$A$1:$I$89,5,0)</f>
        <v>174.23639999999986</v>
      </c>
      <c r="DQ50" s="14">
        <f t="shared" si="43"/>
        <v>44.03747274965864</v>
      </c>
      <c r="DR50" s="22">
        <f t="shared" si="16"/>
        <v>380.16032837232183</v>
      </c>
      <c r="DS50" s="62">
        <f t="shared" si="17"/>
        <v>673.49366170565509</v>
      </c>
      <c r="DT50" s="62">
        <f ca="1">AVERAGE(OFFSET($DS$3,0,0,'Données projet'!$E$14+1,1))-AVERAGE(OFFSET($H$3,0,0,'Données projet'!$E$14+1,1))</f>
        <v>312.53381881960331</v>
      </c>
      <c r="DU50" s="62">
        <f t="shared" si="44"/>
        <v>342.06887933351783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3.8</v>
      </c>
      <c r="EJ50" s="13">
        <f>IF('Données projet'!$A$192&gt;35,EJ49+EI50-ER49,IF(A50&lt;'Données projet'!$A$192,$EG$205^A50,IF(A50='Données projet'!$A$192,'Données projet'!$B$192,EJ49+EI50-ER49)))</f>
        <v>83.59999999999998</v>
      </c>
      <c r="EK50" s="18">
        <f>EJ50*VLOOKUP('Données projet'!$B$15,Paramètres!$A$1:$I$89,3,0)*VLOOKUP('Données projet'!$B$15,Paramètres!$A$1:$I$89,5,0)</f>
        <v>80.857919999999979</v>
      </c>
      <c r="EL50" s="14">
        <f t="shared" si="45"/>
        <v>22.346819625648891</v>
      </c>
      <c r="EM50" s="22">
        <f t="shared" si="19"/>
        <v>179.7482548480051</v>
      </c>
      <c r="EN50" s="62">
        <f t="shared" si="20"/>
        <v>473.08158818133842</v>
      </c>
      <c r="EO50" s="62">
        <f ca="1">AVERAGE(OFFSET($EN$3,0,0,'Données projet'!$E$15+1,1))-AVERAGE(OFFSET($H$3,0,0,'Données projet'!$E$15+1,1))</f>
        <v>255.59755832175625</v>
      </c>
      <c r="EP50" s="62">
        <f t="shared" si="46"/>
        <v>154.0840647586964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9.8888888888888893</v>
      </c>
      <c r="FE50" s="13">
        <f>IF('Données projet'!$A$218&gt;35,FE49+FD50-FM49,IF(A50&lt;'Données projet'!$A$218,$FB$205^A50,IF(A50='Données projet'!$A$218,'Données projet'!$B$218,FE49+FD50-FM49)))</f>
        <v>164.2222222222222</v>
      </c>
      <c r="FF50" s="18">
        <f>FE50*VLOOKUP('Données projet'!$B$16,Paramètres!$A$1:$I$89,3,0)*VLOOKUP('Données projet'!$B$16,Paramètres!$A$1:$I$89,5,0)</f>
        <v>98.204888888888888</v>
      </c>
      <c r="FG50" s="14">
        <f t="shared" si="47"/>
        <v>26.533887266447675</v>
      </c>
      <c r="FH50" s="22">
        <f t="shared" si="22"/>
        <v>217.2533684705445</v>
      </c>
      <c r="FI50" s="62">
        <f t="shared" si="23"/>
        <v>510.58670180387782</v>
      </c>
      <c r="FJ50" s="62">
        <f ca="1">AVERAGE(OFFSET($FI$3,0,0,'Données projet'!$E$16+1,1))-AVERAGE(OFFSET($H$3,0,0,'Données projet'!$E$16+1,1))</f>
        <v>197.08445731383847</v>
      </c>
      <c r="FK50" s="62">
        <f t="shared" si="48"/>
        <v>157.12482557016511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654.26480538883823</v>
      </c>
      <c r="S51" s="62">
        <f ca="1">AVERAGE(OFFSET($R$3,0,0,'Données projet'!$E$9+1,1))-AVERAGE(OFFSET($H$3,0,0,'Données projet'!$E$9+1,1))</f>
        <v>428.8489304403459</v>
      </c>
      <c r="T51" s="62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2">
        <f t="shared" si="5"/>
        <v>696.74495497233352</v>
      </c>
      <c r="AN51" s="62">
        <f ca="1">AVERAGE(OFFSET($AM$3,0,0,'Données projet'!$E$10+1,1))-AVERAGE(OFFSET($H$3,0,0,'Données projet'!$E$10+1,1))</f>
        <v>475.47920969424894</v>
      </c>
      <c r="AO51" s="62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10.407692307692306</v>
      </c>
      <c r="BD51" s="13">
        <f>IF('Données projet'!$A$88&gt;35,BD50+BC51-BL50,IF(A51&lt;'Données projet'!$A$88,$BA$205^A51,IF(A51='Données projet'!$A$88,'Données projet'!$B$88,BD50+BC51-BL50)))</f>
        <v>290.61538461538458</v>
      </c>
      <c r="BE51" s="14">
        <f>BD51*VLOOKUP('Données projet'!$B$11,Paramètres!$A$1:$I$89,3,0)*VLOOKUP('Données projet'!$B$11,Paramètres!$A$1:$I$89,5,0)</f>
        <v>136.00799999999998</v>
      </c>
      <c r="BF51" s="14">
        <f t="shared" si="37"/>
        <v>35.380960341100334</v>
      </c>
      <c r="BG51" s="22">
        <f t="shared" si="7"/>
        <v>298.50243926074967</v>
      </c>
      <c r="BH51" s="62">
        <f t="shared" si="8"/>
        <v>591.83577259408298</v>
      </c>
      <c r="BI51" s="62">
        <f ca="1">AVERAGE(OFFSET($BH$3,0,0,'Données projet'!$E$11+1,1))-AVERAGE(OFFSET($H$3,0,0,'Données projet'!$E$11+1,1))</f>
        <v>246.73711856758143</v>
      </c>
      <c r="BJ51" s="62">
        <f t="shared" si="38"/>
        <v>145.54897745089966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17.519780219780223</v>
      </c>
      <c r="BY51" s="13">
        <f>IF('Données projet'!$A$114&gt;35,BY50+BX51-CG50,IF(A51&lt;'Données projet'!$A$114,$BV$205^A51,IF(A51='Données projet'!$A$114,'Données projet'!$B$114,BY50+BX51-CG50)))</f>
        <v>387.04945054945063</v>
      </c>
      <c r="BZ51" s="14">
        <f>BY51*VLOOKUP('Données projet'!$B$12,Paramètres!$A$1:$I$89,3,0)*VLOOKUP('Données projet'!$B$12,Paramètres!$A$1:$I$89,5,0)</f>
        <v>216.36064285714289</v>
      </c>
      <c r="CA51" s="14">
        <f t="shared" si="39"/>
        <v>53.323123145592824</v>
      </c>
      <c r="CB51" s="22">
        <f t="shared" si="10"/>
        <v>469.69922578809798</v>
      </c>
      <c r="CC51" s="62">
        <f t="shared" si="11"/>
        <v>763.03255912143129</v>
      </c>
      <c r="CD51" s="62">
        <f ca="1">AVERAGE(OFFSET($CC$3,0,0,'Données projet'!$E$12+1,1))-AVERAGE(OFFSET($H$3,0,0,'Données projet'!$E$12+1,1))</f>
        <v>321.13335003345236</v>
      </c>
      <c r="CE51" s="62">
        <f t="shared" si="40"/>
        <v>301.26825075712128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12.517286292843197</v>
      </c>
      <c r="CM51" s="23">
        <f>EXP(-LN(2)/2)*CM50+(1-EXP(-LN(2)/2))/(LN(2)/2)*CG51*CJ51*VLOOKUP('Données projet'!$B$12,Paramètres!$A$1:$I$89,3,0)*0.475*44/12</f>
        <v>1.9260120446871729E-2</v>
      </c>
      <c r="CN51" s="24">
        <f t="shared" si="12"/>
        <v>12.536546413290068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11.611538461538466</v>
      </c>
      <c r="CT51" s="13">
        <f>IF('Données projet'!$A$140&gt;35,CT50+CS51-DB50,IF(A51&lt;'Données projet'!$A$140,$CQ$205^A51,IF(A51='Données projet'!$A$140,'Données projet'!$B$140,CT50+CS51-DB50)))</f>
        <v>285.12307692307689</v>
      </c>
      <c r="CU51" s="18">
        <f>CT51*VLOOKUP('Données projet'!$B$13,Paramètres!$A$1:$I$89,3,0)*VLOOKUP('Données projet'!$B$13,Paramètres!$A$1:$I$89,5,0)</f>
        <v>170.50360000000001</v>
      </c>
      <c r="CV51" s="14">
        <f t="shared" si="41"/>
        <v>43.202793808192034</v>
      </c>
      <c r="CW51" s="22">
        <f t="shared" si="13"/>
        <v>372.2053025492678</v>
      </c>
      <c r="CX51" s="62">
        <f t="shared" si="14"/>
        <v>665.53863588260106</v>
      </c>
      <c r="CY51" s="62">
        <f ca="1">AVERAGE(OFFSET($CX$3,0,0,'Données projet'!$E$13+1,1))-AVERAGE(OFFSET($H$3,0,0,'Données projet'!$E$13+1,1))</f>
        <v>260.02504691866199</v>
      </c>
      <c r="CZ51" s="62">
        <f t="shared" si="42"/>
        <v>270.11268336406368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7.0072091107855545</v>
      </c>
      <c r="DG51" s="23">
        <f>EXP(-LN(2)/25)*DG50+(1-EXP(-LN(2)/25))/(LN(2)/25)*Calculateur!DB51*Calculateur!DD51*VLOOKUP('Données projet'!$B$13,Paramètres!$A$1:$I$89,3,0)*0.475*44/12</f>
        <v>9.9782762922460311</v>
      </c>
      <c r="DH51" s="23">
        <f>EXP(-LN(2)/2)*DH50+(1-EXP(-LN(2)/2))/(LN(2)/2)*DB51*DE51*VLOOKUP('Données projet'!$B$13,Paramètres!$A$1:$I$89,3,0)*0.475*44/12</f>
        <v>1.2382736222507507E-2</v>
      </c>
      <c r="DI51" s="24">
        <f t="shared" si="15"/>
        <v>16.997868139254091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</v>
      </c>
      <c r="DO51" s="13">
        <f>IF('Données projet'!$A$166&gt;35,DO50+DN51-DW50,IF(A51&lt;'Données projet'!$A$166,$DL$205^A51,IF(A51='Données projet'!$A$166,'Données projet'!$B$166,DO50+DN51-DW50)))</f>
        <v>225.99999999999983</v>
      </c>
      <c r="DP51" s="18">
        <f>DO51*VLOOKUP('Données projet'!$B$14,Paramètres!$A$1:$I$89,3,0)*VLOOKUP('Données projet'!$B$14,Paramètres!$A$1:$I$89,5,0)</f>
        <v>179.80559999999988</v>
      </c>
      <c r="DQ51" s="14">
        <f t="shared" si="43"/>
        <v>45.278933028529949</v>
      </c>
      <c r="DR51" s="22">
        <f t="shared" si="16"/>
        <v>392.0222283580228</v>
      </c>
      <c r="DS51" s="62">
        <f t="shared" si="17"/>
        <v>685.35556169135612</v>
      </c>
      <c r="DT51" s="62">
        <f ca="1">AVERAGE(OFFSET($DS$3,0,0,'Données projet'!$E$14+1,1))-AVERAGE(OFFSET($H$3,0,0,'Données projet'!$E$14+1,1))</f>
        <v>312.53381881960331</v>
      </c>
      <c r="DU51" s="62">
        <f t="shared" si="44"/>
        <v>342.06887933351783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3.8</v>
      </c>
      <c r="EJ51" s="13">
        <f>IF('Données projet'!$A$192&gt;35,EJ50+EI51-ER50,IF(A51&lt;'Données projet'!$A$192,$EG$205^A51,IF(A51='Données projet'!$A$192,'Données projet'!$B$192,EJ50+EI51-ER50)))</f>
        <v>87.399999999999977</v>
      </c>
      <c r="EK51" s="18">
        <f>EJ51*VLOOKUP('Données projet'!$B$15,Paramètres!$A$1:$I$89,3,0)*VLOOKUP('Données projet'!$B$15,Paramètres!$A$1:$I$89,5,0)</f>
        <v>84.533279999999991</v>
      </c>
      <c r="EL51" s="14">
        <f t="shared" si="45"/>
        <v>23.242014012893971</v>
      </c>
      <c r="EM51" s="22">
        <f t="shared" si="19"/>
        <v>187.70863707245698</v>
      </c>
      <c r="EN51" s="62">
        <f t="shared" si="20"/>
        <v>481.04197040579027</v>
      </c>
      <c r="EO51" s="62">
        <f ca="1">AVERAGE(OFFSET($EN$3,0,0,'Données projet'!$E$15+1,1))-AVERAGE(OFFSET($H$3,0,0,'Données projet'!$E$15+1,1))</f>
        <v>255.59755832175625</v>
      </c>
      <c r="EP51" s="62">
        <f t="shared" si="46"/>
        <v>154.0840647586964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9.8888888888888893</v>
      </c>
      <c r="FE51" s="13">
        <f>IF('Données projet'!$A$218&gt;35,FE50+FD51-FM50,IF(A51&lt;'Données projet'!$A$218,$FB$205^A51,IF(A51='Données projet'!$A$218,'Données projet'!$B$218,FE50+FD51-FM50)))</f>
        <v>174.11111111111109</v>
      </c>
      <c r="FF51" s="18">
        <f>FE51*VLOOKUP('Données projet'!$B$16,Paramètres!$A$1:$I$89,3,0)*VLOOKUP('Données projet'!$B$16,Paramètres!$A$1:$I$89,5,0)</f>
        <v>104.11844444444444</v>
      </c>
      <c r="FG51" s="14">
        <f t="shared" si="47"/>
        <v>27.940843640496194</v>
      </c>
      <c r="FH51" s="22">
        <f t="shared" si="22"/>
        <v>230.00326008127158</v>
      </c>
      <c r="FI51" s="62">
        <f t="shared" si="23"/>
        <v>523.33659341460486</v>
      </c>
      <c r="FJ51" s="62">
        <f ca="1">AVERAGE(OFFSET($FI$3,0,0,'Données projet'!$E$16+1,1))-AVERAGE(OFFSET($H$3,0,0,'Données projet'!$E$16+1,1))</f>
        <v>197.08445731383847</v>
      </c>
      <c r="FK51" s="62">
        <f t="shared" si="48"/>
        <v>157.12482557016511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670.08313290501178</v>
      </c>
      <c r="S52" s="62">
        <f ca="1">AVERAGE(OFFSET($R$3,0,0,'Données projet'!$E$9+1,1))-AVERAGE(OFFSET($H$3,0,0,'Données projet'!$E$9+1,1))</f>
        <v>428.8489304403459</v>
      </c>
      <c r="T52" s="62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2">
        <f t="shared" si="5"/>
        <v>714.4296254574997</v>
      </c>
      <c r="AN52" s="62">
        <f ca="1">AVERAGE(OFFSET($AM$3,0,0,'Données projet'!$E$10+1,1))-AVERAGE(OFFSET($H$3,0,0,'Données projet'!$E$10+1,1))</f>
        <v>475.47920969424894</v>
      </c>
      <c r="AO52" s="62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10.407692307692306</v>
      </c>
      <c r="BD52" s="13">
        <f>IF('Données projet'!$A$88&gt;35,BD51+BC52-BL51,IF(A52&lt;'Données projet'!$A$88,$BA$205^A52,IF(A52='Données projet'!$A$88,'Données projet'!$B$88,BD51+BC52-BL51)))</f>
        <v>301.02307692307687</v>
      </c>
      <c r="BE52" s="14">
        <f>BD52*VLOOKUP('Données projet'!$B$11,Paramètres!$A$1:$I$89,3,0)*VLOOKUP('Données projet'!$B$11,Paramètres!$A$1:$I$89,5,0)</f>
        <v>140.87879999999998</v>
      </c>
      <c r="BF52" s="14">
        <f t="shared" si="37"/>
        <v>36.498252857280519</v>
      </c>
      <c r="BG52" s="22">
        <f t="shared" si="7"/>
        <v>308.93170039309683</v>
      </c>
      <c r="BH52" s="62">
        <f t="shared" si="8"/>
        <v>602.26503372643015</v>
      </c>
      <c r="BI52" s="62">
        <f ca="1">AVERAGE(OFFSET($BH$3,0,0,'Données projet'!$E$11+1,1))-AVERAGE(OFFSET($H$3,0,0,'Données projet'!$E$11+1,1))</f>
        <v>246.73711856758143</v>
      </c>
      <c r="BJ52" s="62">
        <f t="shared" si="38"/>
        <v>145.54897745089966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404.56923076923078</v>
      </c>
      <c r="BW52" s="13">
        <f>VLOOKUP(A52,'Données projet'!$A$113:$I$133,9,0)</f>
        <v>17.519780219780223</v>
      </c>
      <c r="BX52" s="13">
        <f t="array" ref="BX52">INDEX(BW:BW,MIN(IF(ISNUMBER(BW52:BW248),ROW(BW52:BW248),"")))</f>
        <v>17.519780219780223</v>
      </c>
      <c r="BY52" s="13">
        <f>IF('Données projet'!$A$114&gt;35,BY51+BX52-CG51,IF(A52&lt;'Données projet'!$A$114,$BV$205^A52,IF(A52='Données projet'!$A$114,'Données projet'!$B$114,BY51+BX52-CG51)))</f>
        <v>404.56923076923084</v>
      </c>
      <c r="BZ52" s="14">
        <f>BY52*VLOOKUP('Données projet'!$B$12,Paramètres!$A$1:$I$89,3,0)*VLOOKUP('Données projet'!$B$12,Paramètres!$A$1:$I$89,5,0)</f>
        <v>226.15420000000006</v>
      </c>
      <c r="CA52" s="14">
        <f t="shared" si="39"/>
        <v>55.450315347427065</v>
      </c>
      <c r="CB52" s="22">
        <f t="shared" si="10"/>
        <v>490.46119756343563</v>
      </c>
      <c r="CC52" s="62">
        <f t="shared" si="11"/>
        <v>783.79453089676895</v>
      </c>
      <c r="CD52" s="62">
        <f ca="1">AVERAGE(OFFSET($CC$3,0,0,'Données projet'!$E$12+1,1))-AVERAGE(OFFSET($H$3,0,0,'Données projet'!$E$12+1,1))</f>
        <v>321.13335003345236</v>
      </c>
      <c r="CE52" s="62">
        <f t="shared" si="40"/>
        <v>301.26825075712128</v>
      </c>
      <c r="CF52" s="16">
        <f>IF(ISNA(VLOOKUP(A52,'Données projet'!$A$113:$I$133,3,0)),0,VLOOKUP(A52,'Données projet'!$A$113:$I$133,3,0))</f>
        <v>5</v>
      </c>
      <c r="CG52" s="16">
        <f>IF(ISNA(VLOOKUP(A52,'Données projet'!$A$113:$I$133,4,0)),0,VLOOKUP(A52,'Données projet'!$A$113:$I$133,4,0))</f>
        <v>90.453846153846158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12.175000440909923</v>
      </c>
      <c r="CM52" s="23">
        <f>EXP(-LN(2)/2)*CM51+(1-EXP(-LN(2)/2))/(LN(2)/2)*CG52*CJ52*VLOOKUP('Données projet'!$B$12,Paramètres!$A$1:$I$89,3,0)*0.475*44/12</f>
        <v>1.3618961774452678E-2</v>
      </c>
      <c r="CN52" s="24">
        <f t="shared" si="12"/>
        <v>12.188619402684376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11.611538461538466</v>
      </c>
      <c r="CT52" s="13">
        <f>IF('Données projet'!$A$140&gt;35,CT51+CS52-DB51,IF(A52&lt;'Données projet'!$A$140,$CQ$205^A52,IF(A52='Données projet'!$A$140,'Données projet'!$B$140,CT51+CS52-DB51)))</f>
        <v>296.73461538461538</v>
      </c>
      <c r="CU52" s="18">
        <f>CT52*VLOOKUP('Données projet'!$B$13,Paramètres!$A$1:$I$89,3,0)*VLOOKUP('Données projet'!$B$13,Paramètres!$A$1:$I$89,5,0)</f>
        <v>177.44730000000001</v>
      </c>
      <c r="CV52" s="14">
        <f t="shared" si="41"/>
        <v>44.753786201681493</v>
      </c>
      <c r="CW52" s="22">
        <f t="shared" si="13"/>
        <v>387.00022513459527</v>
      </c>
      <c r="CX52" s="62">
        <f t="shared" si="14"/>
        <v>680.33355846792858</v>
      </c>
      <c r="CY52" s="62">
        <f ca="1">AVERAGE(OFFSET($CX$3,0,0,'Données projet'!$E$13+1,1))-AVERAGE(OFFSET($H$3,0,0,'Données projet'!$E$13+1,1))</f>
        <v>260.02504691866199</v>
      </c>
      <c r="CZ52" s="62">
        <f t="shared" si="42"/>
        <v>270.11268336406368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6.8698020140985872</v>
      </c>
      <c r="DG52" s="23">
        <f>EXP(-LN(2)/25)*DG51+(1-EXP(-LN(2)/25))/(LN(2)/25)*Calculateur!DB52*Calculateur!DD52*VLOOKUP('Données projet'!$B$13,Paramètres!$A$1:$I$89,3,0)*0.475*44/12</f>
        <v>9.7054198022998186</v>
      </c>
      <c r="DH52" s="23">
        <f>EXP(-LN(2)/2)*DH51+(1-EXP(-LN(2)/2))/(LN(2)/2)*DB52*DE52*VLOOKUP('Données projet'!$B$13,Paramètres!$A$1:$I$89,3,0)*0.475*44/12</f>
        <v>8.755916752579352E-3</v>
      </c>
      <c r="DI52" s="24">
        <f t="shared" si="15"/>
        <v>16.583977733150984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</v>
      </c>
      <c r="DO52" s="13">
        <f>IF('Données projet'!$A$166&gt;35,DO51+DN52-DW51,IF(A52&lt;'Données projet'!$A$166,$DL$205^A52,IF(A52='Données projet'!$A$166,'Données projet'!$B$166,DO51+DN52-DW51)))</f>
        <v>232.99999999999983</v>
      </c>
      <c r="DP52" s="18">
        <f>DO52*VLOOKUP('Données projet'!$B$14,Paramètres!$A$1:$I$89,3,0)*VLOOKUP('Données projet'!$B$14,Paramètres!$A$1:$I$89,5,0)</f>
        <v>185.37479999999988</v>
      </c>
      <c r="DQ52" s="14">
        <f t="shared" si="43"/>
        <v>46.515924762412688</v>
      </c>
      <c r="DR52" s="22">
        <f t="shared" si="16"/>
        <v>403.87634562786849</v>
      </c>
      <c r="DS52" s="62">
        <f t="shared" si="17"/>
        <v>697.2096789612018</v>
      </c>
      <c r="DT52" s="62">
        <f ca="1">AVERAGE(OFFSET($DS$3,0,0,'Données projet'!$E$14+1,1))-AVERAGE(OFFSET($H$3,0,0,'Données projet'!$E$14+1,1))</f>
        <v>312.53381881960331</v>
      </c>
      <c r="DU52" s="62">
        <f t="shared" si="44"/>
        <v>342.06887933351783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3.8</v>
      </c>
      <c r="EJ52" s="13">
        <f>IF('Données projet'!$A$192&gt;35,EJ51+EI52-ER51,IF(A52&lt;'Données projet'!$A$192,$EG$205^A52,IF(A52='Données projet'!$A$192,'Données projet'!$B$192,EJ51+EI52-ER51)))</f>
        <v>91.199999999999974</v>
      </c>
      <c r="EK52" s="18">
        <f>EJ52*VLOOKUP('Données projet'!$B$15,Paramètres!$A$1:$I$89,3,0)*VLOOKUP('Données projet'!$B$15,Paramètres!$A$1:$I$89,5,0)</f>
        <v>88.208639999999974</v>
      </c>
      <c r="EL52" s="14">
        <f t="shared" si="45"/>
        <v>24.132687878829255</v>
      </c>
      <c r="EM52" s="22">
        <f t="shared" si="19"/>
        <v>195.66114605562757</v>
      </c>
      <c r="EN52" s="62">
        <f t="shared" si="20"/>
        <v>488.99447938896088</v>
      </c>
      <c r="EO52" s="62">
        <f ca="1">AVERAGE(OFFSET($EN$3,0,0,'Données projet'!$E$15+1,1))-AVERAGE(OFFSET($H$3,0,0,'Données projet'!$E$15+1,1))</f>
        <v>255.59755832175625</v>
      </c>
      <c r="EP52" s="62">
        <f t="shared" si="46"/>
        <v>154.0840647586964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>
        <f>VLOOKUP(A52,'Données projet'!$A$217:$I$237,2,0)</f>
        <v>184</v>
      </c>
      <c r="FC52" s="13">
        <f>VLOOKUP(A52,'Données projet'!$A$217:$I$237,9,0)</f>
        <v>9.8888888888888893</v>
      </c>
      <c r="FD52" s="13">
        <f t="array" ref="FD52">INDEX(FC:FC,MIN(IF(ISNUMBER(FC52:FC248),ROW(FC52:FC248),"")))</f>
        <v>9.8888888888888893</v>
      </c>
      <c r="FE52" s="13">
        <f>IF('Données projet'!$A$218&gt;35,FE51+FD52-FM51,IF(A52&lt;'Données projet'!$A$218,$FB$205^A52,IF(A52='Données projet'!$A$218,'Données projet'!$B$218,FE51+FD52-FM51)))</f>
        <v>183.99999999999997</v>
      </c>
      <c r="FF52" s="18">
        <f>FE52*VLOOKUP('Données projet'!$B$16,Paramètres!$A$1:$I$89,3,0)*VLOOKUP('Données projet'!$B$16,Paramètres!$A$1:$I$89,5,0)</f>
        <v>110.03199999999998</v>
      </c>
      <c r="FG52" s="14">
        <f t="shared" si="47"/>
        <v>29.338523894513916</v>
      </c>
      <c r="FH52" s="22">
        <f t="shared" si="22"/>
        <v>242.736995782945</v>
      </c>
      <c r="FI52" s="62">
        <f t="shared" si="23"/>
        <v>536.07032911627834</v>
      </c>
      <c r="FJ52" s="62">
        <f ca="1">AVERAGE(OFFSET($FI$3,0,0,'Données projet'!$E$16+1,1))-AVERAGE(OFFSET($H$3,0,0,'Données projet'!$E$16+1,1))</f>
        <v>197.08445731383847</v>
      </c>
      <c r="FK52" s="62">
        <f t="shared" si="48"/>
        <v>157.12482557016511</v>
      </c>
      <c r="FL52" s="16">
        <f>IF(ISNA(VLOOKUP(A52,'Données projet'!$A$217:$I$237,3,0)),0,VLOOKUP(A52,'Données projet'!$A$217:$I$237,3,0))</f>
        <v>3</v>
      </c>
      <c r="FM52" s="16">
        <f>IF(ISNA(VLOOKUP(A52,'Données projet'!$A$217:$I$237,4,0)),0,VLOOKUP(A52,'Données projet'!$A$217:$I$237,4,0))</f>
        <v>64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685.88700323711032</v>
      </c>
      <c r="S53" s="62">
        <f ca="1">AVERAGE(OFFSET($R$3,0,0,'Données projet'!$E$9+1,1))-AVERAGE(OFFSET($H$3,0,0,'Données projet'!$E$9+1,1))</f>
        <v>428.8489304403459</v>
      </c>
      <c r="T53" s="62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2">
        <f t="shared" si="5"/>
        <v>732.09830739641802</v>
      </c>
      <c r="AN53" s="62">
        <f ca="1">AVERAGE(OFFSET($AM$3,0,0,'Données projet'!$E$10+1,1))-AVERAGE(OFFSET($H$3,0,0,'Données projet'!$E$10+1,1))</f>
        <v>475.47920969424894</v>
      </c>
      <c r="AO53" s="62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10.407692307692306</v>
      </c>
      <c r="BD53" s="13">
        <f>IF('Données projet'!$A$88&gt;35,BD52+BC53-BL52,IF(A53&lt;'Données projet'!$A$88,$BA$205^A53,IF(A53='Données projet'!$A$88,'Données projet'!$B$88,BD52+BC53-BL52)))</f>
        <v>311.43076923076916</v>
      </c>
      <c r="BE53" s="14">
        <f>BD53*VLOOKUP('Données projet'!$B$11,Paramètres!$A$1:$I$89,3,0)*VLOOKUP('Données projet'!$B$11,Paramètres!$A$1:$I$89,5,0)</f>
        <v>145.74959999999999</v>
      </c>
      <c r="BF53" s="14">
        <f t="shared" si="37"/>
        <v>37.611056965444213</v>
      </c>
      <c r="BG53" s="22">
        <f t="shared" si="7"/>
        <v>319.3531442148153</v>
      </c>
      <c r="BH53" s="62">
        <f t="shared" si="8"/>
        <v>612.68647754814856</v>
      </c>
      <c r="BI53" s="62">
        <f ca="1">AVERAGE(OFFSET($BH$3,0,0,'Données projet'!$E$11+1,1))-AVERAGE(OFFSET($H$3,0,0,'Données projet'!$E$11+1,1))</f>
        <v>246.73711856758143</v>
      </c>
      <c r="BJ53" s="62">
        <f t="shared" si="38"/>
        <v>145.54897745089966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16.227472527472521</v>
      </c>
      <c r="BY53" s="13">
        <f>IF('Données projet'!$A$114&gt;35,BY52+BX53-CG52,IF(A53&lt;'Données projet'!$A$114,$BV$205^A53,IF(A53='Données projet'!$A$114,'Données projet'!$B$114,BY52+BX53-CG52)))</f>
        <v>330.34285714285721</v>
      </c>
      <c r="BZ53" s="14">
        <f>BY53*VLOOKUP('Données projet'!$B$12,Paramètres!$A$1:$I$89,3,0)*VLOOKUP('Données projet'!$B$12,Paramètres!$A$1:$I$89,5,0)</f>
        <v>184.66165714285719</v>
      </c>
      <c r="CA53" s="14">
        <f t="shared" si="39"/>
        <v>46.357770619215231</v>
      </c>
      <c r="CB53" s="22">
        <f t="shared" si="10"/>
        <v>402.3588366856095</v>
      </c>
      <c r="CC53" s="62">
        <f t="shared" si="11"/>
        <v>695.69217001894276</v>
      </c>
      <c r="CD53" s="62">
        <f ca="1">AVERAGE(OFFSET($CC$3,0,0,'Données projet'!$E$12+1,1))-AVERAGE(OFFSET($H$3,0,0,'Données projet'!$E$12+1,1))</f>
        <v>321.13335003345236</v>
      </c>
      <c r="CE53" s="62">
        <f t="shared" si="40"/>
        <v>301.26825075712128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11.842074413597794</v>
      </c>
      <c r="CM53" s="23">
        <f>EXP(-LN(2)/2)*CM52+(1-EXP(-LN(2)/2))/(LN(2)/2)*CG53*CJ53*VLOOKUP('Données projet'!$B$12,Paramètres!$A$1:$I$89,3,0)*0.475*44/12</f>
        <v>9.6300602234358646E-3</v>
      </c>
      <c r="CN53" s="24">
        <f t="shared" si="12"/>
        <v>11.851704473821231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11.611538461538466</v>
      </c>
      <c r="CT53" s="13">
        <f>IF('Données projet'!$A$140&gt;35,CT52+CS53-DB52,IF(A53&lt;'Données projet'!$A$140,$CQ$205^A53,IF(A53='Données projet'!$A$140,'Données projet'!$B$140,CT52+CS53-DB52)))</f>
        <v>308.34615384615387</v>
      </c>
      <c r="CU53" s="18">
        <f>CT53*VLOOKUP('Données projet'!$B$13,Paramètres!$A$1:$I$89,3,0)*VLOOKUP('Données projet'!$B$13,Paramètres!$A$1:$I$89,5,0)</f>
        <v>184.39100000000005</v>
      </c>
      <c r="CV53" s="14">
        <f t="shared" si="41"/>
        <v>46.297728214269426</v>
      </c>
      <c r="CW53" s="22">
        <f t="shared" si="13"/>
        <v>401.78286830651933</v>
      </c>
      <c r="CX53" s="62">
        <f t="shared" si="14"/>
        <v>695.11620163985265</v>
      </c>
      <c r="CY53" s="62">
        <f ca="1">AVERAGE(OFFSET($CX$3,0,0,'Données projet'!$E$13+1,1))-AVERAGE(OFFSET($H$3,0,0,'Données projet'!$E$13+1,1))</f>
        <v>260.02504691866199</v>
      </c>
      <c r="CZ53" s="62">
        <f t="shared" si="42"/>
        <v>270.11268336406368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6.7350893867675978</v>
      </c>
      <c r="DG53" s="23">
        <f>EXP(-LN(2)/25)*DG52+(1-EXP(-LN(2)/25))/(LN(2)/25)*Calculateur!DB53*Calculateur!DD53*VLOOKUP('Données projet'!$B$13,Paramètres!$A$1:$I$89,3,0)*0.475*44/12</f>
        <v>9.4400245874200852</v>
      </c>
      <c r="DH53" s="23">
        <f>EXP(-LN(2)/2)*DH52+(1-EXP(-LN(2)/2))/(LN(2)/2)*DB53*DE53*VLOOKUP('Données projet'!$B$13,Paramètres!$A$1:$I$89,3,0)*0.475*44/12</f>
        <v>6.1913681112537537E-3</v>
      </c>
      <c r="DI53" s="24">
        <f t="shared" si="15"/>
        <v>16.181305342298934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240</v>
      </c>
      <c r="DM53" s="13">
        <f>VLOOKUP(A53,'Données projet'!$A$165:$I$185,9,0)</f>
        <v>7</v>
      </c>
      <c r="DN53" s="13">
        <f t="array" ref="DN53">INDEX(DM:DM,MIN(IF(ISNUMBER(DM53:DM249),ROW(DM53:DM249),"")))</f>
        <v>7</v>
      </c>
      <c r="DO53" s="13">
        <f>IF('Données projet'!$A$166&gt;35,DO52+DN53-DW52,IF(A53&lt;'Données projet'!$A$166,$DL$205^A53,IF(A53='Données projet'!$A$166,'Données projet'!$B$166,DO52+DN53-DW52)))</f>
        <v>239.99999999999983</v>
      </c>
      <c r="DP53" s="18">
        <f>DO53*VLOOKUP('Données projet'!$B$14,Paramètres!$A$1:$I$89,3,0)*VLOOKUP('Données projet'!$B$14,Paramètres!$A$1:$I$89,5,0)</f>
        <v>190.94399999999987</v>
      </c>
      <c r="DQ53" s="14">
        <f t="shared" si="43"/>
        <v>47.748597609826554</v>
      </c>
      <c r="DR53" s="22">
        <f t="shared" si="16"/>
        <v>415.72294083711432</v>
      </c>
      <c r="DS53" s="62">
        <f t="shared" si="17"/>
        <v>709.05627417044764</v>
      </c>
      <c r="DT53" s="62">
        <f ca="1">AVERAGE(OFFSET($DS$3,0,0,'Données projet'!$E$14+1,1))-AVERAGE(OFFSET($H$3,0,0,'Données projet'!$E$14+1,1))</f>
        <v>312.53381881960331</v>
      </c>
      <c r="DU53" s="62">
        <f t="shared" si="44"/>
        <v>342.06887933351783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95</v>
      </c>
      <c r="EH53" s="13">
        <f>VLOOKUP(A53,'Données projet'!$A$191:$I$211,9,0)</f>
        <v>3.8</v>
      </c>
      <c r="EI53" s="13">
        <f t="array" ref="EI53">INDEX(EH:EH,MIN(IF(ISNUMBER(EH53:EH249),ROW(EH53:EH249),"")))</f>
        <v>3.8</v>
      </c>
      <c r="EJ53" s="13">
        <f>IF('Données projet'!$A$192&gt;35,EJ52+EI53-ER52,IF(A53&lt;'Données projet'!$A$192,$EG$205^A53,IF(A53='Données projet'!$A$192,'Données projet'!$B$192,EJ52+EI53-ER52)))</f>
        <v>94.999999999999972</v>
      </c>
      <c r="EK53" s="18">
        <f>EJ53*VLOOKUP('Données projet'!$B$15,Paramètres!$A$1:$I$89,3,0)*VLOOKUP('Données projet'!$B$15,Paramètres!$A$1:$I$89,5,0)</f>
        <v>91.883999999999972</v>
      </c>
      <c r="EL53" s="14">
        <f t="shared" si="45"/>
        <v>25.019051117801563</v>
      </c>
      <c r="EM53" s="22">
        <f t="shared" si="19"/>
        <v>203.60614736350433</v>
      </c>
      <c r="EN53" s="62">
        <f t="shared" si="20"/>
        <v>496.93948069683768</v>
      </c>
      <c r="EO53" s="62">
        <f ca="1">AVERAGE(OFFSET($EN$3,0,0,'Données projet'!$E$15+1,1))-AVERAGE(OFFSET($H$3,0,0,'Données projet'!$E$15+1,1))</f>
        <v>255.59755832175625</v>
      </c>
      <c r="EP53" s="62">
        <f t="shared" si="46"/>
        <v>154.0840647586964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8.7272727272727266</v>
      </c>
      <c r="FE53" s="13">
        <f>IF('Données projet'!$A$218&gt;35,FE52+FD53-FM52,IF(A53&lt;'Données projet'!$A$218,$FB$205^A53,IF(A53='Données projet'!$A$218,'Données projet'!$B$218,FE52+FD53-FM52)))</f>
        <v>128.72727272727269</v>
      </c>
      <c r="FF53" s="18">
        <f>FE53*VLOOKUP('Données projet'!$B$16,Paramètres!$A$1:$I$89,3,0)*VLOOKUP('Données projet'!$B$16,Paramètres!$A$1:$I$89,5,0)</f>
        <v>76.97890909090907</v>
      </c>
      <c r="FG53" s="14">
        <f t="shared" si="47"/>
        <v>21.396864927225952</v>
      </c>
      <c r="FH53" s="22">
        <f t="shared" si="22"/>
        <v>171.33780641491845</v>
      </c>
      <c r="FI53" s="62">
        <f t="shared" si="23"/>
        <v>464.67113974825179</v>
      </c>
      <c r="FJ53" s="62">
        <f ca="1">AVERAGE(OFFSET($FI$3,0,0,'Données projet'!$E$16+1,1))-AVERAGE(OFFSET($H$3,0,0,'Données projet'!$E$16+1,1))</f>
        <v>197.08445731383847</v>
      </c>
      <c r="FK53" s="62">
        <f t="shared" si="48"/>
        <v>157.12482557016511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428.8489304403459</v>
      </c>
      <c r="T54" s="62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475.47920969424894</v>
      </c>
      <c r="AO54" s="62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321.8384615384615</v>
      </c>
      <c r="BB54" s="13">
        <f>VLOOKUP(A54,'Données projet'!$A$87:$I$107,9,0)</f>
        <v>10.407692307692306</v>
      </c>
      <c r="BC54" s="13">
        <f t="array" ref="BC54">INDEX(BB:BB,MIN(IF(ISNUMBER(BB54:BB250),ROW(BB54:BB250),"")))</f>
        <v>10.407692307692306</v>
      </c>
      <c r="BD54" s="13">
        <f>IF('Données projet'!$A$88&gt;35,BD53+BC54-BL53,IF(A54&lt;'Données projet'!$A$88,$BA$205^A54,IF(A54='Données projet'!$A$88,'Données projet'!$B$88,BD53+BC54-BL53)))</f>
        <v>321.83846153846144</v>
      </c>
      <c r="BE54" s="14">
        <f>BD54*VLOOKUP('Données projet'!$B$11,Paramètres!$A$1:$I$89,3,0)*VLOOKUP('Données projet'!$B$11,Paramètres!$A$1:$I$89,5,0)</f>
        <v>150.62039999999996</v>
      </c>
      <c r="BF54" s="14">
        <f t="shared" si="37"/>
        <v>38.719539861211025</v>
      </c>
      <c r="BG54" s="22">
        <f t="shared" si="7"/>
        <v>329.76706192494242</v>
      </c>
      <c r="BH54" s="62">
        <f t="shared" si="8"/>
        <v>623.10039525827574</v>
      </c>
      <c r="BI54" s="62">
        <f ca="1">AVERAGE(OFFSET($BH$3,0,0,'Données projet'!$E$11+1,1))-AVERAGE(OFFSET($H$3,0,0,'Données projet'!$E$11+1,1))</f>
        <v>246.73711856758143</v>
      </c>
      <c r="BJ54" s="62">
        <f t="shared" si="38"/>
        <v>145.54897745089966</v>
      </c>
      <c r="BK54" s="16">
        <f>IF(ISNA(VLOOKUP(A54,'Données projet'!$A$87:$I$107,3,0)),0,VLOOKUP(A54,'Données projet'!$A$87:$I$107,3,0))</f>
        <v>1</v>
      </c>
      <c r="BL54" s="16">
        <f>IF(ISNA(VLOOKUP(A54,'Données projet'!$A$87:$I$107,4,0)),0,VLOOKUP(A54,'Données projet'!$A$87:$I$107,4,0))</f>
        <v>100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16.227472527472521</v>
      </c>
      <c r="BY54" s="13">
        <f>IF('Données projet'!$A$114&gt;35,BY53+BX54-CG53,IF(A54&lt;'Données projet'!$A$114,$BV$205^A54,IF(A54='Données projet'!$A$114,'Données projet'!$B$114,BY53+BX54-CG53)))</f>
        <v>346.57032967032973</v>
      </c>
      <c r="BZ54" s="14">
        <f>BY54*VLOOKUP('Données projet'!$B$12,Paramètres!$A$1:$I$89,3,0)*VLOOKUP('Données projet'!$B$12,Paramètres!$A$1:$I$89,5,0)</f>
        <v>193.73281428571431</v>
      </c>
      <c r="CA54" s="14">
        <f t="shared" si="39"/>
        <v>48.364288285880889</v>
      </c>
      <c r="CB54" s="22">
        <f t="shared" si="10"/>
        <v>421.65245364552828</v>
      </c>
      <c r="CC54" s="62">
        <f t="shared" si="11"/>
        <v>714.9857869788616</v>
      </c>
      <c r="CD54" s="62">
        <f ca="1">AVERAGE(OFFSET($CC$3,0,0,'Données projet'!$E$12+1,1))-AVERAGE(OFFSET($H$3,0,0,'Données projet'!$E$12+1,1))</f>
        <v>321.13335003345236</v>
      </c>
      <c r="CE54" s="62">
        <f t="shared" si="40"/>
        <v>301.26825075712128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11.518252266010334</v>
      </c>
      <c r="CM54" s="23">
        <f>EXP(-LN(2)/2)*CM53+(1-EXP(-LN(2)/2))/(LN(2)/2)*CG54*CJ54*VLOOKUP('Données projet'!$B$12,Paramètres!$A$1:$I$89,3,0)*0.475*44/12</f>
        <v>6.809480887226339E-3</v>
      </c>
      <c r="CN54" s="24">
        <f t="shared" si="12"/>
        <v>11.52506174689756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11.611538461538466</v>
      </c>
      <c r="CT54" s="13">
        <f>IF('Données projet'!$A$140&gt;35,CT53+CS54-DB53,IF(A54&lt;'Données projet'!$A$140,$CQ$205^A54,IF(A54='Données projet'!$A$140,'Données projet'!$B$140,CT53+CS54-DB53)))</f>
        <v>319.95769230769235</v>
      </c>
      <c r="CU54" s="18">
        <f>CT54*VLOOKUP('Données projet'!$B$13,Paramètres!$A$1:$I$89,3,0)*VLOOKUP('Données projet'!$B$13,Paramètres!$A$1:$I$89,5,0)</f>
        <v>191.33470000000005</v>
      </c>
      <c r="CV54" s="14">
        <f t="shared" si="41"/>
        <v>47.834915743348681</v>
      </c>
      <c r="CW54" s="22">
        <f t="shared" si="13"/>
        <v>416.55374741966574</v>
      </c>
      <c r="CX54" s="62">
        <f t="shared" si="14"/>
        <v>709.88708075299905</v>
      </c>
      <c r="CY54" s="62">
        <f ca="1">AVERAGE(OFFSET($CX$3,0,0,'Données projet'!$E$13+1,1))-AVERAGE(OFFSET($H$3,0,0,'Données projet'!$E$13+1,1))</f>
        <v>260.02504691866199</v>
      </c>
      <c r="CZ54" s="62">
        <f t="shared" si="42"/>
        <v>270.11268336406368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6.6030183918919798</v>
      </c>
      <c r="DG54" s="23">
        <f>EXP(-LN(2)/25)*DG53+(1-EXP(-LN(2)/25))/(LN(2)/25)*Calculateur!DB54*Calculateur!DD54*VLOOKUP('Données projet'!$B$13,Paramètres!$A$1:$I$89,3,0)*0.475*44/12</f>
        <v>9.1818866186477646</v>
      </c>
      <c r="DH54" s="23">
        <f>EXP(-LN(2)/2)*DH53+(1-EXP(-LN(2)/2))/(LN(2)/2)*DB54*DE54*VLOOKUP('Données projet'!$B$13,Paramètres!$A$1:$I$89,3,0)*0.475*44/12</f>
        <v>4.377958376289676E-3</v>
      </c>
      <c r="DI54" s="24">
        <f t="shared" si="15"/>
        <v>15.789282968916035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6.4</v>
      </c>
      <c r="DO54" s="13">
        <f>IF('Données projet'!$A$166&gt;35,DO53+DN54-DW53,IF(A54&lt;'Données projet'!$A$166,$DL$205^A54,IF(A54='Données projet'!$A$166,'Données projet'!$B$166,DO53+DN54-DW53)))</f>
        <v>207.39999999999984</v>
      </c>
      <c r="DP54" s="18">
        <f>DO54*VLOOKUP('Données projet'!$B$14,Paramètres!$A$1:$I$89,3,0)*VLOOKUP('Données projet'!$B$14,Paramètres!$A$1:$I$89,5,0)</f>
        <v>165.00743999999986</v>
      </c>
      <c r="DQ54" s="14">
        <f t="shared" si="43"/>
        <v>41.969923817052226</v>
      </c>
      <c r="DR54" s="22">
        <f t="shared" si="16"/>
        <v>360.48557531469902</v>
      </c>
      <c r="DS54" s="62">
        <f t="shared" si="17"/>
        <v>653.81890864803233</v>
      </c>
      <c r="DT54" s="62">
        <f ca="1">AVERAGE(OFFSET($DS$3,0,0,'Données projet'!$E$14+1,1))-AVERAGE(OFFSET($H$3,0,0,'Données projet'!$E$14+1,1))</f>
        <v>312.53381881960331</v>
      </c>
      <c r="DU54" s="62">
        <f t="shared" si="44"/>
        <v>342.06887933351783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</v>
      </c>
      <c r="EJ54" s="13">
        <f>IF('Données projet'!$A$192&gt;35,EJ53+EI54-ER53,IF(A54&lt;'Données projet'!$A$192,$EG$205^A54,IF(A54='Données projet'!$A$192,'Données projet'!$B$192,EJ53+EI54-ER53)))</f>
        <v>98.999999999999972</v>
      </c>
      <c r="EK54" s="18">
        <f>EJ54*VLOOKUP('Données projet'!$B$15,Paramètres!$A$1:$I$89,3,0)*VLOOKUP('Données projet'!$B$15,Paramètres!$A$1:$I$89,5,0)</f>
        <v>95.752799999999979</v>
      </c>
      <c r="EL54" s="14">
        <f t="shared" si="45"/>
        <v>25.94761914276048</v>
      </c>
      <c r="EM54" s="22">
        <f t="shared" si="19"/>
        <v>211.96156334030783</v>
      </c>
      <c r="EN54" s="62">
        <f t="shared" si="20"/>
        <v>505.29489667364112</v>
      </c>
      <c r="EO54" s="62">
        <f ca="1">AVERAGE(OFFSET($EN$3,0,0,'Données projet'!$E$15+1,1))-AVERAGE(OFFSET($H$3,0,0,'Données projet'!$E$15+1,1))</f>
        <v>255.59755832175625</v>
      </c>
      <c r="EP54" s="62">
        <f t="shared" si="46"/>
        <v>154.0840647586964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8.7272727272727266</v>
      </c>
      <c r="FE54" s="13">
        <f>IF('Données projet'!$A$218&gt;35,FE53+FD54-FM53,IF(A54&lt;'Données projet'!$A$218,$FB$205^A54,IF(A54='Données projet'!$A$218,'Données projet'!$B$218,FE53+FD54-FM53)))</f>
        <v>137.45454545454541</v>
      </c>
      <c r="FF54" s="18">
        <f>FE54*VLOOKUP('Données projet'!$B$16,Paramètres!$A$1:$I$89,3,0)*VLOOKUP('Données projet'!$B$16,Paramètres!$A$1:$I$89,5,0)</f>
        <v>82.197818181818164</v>
      </c>
      <c r="FG54" s="14">
        <f t="shared" si="47"/>
        <v>22.673711538153317</v>
      </c>
      <c r="FH54" s="22">
        <f t="shared" si="22"/>
        <v>182.65124759561698</v>
      </c>
      <c r="FI54" s="62">
        <f t="shared" si="23"/>
        <v>475.98458092895032</v>
      </c>
      <c r="FJ54" s="62">
        <f ca="1">AVERAGE(OFFSET($FI$3,0,0,'Données projet'!$E$16+1,1))-AVERAGE(OFFSET($H$3,0,0,'Données projet'!$E$16+1,1))</f>
        <v>197.08445731383847</v>
      </c>
      <c r="FK54" s="62">
        <f t="shared" si="48"/>
        <v>157.12482557016511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428.8489304403459</v>
      </c>
      <c r="T55" s="62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475.47920969424894</v>
      </c>
      <c r="AO55" s="62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10.737820512820514</v>
      </c>
      <c r="BD55" s="13">
        <f>IF('Données projet'!$A$88&gt;35,BD54+BC55-BL54,IF(A55&lt;'Données projet'!$A$88,$BA$205^A55,IF(A55='Données projet'!$A$88,'Données projet'!$B$88,BD54+BC55-BL54)))</f>
        <v>232.57628205128196</v>
      </c>
      <c r="BE55" s="14">
        <f>BD55*VLOOKUP('Données projet'!$B$11,Paramètres!$A$1:$I$89,3,0)*VLOOKUP('Données projet'!$B$11,Paramètres!$A$1:$I$89,5,0)</f>
        <v>108.84569999999995</v>
      </c>
      <c r="BF55" s="14">
        <f t="shared" si="37"/>
        <v>29.058855741814973</v>
      </c>
      <c r="BG55" s="22">
        <f t="shared" si="7"/>
        <v>240.1837679169943</v>
      </c>
      <c r="BH55" s="62">
        <f t="shared" si="8"/>
        <v>533.51710125032764</v>
      </c>
      <c r="BI55" s="62">
        <f ca="1">AVERAGE(OFFSET($BH$3,0,0,'Données projet'!$E$11+1,1))-AVERAGE(OFFSET($H$3,0,0,'Données projet'!$E$11+1,1))</f>
        <v>246.73711856758143</v>
      </c>
      <c r="BJ55" s="62">
        <f t="shared" si="38"/>
        <v>145.54897745089966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16.227472527472521</v>
      </c>
      <c r="BY55" s="13">
        <f>IF('Données projet'!$A$114&gt;35,BY54+BX55-CG54,IF(A55&lt;'Données projet'!$A$114,$BV$205^A55,IF(A55='Données projet'!$A$114,'Données projet'!$B$114,BY54+BX55-CG54)))</f>
        <v>362.79780219780224</v>
      </c>
      <c r="BZ55" s="14">
        <f>BY55*VLOOKUP('Données projet'!$B$12,Paramètres!$A$1:$I$89,3,0)*VLOOKUP('Données projet'!$B$12,Paramètres!$A$1:$I$89,5,0)</f>
        <v>202.80397142857146</v>
      </c>
      <c r="CA55" s="14">
        <f t="shared" si="39"/>
        <v>50.359895566849652</v>
      </c>
      <c r="CB55" s="22">
        <f t="shared" si="10"/>
        <v>440.92706835035841</v>
      </c>
      <c r="CC55" s="62">
        <f t="shared" si="11"/>
        <v>734.26040168369173</v>
      </c>
      <c r="CD55" s="62">
        <f ca="1">AVERAGE(OFFSET($CC$3,0,0,'Données projet'!$E$12+1,1))-AVERAGE(OFFSET($H$3,0,0,'Données projet'!$E$12+1,1))</f>
        <v>321.13335003345236</v>
      </c>
      <c r="CE55" s="62">
        <f t="shared" si="40"/>
        <v>301.26825075712128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11.203285052077721</v>
      </c>
      <c r="CM55" s="23">
        <f>EXP(-LN(2)/2)*CM54+(1-EXP(-LN(2)/2))/(LN(2)/2)*CG55*CJ55*VLOOKUP('Données projet'!$B$12,Paramètres!$A$1:$I$89,3,0)*0.475*44/12</f>
        <v>4.8150301117179323E-3</v>
      </c>
      <c r="CN55" s="24">
        <f t="shared" si="12"/>
        <v>11.208100082189439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331.56923076923078</v>
      </c>
      <c r="CR55" s="13">
        <f>VLOOKUP(A55,'Données projet'!$A$139:$I$159,9,0)</f>
        <v>11.611538461538466</v>
      </c>
      <c r="CS55" s="13">
        <f t="array" ref="CS55">INDEX(CR:CR,MIN(IF(ISNUMBER(CR55:CR251),ROW(CR55:CR251),"")))</f>
        <v>11.611538461538466</v>
      </c>
      <c r="CT55" s="13">
        <f>IF('Données projet'!$A$140&gt;35,CT54+CS55-DB54,IF(A55&lt;'Données projet'!$A$140,$CQ$205^A55,IF(A55='Données projet'!$A$140,'Données projet'!$B$140,CT54+CS55-DB54)))</f>
        <v>331.56923076923084</v>
      </c>
      <c r="CU55" s="18">
        <f>CT55*VLOOKUP('Données projet'!$B$13,Paramètres!$A$1:$I$89,3,0)*VLOOKUP('Données projet'!$B$13,Paramètres!$A$1:$I$89,5,0)</f>
        <v>198.27840000000003</v>
      </c>
      <c r="CV55" s="14">
        <f t="shared" si="41"/>
        <v>49.36562199236586</v>
      </c>
      <c r="CW55" s="22">
        <f t="shared" si="13"/>
        <v>431.31333830337053</v>
      </c>
      <c r="CX55" s="62">
        <f t="shared" si="14"/>
        <v>724.64667163670379</v>
      </c>
      <c r="CY55" s="62">
        <f ca="1">AVERAGE(OFFSET($CX$3,0,0,'Données projet'!$E$13+1,1))-AVERAGE(OFFSET($H$3,0,0,'Données projet'!$E$13+1,1))</f>
        <v>260.02504691866199</v>
      </c>
      <c r="CZ55" s="62">
        <f t="shared" si="42"/>
        <v>270.11268336406368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61.784615384615378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6.4735372286705202</v>
      </c>
      <c r="DG55" s="23">
        <f>EXP(-LN(2)/25)*DG54+(1-EXP(-LN(2)/25))/(LN(2)/25)*Calculateur!DB55*Calculateur!DD55*VLOOKUP('Données projet'!$B$13,Paramètres!$A$1:$I$89,3,0)*0.475*44/12</f>
        <v>8.9308074462064102</v>
      </c>
      <c r="DH55" s="23">
        <f>EXP(-LN(2)/2)*DH54+(1-EXP(-LN(2)/2))/(LN(2)/2)*DB55*DE55*VLOOKUP('Données projet'!$B$13,Paramètres!$A$1:$I$89,3,0)*0.475*44/12</f>
        <v>3.0956840556268768E-3</v>
      </c>
      <c r="DI55" s="24">
        <f t="shared" si="15"/>
        <v>15.407440358932558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6.4</v>
      </c>
      <c r="DO55" s="13">
        <f>IF('Données projet'!$A$166&gt;35,DO54+DN55-DW54,IF(A55&lt;'Données projet'!$A$166,$DL$205^A55,IF(A55='Données projet'!$A$166,'Données projet'!$B$166,DO54+DN55-DW54)))</f>
        <v>213.79999999999984</v>
      </c>
      <c r="DP55" s="18">
        <f>DO55*VLOOKUP('Données projet'!$B$14,Paramètres!$A$1:$I$89,3,0)*VLOOKUP('Données projet'!$B$14,Paramètres!$A$1:$I$89,5,0)</f>
        <v>170.09927999999988</v>
      </c>
      <c r="DQ55" s="14">
        <f t="shared" si="43"/>
        <v>43.112258247107711</v>
      </c>
      <c r="DR55" s="22">
        <f t="shared" si="16"/>
        <v>371.34342911371238</v>
      </c>
      <c r="DS55" s="62">
        <f t="shared" si="17"/>
        <v>664.67676244704569</v>
      </c>
      <c r="DT55" s="62">
        <f ca="1">AVERAGE(OFFSET($DS$3,0,0,'Données projet'!$E$14+1,1))-AVERAGE(OFFSET($H$3,0,0,'Données projet'!$E$14+1,1))</f>
        <v>312.53381881960331</v>
      </c>
      <c r="DU55" s="62">
        <f t="shared" si="44"/>
        <v>342.06887933351783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</v>
      </c>
      <c r="EJ55" s="13">
        <f>IF('Données projet'!$A$192&gt;35,EJ54+EI55-ER54,IF(A55&lt;'Données projet'!$A$192,$EG$205^A55,IF(A55='Données projet'!$A$192,'Données projet'!$B$192,EJ54+EI55-ER54)))</f>
        <v>102.99999999999997</v>
      </c>
      <c r="EK55" s="18">
        <f>EJ55*VLOOKUP('Données projet'!$B$15,Paramètres!$A$1:$I$89,3,0)*VLOOKUP('Données projet'!$B$15,Paramètres!$A$1:$I$89,5,0)</f>
        <v>99.621599999999987</v>
      </c>
      <c r="EL55" s="14">
        <f t="shared" si="45"/>
        <v>26.871829085032747</v>
      </c>
      <c r="EM55" s="22">
        <f t="shared" si="19"/>
        <v>220.30938898976532</v>
      </c>
      <c r="EN55" s="62">
        <f t="shared" si="20"/>
        <v>513.64272232309861</v>
      </c>
      <c r="EO55" s="62">
        <f ca="1">AVERAGE(OFFSET($EN$3,0,0,'Données projet'!$E$15+1,1))-AVERAGE(OFFSET($H$3,0,0,'Données projet'!$E$15+1,1))</f>
        <v>255.59755832175625</v>
      </c>
      <c r="EP55" s="62">
        <f t="shared" si="46"/>
        <v>154.0840647586964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8.7272727272727266</v>
      </c>
      <c r="FE55" s="13">
        <f>IF('Données projet'!$A$218&gt;35,FE54+FD55-FM54,IF(A55&lt;'Données projet'!$A$218,$FB$205^A55,IF(A55='Données projet'!$A$218,'Données projet'!$B$218,FE54+FD55-FM54)))</f>
        <v>146.18181818181813</v>
      </c>
      <c r="FF55" s="18">
        <f>FE55*VLOOKUP('Données projet'!$B$16,Paramètres!$A$1:$I$89,3,0)*VLOOKUP('Données projet'!$B$16,Paramètres!$A$1:$I$89,5,0)</f>
        <v>87.416727272727243</v>
      </c>
      <c r="FG55" s="14">
        <f t="shared" si="47"/>
        <v>23.941149758006731</v>
      </c>
      <c r="FH55" s="22">
        <f t="shared" si="22"/>
        <v>193.94830249519498</v>
      </c>
      <c r="FI55" s="62">
        <f t="shared" si="23"/>
        <v>487.28163582852829</v>
      </c>
      <c r="FJ55" s="62">
        <f ca="1">AVERAGE(OFFSET($FI$3,0,0,'Données projet'!$E$16+1,1))-AVERAGE(OFFSET($H$3,0,0,'Données projet'!$E$16+1,1))</f>
        <v>197.08445731383847</v>
      </c>
      <c r="FK55" s="62">
        <f t="shared" si="48"/>
        <v>157.12482557016511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428.8489304403459</v>
      </c>
      <c r="T56" s="62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475.47920969424894</v>
      </c>
      <c r="AO56" s="62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10.737820512820514</v>
      </c>
      <c r="BD56" s="13">
        <f>IF('Données projet'!$A$88&gt;35,BD55+BC56-BL55,IF(A56&lt;'Données projet'!$A$88,$BA$205^A56,IF(A56='Données projet'!$A$88,'Données projet'!$B$88,BD55+BC56-BL55)))</f>
        <v>243.31410256410248</v>
      </c>
      <c r="BE56" s="14">
        <f>BD56*VLOOKUP('Données projet'!$B$11,Paramètres!$A$1:$I$89,3,0)*VLOOKUP('Données projet'!$B$11,Paramètres!$A$1:$I$89,5,0)</f>
        <v>113.87099999999997</v>
      </c>
      <c r="BF56" s="14">
        <f t="shared" si="37"/>
        <v>30.241178427164034</v>
      </c>
      <c r="BG56" s="22">
        <f t="shared" si="7"/>
        <v>250.99537742731059</v>
      </c>
      <c r="BH56" s="62">
        <f t="shared" si="8"/>
        <v>544.32871076064384</v>
      </c>
      <c r="BI56" s="62">
        <f ca="1">AVERAGE(OFFSET($BH$3,0,0,'Données projet'!$E$11+1,1))-AVERAGE(OFFSET($H$3,0,0,'Données projet'!$E$11+1,1))</f>
        <v>246.73711856758143</v>
      </c>
      <c r="BJ56" s="62">
        <f t="shared" si="38"/>
        <v>145.54897745089966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16.227472527472521</v>
      </c>
      <c r="BY56" s="13">
        <f>IF('Données projet'!$A$114&gt;35,BY55+BX56-CG55,IF(A56&lt;'Données projet'!$A$114,$BV$205^A56,IF(A56='Données projet'!$A$114,'Données projet'!$B$114,BY55+BX56-CG55)))</f>
        <v>379.02527472527476</v>
      </c>
      <c r="BZ56" s="14">
        <f>BY56*VLOOKUP('Données projet'!$B$12,Paramètres!$A$1:$I$89,3,0)*VLOOKUP('Données projet'!$B$12,Paramètres!$A$1:$I$89,5,0)</f>
        <v>211.87512857142858</v>
      </c>
      <c r="CA56" s="14">
        <f t="shared" si="39"/>
        <v>52.345136228066735</v>
      </c>
      <c r="CB56" s="22">
        <f t="shared" si="10"/>
        <v>460.18362785912103</v>
      </c>
      <c r="CC56" s="62">
        <f t="shared" si="11"/>
        <v>753.51696119245435</v>
      </c>
      <c r="CD56" s="62">
        <f ca="1">AVERAGE(OFFSET($CC$3,0,0,'Données projet'!$E$12+1,1))-AVERAGE(OFFSET($H$3,0,0,'Données projet'!$E$12+1,1))</f>
        <v>321.13335003345236</v>
      </c>
      <c r="CE56" s="62">
        <f t="shared" si="40"/>
        <v>301.26825075712128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10.896930633173501</v>
      </c>
      <c r="CM56" s="23">
        <f>EXP(-LN(2)/2)*CM55+(1-EXP(-LN(2)/2))/(LN(2)/2)*CG56*CJ56*VLOOKUP('Données projet'!$B$12,Paramètres!$A$1:$I$89,3,0)*0.475*44/12</f>
        <v>3.4047404436131695E-3</v>
      </c>
      <c r="CN56" s="24">
        <f t="shared" si="12"/>
        <v>10.900335373617114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10.464423076923076</v>
      </c>
      <c r="CT56" s="13">
        <f>IF('Données projet'!$A$140&gt;35,CT55+CS56-DB55,IF(A56&lt;'Données projet'!$A$140,$CQ$205^A56,IF(A56='Données projet'!$A$140,'Données projet'!$B$140,CT55+CS56-DB55)))</f>
        <v>280.24903846153853</v>
      </c>
      <c r="CU56" s="18">
        <f>CT56*VLOOKUP('Données projet'!$B$13,Paramètres!$A$1:$I$89,3,0)*VLOOKUP('Données projet'!$B$13,Paramètres!$A$1:$I$89,5,0)</f>
        <v>167.58892500000007</v>
      </c>
      <c r="CV56" s="14">
        <f t="shared" si="41"/>
        <v>42.549574883574216</v>
      </c>
      <c r="CW56" s="22">
        <f t="shared" si="13"/>
        <v>365.99122063055853</v>
      </c>
      <c r="CX56" s="62">
        <f t="shared" si="14"/>
        <v>659.32455396389184</v>
      </c>
      <c r="CY56" s="62">
        <f ca="1">AVERAGE(OFFSET($CX$3,0,0,'Données projet'!$E$13+1,1))-AVERAGE(OFFSET($H$3,0,0,'Données projet'!$E$13+1,1))</f>
        <v>260.02504691866199</v>
      </c>
      <c r="CZ56" s="62">
        <f t="shared" si="42"/>
        <v>270.11268336406368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6.3465951120841222</v>
      </c>
      <c r="DG56" s="23">
        <f>EXP(-LN(2)/25)*DG55+(1-EXP(-LN(2)/25))/(LN(2)/25)*Calculateur!DB56*Calculateur!DD56*VLOOKUP('Données projet'!$B$13,Paramètres!$A$1:$I$89,3,0)*0.475*44/12</f>
        <v>8.6865940469391436</v>
      </c>
      <c r="DH56" s="23">
        <f>EXP(-LN(2)/2)*DH55+(1-EXP(-LN(2)/2))/(LN(2)/2)*DB56*DE56*VLOOKUP('Données projet'!$B$13,Paramètres!$A$1:$I$89,3,0)*0.475*44/12</f>
        <v>2.188979188144838E-3</v>
      </c>
      <c r="DI56" s="24">
        <f t="shared" si="15"/>
        <v>15.03537813821141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6.4</v>
      </c>
      <c r="DO56" s="13">
        <f>IF('Données projet'!$A$166&gt;35,DO55+DN56-DW55,IF(A56&lt;'Données projet'!$A$166,$DL$205^A56,IF(A56='Données projet'!$A$166,'Données projet'!$B$166,DO55+DN56-DW55)))</f>
        <v>220.19999999999985</v>
      </c>
      <c r="DP56" s="18">
        <f>DO56*VLOOKUP('Données projet'!$B$14,Paramètres!$A$1:$I$89,3,0)*VLOOKUP('Données projet'!$B$14,Paramètres!$A$1:$I$89,5,0)</f>
        <v>175.19111999999987</v>
      </c>
      <c r="DQ56" s="14">
        <f t="shared" si="43"/>
        <v>44.250618651635925</v>
      </c>
      <c r="DR56" s="22">
        <f t="shared" si="16"/>
        <v>382.19436148493236</v>
      </c>
      <c r="DS56" s="62">
        <f t="shared" si="17"/>
        <v>675.52769481826567</v>
      </c>
      <c r="DT56" s="62">
        <f ca="1">AVERAGE(OFFSET($DS$3,0,0,'Données projet'!$E$14+1,1))-AVERAGE(OFFSET($H$3,0,0,'Données projet'!$E$14+1,1))</f>
        <v>312.53381881960331</v>
      </c>
      <c r="DU56" s="62">
        <f t="shared" si="44"/>
        <v>342.06887933351783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</v>
      </c>
      <c r="EJ56" s="13">
        <f>IF('Données projet'!$A$192&gt;35,EJ55+EI56-ER55,IF(A56&lt;'Données projet'!$A$192,$EG$205^A56,IF(A56='Données projet'!$A$192,'Données projet'!$B$192,EJ55+EI56-ER55)))</f>
        <v>106.99999999999997</v>
      </c>
      <c r="EK56" s="18">
        <f>EJ56*VLOOKUP('Données projet'!$B$15,Paramètres!$A$1:$I$89,3,0)*VLOOKUP('Données projet'!$B$15,Paramètres!$A$1:$I$89,5,0)</f>
        <v>103.49039999999997</v>
      </c>
      <c r="EL56" s="14">
        <f t="shared" si="45"/>
        <v>27.791869560921153</v>
      </c>
      <c r="EM56" s="22">
        <f t="shared" si="19"/>
        <v>228.64995281860425</v>
      </c>
      <c r="EN56" s="62">
        <f t="shared" si="20"/>
        <v>521.98328615193759</v>
      </c>
      <c r="EO56" s="62">
        <f ca="1">AVERAGE(OFFSET($EN$3,0,0,'Données projet'!$E$15+1,1))-AVERAGE(OFFSET($H$3,0,0,'Données projet'!$E$15+1,1))</f>
        <v>255.59755832175625</v>
      </c>
      <c r="EP56" s="62">
        <f t="shared" si="46"/>
        <v>154.0840647586964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8.7272727272727266</v>
      </c>
      <c r="FE56" s="13">
        <f>IF('Données projet'!$A$218&gt;35,FE55+FD56-FM55,IF(A56&lt;'Données projet'!$A$218,$FB$205^A56,IF(A56='Données projet'!$A$218,'Données projet'!$B$218,FE55+FD56-FM55)))</f>
        <v>154.90909090909085</v>
      </c>
      <c r="FF56" s="18">
        <f>FE56*VLOOKUP('Données projet'!$B$16,Paramètres!$A$1:$I$89,3,0)*VLOOKUP('Données projet'!$B$16,Paramètres!$A$1:$I$89,5,0)</f>
        <v>92.635636363636337</v>
      </c>
      <c r="FG56" s="14">
        <f t="shared" si="47"/>
        <v>25.199805254378727</v>
      </c>
      <c r="FH56" s="22">
        <f t="shared" si="22"/>
        <v>205.23006081804292</v>
      </c>
      <c r="FI56" s="62">
        <f t="shared" si="23"/>
        <v>498.5633941513762</v>
      </c>
      <c r="FJ56" s="62">
        <f ca="1">AVERAGE(OFFSET($FI$3,0,0,'Données projet'!$E$16+1,1))-AVERAGE(OFFSET($H$3,0,0,'Données projet'!$E$16+1,1))</f>
        <v>197.08445731383847</v>
      </c>
      <c r="FK56" s="62">
        <f t="shared" si="48"/>
        <v>157.12482557016511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428.8489304403459</v>
      </c>
      <c r="T57" s="62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475.47920969424894</v>
      </c>
      <c r="AO57" s="62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10.737820512820514</v>
      </c>
      <c r="BD57" s="13">
        <f>IF('Données projet'!$A$88&gt;35,BD56+BC57-BL56,IF(A57&lt;'Données projet'!$A$88,$BA$205^A57,IF(A57='Données projet'!$A$88,'Données projet'!$B$88,BD56+BC57-BL56)))</f>
        <v>254.051923076923</v>
      </c>
      <c r="BE57" s="14">
        <f>BD57*VLOOKUP('Données projet'!$B$11,Paramètres!$A$1:$I$89,3,0)*VLOOKUP('Données projet'!$B$11,Paramètres!$A$1:$I$89,5,0)</f>
        <v>118.89629999999995</v>
      </c>
      <c r="BF57" s="14">
        <f t="shared" si="37"/>
        <v>31.41744112453749</v>
      </c>
      <c r="BG57" s="22">
        <f t="shared" si="7"/>
        <v>261.79643245856937</v>
      </c>
      <c r="BH57" s="62">
        <f t="shared" si="8"/>
        <v>555.12976579190263</v>
      </c>
      <c r="BI57" s="62">
        <f ca="1">AVERAGE(OFFSET($BH$3,0,0,'Données projet'!$E$11+1,1))-AVERAGE(OFFSET($H$3,0,0,'Données projet'!$E$11+1,1))</f>
        <v>246.73711856758143</v>
      </c>
      <c r="BJ57" s="62">
        <f t="shared" si="38"/>
        <v>145.54897745089966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16.227472527472521</v>
      </c>
      <c r="BY57" s="13">
        <f>IF('Données projet'!$A$114&gt;35,BY56+BX57-CG56,IF(A57&lt;'Données projet'!$A$114,$BV$205^A57,IF(A57='Données projet'!$A$114,'Données projet'!$B$114,BY56+BX57-CG56)))</f>
        <v>395.25274725274727</v>
      </c>
      <c r="BZ57" s="14">
        <f>BY57*VLOOKUP('Données projet'!$B$12,Paramètres!$A$1:$I$89,3,0)*VLOOKUP('Données projet'!$B$12,Paramètres!$A$1:$I$89,5,0)</f>
        <v>220.94628571428572</v>
      </c>
      <c r="CA57" s="14">
        <f t="shared" si="39"/>
        <v>54.320504840756463</v>
      </c>
      <c r="CB57" s="22">
        <f t="shared" si="10"/>
        <v>479.42299355003178</v>
      </c>
      <c r="CC57" s="62">
        <f t="shared" si="11"/>
        <v>772.75632688336509</v>
      </c>
      <c r="CD57" s="62">
        <f ca="1">AVERAGE(OFFSET($CC$3,0,0,'Données projet'!$E$12+1,1))-AVERAGE(OFFSET($H$3,0,0,'Données projet'!$E$12+1,1))</f>
        <v>321.13335003345236</v>
      </c>
      <c r="CE57" s="62">
        <f t="shared" si="40"/>
        <v>301.26825075712128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10.598953491964695</v>
      </c>
      <c r="CM57" s="23">
        <f>EXP(-LN(2)/2)*CM56+(1-EXP(-LN(2)/2))/(LN(2)/2)*CG57*CJ57*VLOOKUP('Données projet'!$B$12,Paramètres!$A$1:$I$89,3,0)*0.475*44/12</f>
        <v>2.4075150558589662E-3</v>
      </c>
      <c r="CN57" s="24">
        <f t="shared" si="12"/>
        <v>10.601361007020554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10.464423076923076</v>
      </c>
      <c r="CT57" s="13">
        <f>IF('Données projet'!$A$140&gt;35,CT56+CS57-DB56,IF(A57&lt;'Données projet'!$A$140,$CQ$205^A57,IF(A57='Données projet'!$A$140,'Données projet'!$B$140,CT56+CS57-DB56)))</f>
        <v>290.71346153846162</v>
      </c>
      <c r="CU57" s="18">
        <f>CT57*VLOOKUP('Données projet'!$B$13,Paramètres!$A$1:$I$89,3,0)*VLOOKUP('Données projet'!$B$13,Paramètres!$A$1:$I$89,5,0)</f>
        <v>173.84665000000007</v>
      </c>
      <c r="CV57" s="14">
        <f t="shared" si="41"/>
        <v>43.9504201164318</v>
      </c>
      <c r="CW57" s="22">
        <f t="shared" si="13"/>
        <v>379.3298971194522</v>
      </c>
      <c r="CX57" s="62">
        <f t="shared" si="14"/>
        <v>672.66323045278546</v>
      </c>
      <c r="CY57" s="62">
        <f ca="1">AVERAGE(OFFSET($CX$3,0,0,'Données projet'!$E$13+1,1))-AVERAGE(OFFSET($H$3,0,0,'Données projet'!$E$13+1,1))</f>
        <v>260.02504691866199</v>
      </c>
      <c r="CZ57" s="62">
        <f t="shared" si="42"/>
        <v>270.11268336406368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6.222142252976937</v>
      </c>
      <c r="DG57" s="23">
        <f>EXP(-LN(2)/25)*DG56+(1-EXP(-LN(2)/25))/(LN(2)/25)*Calculateur!DB57*Calculateur!DD57*VLOOKUP('Données projet'!$B$13,Paramètres!$A$1:$I$89,3,0)*0.475*44/12</f>
        <v>8.4490586759174651</v>
      </c>
      <c r="DH57" s="23">
        <f>EXP(-LN(2)/2)*DH56+(1-EXP(-LN(2)/2))/(LN(2)/2)*DB57*DE57*VLOOKUP('Données projet'!$B$13,Paramètres!$A$1:$I$89,3,0)*0.475*44/12</f>
        <v>1.5478420278134384E-3</v>
      </c>
      <c r="DI57" s="24">
        <f t="shared" si="15"/>
        <v>14.672748770922215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6.4</v>
      </c>
      <c r="DO57" s="13">
        <f>IF('Données projet'!$A$166&gt;35,DO56+DN57-DW56,IF(A57&lt;'Données projet'!$A$166,$DL$205^A57,IF(A57='Données projet'!$A$166,'Données projet'!$B$166,DO56+DN57-DW56)))</f>
        <v>226.59999999999985</v>
      </c>
      <c r="DP57" s="18">
        <f>DO57*VLOOKUP('Données projet'!$B$14,Paramètres!$A$1:$I$89,3,0)*VLOOKUP('Données projet'!$B$14,Paramètres!$A$1:$I$89,5,0)</f>
        <v>180.28295999999989</v>
      </c>
      <c r="DQ57" s="14">
        <f t="shared" si="43"/>
        <v>45.385133797071362</v>
      </c>
      <c r="DR57" s="22">
        <f t="shared" si="16"/>
        <v>393.03859669656578</v>
      </c>
      <c r="DS57" s="62">
        <f t="shared" si="17"/>
        <v>686.37193002989909</v>
      </c>
      <c r="DT57" s="62">
        <f ca="1">AVERAGE(OFFSET($DS$3,0,0,'Données projet'!$E$14+1,1))-AVERAGE(OFFSET($H$3,0,0,'Données projet'!$E$14+1,1))</f>
        <v>312.53381881960331</v>
      </c>
      <c r="DU57" s="62">
        <f t="shared" si="44"/>
        <v>342.06887933351783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</v>
      </c>
      <c r="EJ57" s="13">
        <f>IF('Données projet'!$A$192&gt;35,EJ56+EI57-ER56,IF(A57&lt;'Données projet'!$A$192,$EG$205^A57,IF(A57='Données projet'!$A$192,'Données projet'!$B$192,EJ56+EI57-ER56)))</f>
        <v>110.99999999999997</v>
      </c>
      <c r="EK57" s="18">
        <f>EJ57*VLOOKUP('Données projet'!$B$15,Paramètres!$A$1:$I$89,3,0)*VLOOKUP('Données projet'!$B$15,Paramètres!$A$1:$I$89,5,0)</f>
        <v>107.35919999999997</v>
      </c>
      <c r="EL57" s="14">
        <f t="shared" si="45"/>
        <v>28.707914285651373</v>
      </c>
      <c r="EM57" s="22">
        <f t="shared" si="19"/>
        <v>236.98355738084277</v>
      </c>
      <c r="EN57" s="62">
        <f t="shared" si="20"/>
        <v>530.31689071417611</v>
      </c>
      <c r="EO57" s="62">
        <f ca="1">AVERAGE(OFFSET($EN$3,0,0,'Données projet'!$E$15+1,1))-AVERAGE(OFFSET($H$3,0,0,'Données projet'!$E$15+1,1))</f>
        <v>255.59755832175625</v>
      </c>
      <c r="EP57" s="62">
        <f t="shared" si="46"/>
        <v>154.0840647586964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8.7272727272727266</v>
      </c>
      <c r="FE57" s="13">
        <f>IF('Données projet'!$A$218&gt;35,FE56+FD57-FM56,IF(A57&lt;'Données projet'!$A$218,$FB$205^A57,IF(A57='Données projet'!$A$218,'Données projet'!$B$218,FE56+FD57-FM56)))</f>
        <v>163.63636363636357</v>
      </c>
      <c r="FF57" s="18">
        <f>FE57*VLOOKUP('Données projet'!$B$16,Paramètres!$A$1:$I$89,3,0)*VLOOKUP('Données projet'!$B$16,Paramètres!$A$1:$I$89,5,0)</f>
        <v>97.854545454545431</v>
      </c>
      <c r="FG57" s="14">
        <f t="shared" si="47"/>
        <v>26.450229215353271</v>
      </c>
      <c r="FH57" s="22">
        <f t="shared" si="22"/>
        <v>216.49748255007356</v>
      </c>
      <c r="FI57" s="62">
        <f t="shared" si="23"/>
        <v>509.8308158834069</v>
      </c>
      <c r="FJ57" s="62">
        <f ca="1">AVERAGE(OFFSET($FI$3,0,0,'Données projet'!$E$16+1,1))-AVERAGE(OFFSET($H$3,0,0,'Données projet'!$E$16+1,1))</f>
        <v>197.08445731383847</v>
      </c>
      <c r="FK57" s="62">
        <f t="shared" si="48"/>
        <v>157.12482557016511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428.8489304403459</v>
      </c>
      <c r="T58" s="62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475.47920969424894</v>
      </c>
      <c r="AO58" s="62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10.737820512820514</v>
      </c>
      <c r="BD58" s="13">
        <f>IF('Données projet'!$A$88&gt;35,BD57+BC58-BL57,IF(A58&lt;'Données projet'!$A$88,$BA$205^A58,IF(A58='Données projet'!$A$88,'Données projet'!$B$88,BD57+BC58-BL57)))</f>
        <v>264.78974358974352</v>
      </c>
      <c r="BE58" s="14">
        <f>BD58*VLOOKUP('Données projet'!$B$11,Paramètres!$A$1:$I$89,3,0)*VLOOKUP('Données projet'!$B$11,Paramètres!$A$1:$I$89,5,0)</f>
        <v>123.92159999999997</v>
      </c>
      <c r="BF58" s="14">
        <f t="shared" si="37"/>
        <v>32.587929251863358</v>
      </c>
      <c r="BG58" s="22">
        <f t="shared" si="7"/>
        <v>272.58743011366198</v>
      </c>
      <c r="BH58" s="62">
        <f t="shared" si="8"/>
        <v>565.92076344699535</v>
      </c>
      <c r="BI58" s="62">
        <f ca="1">AVERAGE(OFFSET($BH$3,0,0,'Données projet'!$E$11+1,1))-AVERAGE(OFFSET($H$3,0,0,'Données projet'!$E$11+1,1))</f>
        <v>246.73711856758143</v>
      </c>
      <c r="BJ58" s="62">
        <f t="shared" si="38"/>
        <v>145.54897745089966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16.227472527472521</v>
      </c>
      <c r="BY58" s="13">
        <f>IF('Données projet'!$A$114&gt;35,BY57+BX58-CG57,IF(A58&lt;'Données projet'!$A$114,$BV$205^A58,IF(A58='Données projet'!$A$114,'Données projet'!$B$114,BY57+BX58-CG57)))</f>
        <v>411.48021978021978</v>
      </c>
      <c r="BZ58" s="14">
        <f>BY58*VLOOKUP('Données projet'!$B$12,Paramètres!$A$1:$I$89,3,0)*VLOOKUP('Données projet'!$B$12,Paramètres!$A$1:$I$89,5,0)</f>
        <v>230.01744285714284</v>
      </c>
      <c r="CA58" s="14">
        <f t="shared" si="39"/>
        <v>56.286453068022915</v>
      </c>
      <c r="CB58" s="22">
        <f t="shared" si="10"/>
        <v>498.64595206966368</v>
      </c>
      <c r="CC58" s="62">
        <f t="shared" si="11"/>
        <v>791.97928540299699</v>
      </c>
      <c r="CD58" s="62">
        <f ca="1">AVERAGE(OFFSET($CC$3,0,0,'Données projet'!$E$12+1,1))-AVERAGE(OFFSET($H$3,0,0,'Données projet'!$E$12+1,1))</f>
        <v>321.13335003345236</v>
      </c>
      <c r="CE58" s="62">
        <f t="shared" si="40"/>
        <v>301.26825075712128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10.309124551352181</v>
      </c>
      <c r="CM58" s="23">
        <f>EXP(-LN(2)/2)*CM57+(1-EXP(-LN(2)/2))/(LN(2)/2)*CG58*CJ58*VLOOKUP('Données projet'!$B$12,Paramètres!$A$1:$I$89,3,0)*0.475*44/12</f>
        <v>1.7023702218065847E-3</v>
      </c>
      <c r="CN58" s="24">
        <f t="shared" si="12"/>
        <v>10.310826921573987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10.464423076923076</v>
      </c>
      <c r="CT58" s="13">
        <f>IF('Données projet'!$A$140&gt;35,CT57+CS58-DB57,IF(A58&lt;'Données projet'!$A$140,$CQ$205^A58,IF(A58='Données projet'!$A$140,'Données projet'!$B$140,CT57+CS58-DB57)))</f>
        <v>301.1778846153847</v>
      </c>
      <c r="CU58" s="18">
        <f>CT58*VLOOKUP('Données projet'!$B$13,Paramètres!$A$1:$I$89,3,0)*VLOOKUP('Données projet'!$B$13,Paramètres!$A$1:$I$89,5,0)</f>
        <v>180.10437500000006</v>
      </c>
      <c r="CV58" s="14">
        <f t="shared" si="41"/>
        <v>45.345406897560061</v>
      </c>
      <c r="CW58" s="22">
        <f t="shared" si="13"/>
        <v>392.65837013825052</v>
      </c>
      <c r="CX58" s="62">
        <f t="shared" si="14"/>
        <v>685.99170347158383</v>
      </c>
      <c r="CY58" s="62">
        <f ca="1">AVERAGE(OFFSET($CX$3,0,0,'Données projet'!$E$13+1,1))-AVERAGE(OFFSET($H$3,0,0,'Données projet'!$E$13+1,1))</f>
        <v>260.02504691866199</v>
      </c>
      <c r="CZ58" s="62">
        <f t="shared" si="42"/>
        <v>270.11268336406368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6.1001298385280958</v>
      </c>
      <c r="DG58" s="23">
        <f>EXP(-LN(2)/25)*DG57+(1-EXP(-LN(2)/25))/(LN(2)/25)*Calculateur!DB58*Calculateur!DD58*VLOOKUP('Données projet'!$B$13,Paramètres!$A$1:$I$89,3,0)*0.475*44/12</f>
        <v>8.218018722107816</v>
      </c>
      <c r="DH58" s="23">
        <f>EXP(-LN(2)/2)*DH57+(1-EXP(-LN(2)/2))/(LN(2)/2)*DB58*DE58*VLOOKUP('Données projet'!$B$13,Paramètres!$A$1:$I$89,3,0)*0.475*44/12</f>
        <v>1.094489594072419E-3</v>
      </c>
      <c r="DI58" s="24">
        <f t="shared" si="15"/>
        <v>14.319243050229984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233</v>
      </c>
      <c r="DM58" s="13">
        <f>VLOOKUP(A58,'Données projet'!$A$165:$I$185,9,0)</f>
        <v>6.4</v>
      </c>
      <c r="DN58" s="13">
        <f t="array" ref="DN58">INDEX(DM:DM,MIN(IF(ISNUMBER(DM58:DM254),ROW(DM58:DM254),"")))</f>
        <v>6.4</v>
      </c>
      <c r="DO58" s="13">
        <f>IF('Données projet'!$A$166&gt;35,DO57+DN58-DW57,IF(A58&lt;'Données projet'!$A$166,$DL$205^A58,IF(A58='Données projet'!$A$166,'Données projet'!$B$166,DO57+DN58-DW57)))</f>
        <v>232.99999999999986</v>
      </c>
      <c r="DP58" s="18">
        <f>DO58*VLOOKUP('Données projet'!$B$14,Paramètres!$A$1:$I$89,3,0)*VLOOKUP('Données projet'!$B$14,Paramètres!$A$1:$I$89,5,0)</f>
        <v>185.37479999999988</v>
      </c>
      <c r="DQ58" s="14">
        <f t="shared" si="43"/>
        <v>46.515924762412688</v>
      </c>
      <c r="DR58" s="22">
        <f t="shared" si="16"/>
        <v>403.87634562786849</v>
      </c>
      <c r="DS58" s="62">
        <f t="shared" si="17"/>
        <v>697.2096789612018</v>
      </c>
      <c r="DT58" s="62">
        <f ca="1">AVERAGE(OFFSET($DS$3,0,0,'Données projet'!$E$14+1,1))-AVERAGE(OFFSET($H$3,0,0,'Données projet'!$E$14+1,1))</f>
        <v>312.53381881960331</v>
      </c>
      <c r="DU58" s="62">
        <f t="shared" si="44"/>
        <v>342.06887933351783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115</v>
      </c>
      <c r="EH58" s="13">
        <f>VLOOKUP(A58,'Données projet'!$A$191:$I$211,9,0)</f>
        <v>4</v>
      </c>
      <c r="EI58" s="13">
        <f t="array" ref="EI58">INDEX(EH:EH,MIN(IF(ISNUMBER(EH58:EH254),ROW(EH58:EH254),"")))</f>
        <v>4</v>
      </c>
      <c r="EJ58" s="13">
        <f>IF('Données projet'!$A$192&gt;35,EJ57+EI58-ER57,IF(A58&lt;'Données projet'!$A$192,$EG$205^A58,IF(A58='Données projet'!$A$192,'Données projet'!$B$192,EJ57+EI58-ER57)))</f>
        <v>114.99999999999997</v>
      </c>
      <c r="EK58" s="18">
        <f>EJ58*VLOOKUP('Données projet'!$B$15,Paramètres!$A$1:$I$89,3,0)*VLOOKUP('Données projet'!$B$15,Paramètres!$A$1:$I$89,5,0)</f>
        <v>111.22799999999998</v>
      </c>
      <c r="EL58" s="14">
        <f t="shared" si="45"/>
        <v>29.620123744783804</v>
      </c>
      <c r="EM58" s="22">
        <f t="shared" si="19"/>
        <v>245.31048218883168</v>
      </c>
      <c r="EN58" s="62">
        <f t="shared" si="20"/>
        <v>538.64381552216503</v>
      </c>
      <c r="EO58" s="62">
        <f ca="1">AVERAGE(OFFSET($EN$3,0,0,'Données projet'!$E$15+1,1))-AVERAGE(OFFSET($H$3,0,0,'Données projet'!$E$15+1,1))</f>
        <v>255.59755832175625</v>
      </c>
      <c r="EP58" s="62">
        <f t="shared" si="46"/>
        <v>154.0840647586964</v>
      </c>
      <c r="EQ58" s="16">
        <f>IF(ISNA(VLOOKUP(A58,'Données projet'!$A$191:$I$211,3,0)),0,VLOOKUP(A58,'Données projet'!$A$191:$I$211,3,0))</f>
        <v>3</v>
      </c>
      <c r="ER58" s="16">
        <f>IF(ISNA(VLOOKUP(A58,'Données projet'!$A$191:$I$211,4,0)),0,VLOOKUP(A58,'Données projet'!$A$191:$I$211,4,0))</f>
        <v>19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8.7272727272727266</v>
      </c>
      <c r="FE58" s="13">
        <f>IF('Données projet'!$A$218&gt;35,FE57+FD58-FM57,IF(A58&lt;'Données projet'!$A$218,$FB$205^A58,IF(A58='Données projet'!$A$218,'Données projet'!$B$218,FE57+FD58-FM57)))</f>
        <v>172.36363636363629</v>
      </c>
      <c r="FF58" s="18">
        <f>FE58*VLOOKUP('Données projet'!$B$16,Paramètres!$A$1:$I$89,3,0)*VLOOKUP('Données projet'!$B$16,Paramètres!$A$1:$I$89,5,0)</f>
        <v>103.07345454545451</v>
      </c>
      <c r="FG58" s="14">
        <f t="shared" si="47"/>
        <v>27.692910715051308</v>
      </c>
      <c r="FH58" s="22">
        <f t="shared" si="22"/>
        <v>227.75141949538093</v>
      </c>
      <c r="FI58" s="62">
        <f t="shared" si="23"/>
        <v>521.08475282871427</v>
      </c>
      <c r="FJ58" s="62">
        <f ca="1">AVERAGE(OFFSET($FI$3,0,0,'Données projet'!$E$16+1,1))-AVERAGE(OFFSET($H$3,0,0,'Données projet'!$E$16+1,1))</f>
        <v>197.08445731383847</v>
      </c>
      <c r="FK58" s="62">
        <f t="shared" si="48"/>
        <v>157.12482557016511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696.67192586439194</v>
      </c>
      <c r="S59" s="62">
        <f ca="1">AVERAGE(OFFSET($R$3,0,0,'Données projet'!$E$9+1,1))-AVERAGE(OFFSET($H$3,0,0,'Données projet'!$E$9+1,1))</f>
        <v>428.8489304403459</v>
      </c>
      <c r="T59" s="62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2">
        <f t="shared" si="5"/>
        <v>744.15591627769948</v>
      </c>
      <c r="AN59" s="62">
        <f ca="1">AVERAGE(OFFSET($AM$3,0,0,'Données projet'!$E$10+1,1))-AVERAGE(OFFSET($H$3,0,0,'Données projet'!$E$10+1,1))</f>
        <v>475.47920969424894</v>
      </c>
      <c r="AO59" s="62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10.737820512820514</v>
      </c>
      <c r="BD59" s="13">
        <f>IF('Données projet'!$A$88&gt;35,BD58+BC59-BL58,IF(A59&lt;'Données projet'!$A$88,$BA$205^A59,IF(A59='Données projet'!$A$88,'Données projet'!$B$88,BD58+BC59-BL58)))</f>
        <v>275.52756410256404</v>
      </c>
      <c r="BE59" s="14">
        <f>BD59*VLOOKUP('Données projet'!$B$11,Paramètres!$A$1:$I$89,3,0)*VLOOKUP('Données projet'!$B$11,Paramètres!$A$1:$I$89,5,0)</f>
        <v>128.94689999999997</v>
      </c>
      <c r="BF59" s="14">
        <f t="shared" si="37"/>
        <v>33.752903768318241</v>
      </c>
      <c r="BG59" s="22">
        <f t="shared" si="7"/>
        <v>283.36882489648752</v>
      </c>
      <c r="BH59" s="62">
        <f t="shared" si="8"/>
        <v>576.70215822982084</v>
      </c>
      <c r="BI59" s="62">
        <f ca="1">AVERAGE(OFFSET($BH$3,0,0,'Données projet'!$E$11+1,1))-AVERAGE(OFFSET($H$3,0,0,'Données projet'!$E$11+1,1))</f>
        <v>246.73711856758143</v>
      </c>
      <c r="BJ59" s="62">
        <f t="shared" si="38"/>
        <v>145.54897745089966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427.7076923076923</v>
      </c>
      <c r="BW59" s="13">
        <f>VLOOKUP(A59,'Données projet'!$A$113:$I$133,9,0)</f>
        <v>16.227472527472521</v>
      </c>
      <c r="BX59" s="13">
        <f t="array" ref="BX59">INDEX(BW:BW,MIN(IF(ISNUMBER(BW59:BW255),ROW(BW59:BW255),"")))</f>
        <v>16.227472527472521</v>
      </c>
      <c r="BY59" s="13">
        <f>IF('Données projet'!$A$114&gt;35,BY58+BX59-CG58,IF(A59&lt;'Données projet'!$A$114,$BV$205^A59,IF(A59='Données projet'!$A$114,'Données projet'!$B$114,BY58+BX59-CG58)))</f>
        <v>427.7076923076923</v>
      </c>
      <c r="BZ59" s="14">
        <f>BY59*VLOOKUP('Données projet'!$B$12,Paramètres!$A$1:$I$89,3,0)*VLOOKUP('Données projet'!$B$12,Paramètres!$A$1:$I$89,5,0)</f>
        <v>239.08860000000001</v>
      </c>
      <c r="CA59" s="14">
        <f t="shared" si="39"/>
        <v>58.243394931850105</v>
      </c>
      <c r="CB59" s="22">
        <f t="shared" si="10"/>
        <v>517.85322450630554</v>
      </c>
      <c r="CC59" s="62">
        <f t="shared" si="11"/>
        <v>811.18655783963891</v>
      </c>
      <c r="CD59" s="62">
        <f ca="1">AVERAGE(OFFSET($CC$3,0,0,'Données projet'!$E$12+1,1))-AVERAGE(OFFSET($H$3,0,0,'Données projet'!$E$12+1,1))</f>
        <v>321.13335003345236</v>
      </c>
      <c r="CE59" s="62">
        <f t="shared" si="40"/>
        <v>301.26825075712128</v>
      </c>
      <c r="CF59" s="16">
        <f>IF(ISNA(VLOOKUP(A59,'Données projet'!$A$113:$I$133,3,0)),0,VLOOKUP(A59,'Données projet'!$A$113:$I$133,3,0))</f>
        <v>6</v>
      </c>
      <c r="CG59" s="16">
        <f>IF(ISNA(VLOOKUP(A59,'Données projet'!$A$113:$I$133,4,0)),0,VLOOKUP(A59,'Données projet'!$A$113:$I$133,4,0))</f>
        <v>75.869230769230768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10.027220998362157</v>
      </c>
      <c r="CM59" s="23">
        <f>EXP(-LN(2)/2)*CM58+(1-EXP(-LN(2)/2))/(LN(2)/2)*CG59*CJ59*VLOOKUP('Données projet'!$B$12,Paramètres!$A$1:$I$89,3,0)*0.475*44/12</f>
        <v>1.2037575279294831E-3</v>
      </c>
      <c r="CN59" s="24">
        <f t="shared" si="12"/>
        <v>10.028424755890086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10.464423076923076</v>
      </c>
      <c r="CT59" s="13">
        <f>IF('Données projet'!$A$140&gt;35,CT58+CS59-DB58,IF(A59&lt;'Données projet'!$A$140,$CQ$205^A59,IF(A59='Données projet'!$A$140,'Données projet'!$B$140,CT58+CS59-DB58)))</f>
        <v>311.64230769230778</v>
      </c>
      <c r="CU59" s="18">
        <f>CT59*VLOOKUP('Données projet'!$B$13,Paramètres!$A$1:$I$89,3,0)*VLOOKUP('Données projet'!$B$13,Paramètres!$A$1:$I$89,5,0)</f>
        <v>186.36210000000005</v>
      </c>
      <c r="CV59" s="14">
        <f t="shared" si="41"/>
        <v>46.734762106127967</v>
      </c>
      <c r="CW59" s="22">
        <f t="shared" si="13"/>
        <v>405.97703483483957</v>
      </c>
      <c r="CX59" s="62">
        <f t="shared" si="14"/>
        <v>699.31036816817289</v>
      </c>
      <c r="CY59" s="62">
        <f ca="1">AVERAGE(OFFSET($CX$3,0,0,'Données projet'!$E$13+1,1))-AVERAGE(OFFSET($H$3,0,0,'Données projet'!$E$13+1,1))</f>
        <v>260.02504691866199</v>
      </c>
      <c r="CZ59" s="62">
        <f t="shared" si="42"/>
        <v>270.11268336406368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5.9805100131063718</v>
      </c>
      <c r="DG59" s="23">
        <f>EXP(-LN(2)/25)*DG58+(1-EXP(-LN(2)/25))/(LN(2)/25)*Calculateur!DB59*Calculateur!DD59*VLOOKUP('Données projet'!$B$13,Paramètres!$A$1:$I$89,3,0)*0.475*44/12</f>
        <v>7.9932965679849559</v>
      </c>
      <c r="DH59" s="23">
        <f>EXP(-LN(2)/2)*DH58+(1-EXP(-LN(2)/2))/(LN(2)/2)*DB59*DE59*VLOOKUP('Données projet'!$B$13,Paramètres!$A$1:$I$89,3,0)*0.475*44/12</f>
        <v>7.7392101390671921E-4</v>
      </c>
      <c r="DI59" s="24">
        <f t="shared" si="15"/>
        <v>13.974580502105235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</v>
      </c>
      <c r="DO59" s="13">
        <f>IF('Données projet'!$A$166&gt;35,DO58+DN59-DW58,IF(A59&lt;'Données projet'!$A$166,$DL$205^A59,IF(A59='Données projet'!$A$166,'Données projet'!$B$166,DO58+DN59-DW58)))</f>
        <v>237.99999999999986</v>
      </c>
      <c r="DP59" s="18">
        <f>DO59*VLOOKUP('Données projet'!$B$14,Paramètres!$A$1:$I$89,3,0)*VLOOKUP('Données projet'!$B$14,Paramètres!$A$1:$I$89,5,0)</f>
        <v>189.35279999999989</v>
      </c>
      <c r="DQ59" s="14">
        <f t="shared" si="43"/>
        <v>47.396837717691554</v>
      </c>
      <c r="DR59" s="22">
        <f t="shared" si="16"/>
        <v>412.33895235831255</v>
      </c>
      <c r="DS59" s="62">
        <f t="shared" si="17"/>
        <v>705.67228569164581</v>
      </c>
      <c r="DT59" s="62">
        <f ca="1">AVERAGE(OFFSET($DS$3,0,0,'Données projet'!$E$14+1,1))-AVERAGE(OFFSET($H$3,0,0,'Données projet'!$E$14+1,1))</f>
        <v>312.53381881960331</v>
      </c>
      <c r="DU59" s="62">
        <f t="shared" si="44"/>
        <v>342.06887933351783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3.8</v>
      </c>
      <c r="EJ59" s="13">
        <f>IF('Données projet'!$A$192&gt;35,EJ58+EI59-ER58,IF(A59&lt;'Données projet'!$A$192,$EG$205^A59,IF(A59='Données projet'!$A$192,'Données projet'!$B$192,EJ58+EI59-ER58)))</f>
        <v>99.799999999999969</v>
      </c>
      <c r="EK59" s="18">
        <f>EJ59*VLOOKUP('Données projet'!$B$15,Paramètres!$A$1:$I$89,3,0)*VLOOKUP('Données projet'!$B$15,Paramètres!$A$1:$I$89,5,0)</f>
        <v>96.526559999999975</v>
      </c>
      <c r="EL59" s="14">
        <f t="shared" si="45"/>
        <v>26.132803512664371</v>
      </c>
      <c r="EM59" s="22">
        <f t="shared" si="19"/>
        <v>213.63172478455704</v>
      </c>
      <c r="EN59" s="62">
        <f t="shared" si="20"/>
        <v>506.96505811789035</v>
      </c>
      <c r="EO59" s="62">
        <f ca="1">AVERAGE(OFFSET($EN$3,0,0,'Données projet'!$E$15+1,1))-AVERAGE(OFFSET($H$3,0,0,'Données projet'!$E$15+1,1))</f>
        <v>255.59755832175625</v>
      </c>
      <c r="EP59" s="62">
        <f t="shared" si="46"/>
        <v>154.0840647586964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8.7272727272727266</v>
      </c>
      <c r="FE59" s="13">
        <f>IF('Données projet'!$A$218&gt;35,FE58+FD59-FM58,IF(A59&lt;'Données projet'!$A$218,$FB$205^A59,IF(A59='Données projet'!$A$218,'Données projet'!$B$218,FE58+FD59-FM58)))</f>
        <v>181.09090909090901</v>
      </c>
      <c r="FF59" s="18">
        <f>FE59*VLOOKUP('Données projet'!$B$16,Paramètres!$A$1:$I$89,3,0)*VLOOKUP('Données projet'!$B$16,Paramètres!$A$1:$I$89,5,0)</f>
        <v>108.2923636363636</v>
      </c>
      <c r="FG59" s="14">
        <f t="shared" si="47"/>
        <v>28.928286503528717</v>
      </c>
      <c r="FH59" s="22">
        <f t="shared" si="22"/>
        <v>238.99263232697908</v>
      </c>
      <c r="FI59" s="62">
        <f t="shared" si="23"/>
        <v>532.32596566031236</v>
      </c>
      <c r="FJ59" s="62">
        <f ca="1">AVERAGE(OFFSET($FI$3,0,0,'Données projet'!$E$16+1,1))-AVERAGE(OFFSET($H$3,0,0,'Données projet'!$E$16+1,1))</f>
        <v>197.08445731383847</v>
      </c>
      <c r="FK59" s="62">
        <f t="shared" si="48"/>
        <v>157.12482557016511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711.29866832489597</v>
      </c>
      <c r="S60" s="62">
        <f ca="1">AVERAGE(OFFSET($R$3,0,0,'Données projet'!$E$9+1,1))-AVERAGE(OFFSET($H$3,0,0,'Données projet'!$E$9+1,1))</f>
        <v>428.8489304403459</v>
      </c>
      <c r="T60" s="62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2">
        <f t="shared" si="5"/>
        <v>760.50882309863516</v>
      </c>
      <c r="AN60" s="62">
        <f ca="1">AVERAGE(OFFSET($AM$3,0,0,'Données projet'!$E$10+1,1))-AVERAGE(OFFSET($H$3,0,0,'Données projet'!$E$10+1,1))</f>
        <v>475.47920969424894</v>
      </c>
      <c r="AO60" s="62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10.737820512820514</v>
      </c>
      <c r="BD60" s="13">
        <f>IF('Données projet'!$A$88&gt;35,BD59+BC60-BL59,IF(A60&lt;'Données projet'!$A$88,$BA$205^A60,IF(A60='Données projet'!$A$88,'Données projet'!$B$88,BD59+BC60-BL59)))</f>
        <v>286.26538461538456</v>
      </c>
      <c r="BE60" s="14">
        <f>BD60*VLOOKUP('Données projet'!$B$11,Paramètres!$A$1:$I$89,3,0)*VLOOKUP('Données projet'!$B$11,Paramètres!$A$1:$I$89,5,0)</f>
        <v>133.97219999999996</v>
      </c>
      <c r="BF60" s="14">
        <f t="shared" si="37"/>
        <v>34.912604141260388</v>
      </c>
      <c r="BG60" s="22">
        <f t="shared" si="7"/>
        <v>294.14103387936183</v>
      </c>
      <c r="BH60" s="62">
        <f t="shared" si="8"/>
        <v>587.47436721269514</v>
      </c>
      <c r="BI60" s="62">
        <f ca="1">AVERAGE(OFFSET($BH$3,0,0,'Données projet'!$E$11+1,1))-AVERAGE(OFFSET($H$3,0,0,'Données projet'!$E$11+1,1))</f>
        <v>246.73711856758143</v>
      </c>
      <c r="BJ60" s="62">
        <f t="shared" si="38"/>
        <v>145.54897745089966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14.839560439560435</v>
      </c>
      <c r="BY60" s="13">
        <f>IF('Données projet'!$A$114&gt;35,BY59+BX60-CG59,IF(A60&lt;'Données projet'!$A$114,$BV$205^A60,IF(A60='Données projet'!$A$114,'Données projet'!$B$114,BY59+BX60-CG59)))</f>
        <v>366.678021978022</v>
      </c>
      <c r="BZ60" s="14">
        <f>BY60*VLOOKUP('Données projet'!$B$12,Paramètres!$A$1:$I$89,3,0)*VLOOKUP('Données projet'!$B$12,Paramètres!$A$1:$I$89,5,0)</f>
        <v>204.9730142857143</v>
      </c>
      <c r="CA60" s="14">
        <f t="shared" si="39"/>
        <v>50.835518579260878</v>
      </c>
      <c r="CB60" s="22">
        <f t="shared" si="10"/>
        <v>445.53319473983174</v>
      </c>
      <c r="CC60" s="62">
        <f t="shared" si="11"/>
        <v>738.866528073165</v>
      </c>
      <c r="CD60" s="62">
        <f ca="1">AVERAGE(OFFSET($CC$3,0,0,'Données projet'!$E$12+1,1))-AVERAGE(OFFSET($H$3,0,0,'Données projet'!$E$12+1,1))</f>
        <v>321.13335003345236</v>
      </c>
      <c r="CE60" s="62">
        <f t="shared" si="40"/>
        <v>301.26825075712128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9.7530261128533091</v>
      </c>
      <c r="CM60" s="23">
        <f>EXP(-LN(2)/2)*CM59+(1-EXP(-LN(2)/2))/(LN(2)/2)*CG60*CJ60*VLOOKUP('Données projet'!$B$12,Paramètres!$A$1:$I$89,3,0)*0.475*44/12</f>
        <v>8.5118511090329237E-4</v>
      </c>
      <c r="CN60" s="24">
        <f t="shared" si="12"/>
        <v>9.7538772979642125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10.464423076923076</v>
      </c>
      <c r="CT60" s="13">
        <f>IF('Données projet'!$A$140&gt;35,CT59+CS60-DB59,IF(A60&lt;'Données projet'!$A$140,$CQ$205^A60,IF(A60='Données projet'!$A$140,'Données projet'!$B$140,CT59+CS60-DB59)))</f>
        <v>322.10673076923086</v>
      </c>
      <c r="CU60" s="18">
        <f>CT60*VLOOKUP('Données projet'!$B$13,Paramètres!$A$1:$I$89,3,0)*VLOOKUP('Données projet'!$B$13,Paramètres!$A$1:$I$89,5,0)</f>
        <v>192.61982500000008</v>
      </c>
      <c r="CV60" s="14">
        <f t="shared" si="41"/>
        <v>48.118696520369063</v>
      </c>
      <c r="CW60" s="22">
        <f t="shared" si="13"/>
        <v>419.28625831464296</v>
      </c>
      <c r="CX60" s="62">
        <f t="shared" si="14"/>
        <v>712.61959164797622</v>
      </c>
      <c r="CY60" s="62">
        <f ca="1">AVERAGE(OFFSET($CX$3,0,0,'Données projet'!$E$13+1,1))-AVERAGE(OFFSET($H$3,0,0,'Données projet'!$E$13+1,1))</f>
        <v>260.02504691866199</v>
      </c>
      <c r="CZ60" s="62">
        <f t="shared" si="42"/>
        <v>270.11268336406368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5.8632358595002785</v>
      </c>
      <c r="DG60" s="23">
        <f>EXP(-LN(2)/25)*DG59+(1-EXP(-LN(2)/25))/(LN(2)/25)*Calculateur!DB60*Calculateur!DD60*VLOOKUP('Données projet'!$B$13,Paramètres!$A$1:$I$89,3,0)*0.475*44/12</f>
        <v>7.7747194529842094</v>
      </c>
      <c r="DH60" s="23">
        <f>EXP(-LN(2)/2)*DH59+(1-EXP(-LN(2)/2))/(LN(2)/2)*DB60*DE60*VLOOKUP('Données projet'!$B$13,Paramètres!$A$1:$I$89,3,0)*0.475*44/12</f>
        <v>5.472447970362095E-4</v>
      </c>
      <c r="DI60" s="24">
        <f t="shared" si="15"/>
        <v>13.638502557281525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242.99999999999986</v>
      </c>
      <c r="DP60" s="18">
        <f>DO60*VLOOKUP('Données projet'!$B$14,Paramètres!$A$1:$I$89,3,0)*VLOOKUP('Données projet'!$B$14,Paramètres!$A$1:$I$89,5,0)</f>
        <v>193.3307999999999</v>
      </c>
      <c r="DQ60" s="14">
        <f t="shared" si="43"/>
        <v>48.275598972103651</v>
      </c>
      <c r="DR60" s="22">
        <f t="shared" si="16"/>
        <v>420.79781154308029</v>
      </c>
      <c r="DS60" s="62">
        <f t="shared" si="17"/>
        <v>714.1311448764136</v>
      </c>
      <c r="DT60" s="62">
        <f ca="1">AVERAGE(OFFSET($DS$3,0,0,'Données projet'!$E$14+1,1))-AVERAGE(OFFSET($H$3,0,0,'Données projet'!$E$14+1,1))</f>
        <v>312.53381881960331</v>
      </c>
      <c r="DU60" s="62">
        <f t="shared" si="44"/>
        <v>342.06887933351783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3.8</v>
      </c>
      <c r="EJ60" s="13">
        <f>IF('Données projet'!$A$192&gt;35,EJ59+EI60-ER59,IF(A60&lt;'Données projet'!$A$192,$EG$205^A60,IF(A60='Données projet'!$A$192,'Données projet'!$B$192,EJ59+EI60-ER59)))</f>
        <v>103.59999999999997</v>
      </c>
      <c r="EK60" s="18">
        <f>EJ60*VLOOKUP('Données projet'!$B$15,Paramètres!$A$1:$I$89,3,0)*VLOOKUP('Données projet'!$B$15,Paramètres!$A$1:$I$89,5,0)</f>
        <v>100.20191999999999</v>
      </c>
      <c r="EL60" s="14">
        <f t="shared" si="45"/>
        <v>27.010096555049586</v>
      </c>
      <c r="EM60" s="22">
        <f t="shared" si="19"/>
        <v>221.56092883337803</v>
      </c>
      <c r="EN60" s="62">
        <f t="shared" si="20"/>
        <v>514.89426216671131</v>
      </c>
      <c r="EO60" s="62">
        <f ca="1">AVERAGE(OFFSET($EN$3,0,0,'Données projet'!$E$15+1,1))-AVERAGE(OFFSET($H$3,0,0,'Données projet'!$E$15+1,1))</f>
        <v>255.59755832175625</v>
      </c>
      <c r="EP60" s="62">
        <f t="shared" si="46"/>
        <v>154.0840647586964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8.7272727272727266</v>
      </c>
      <c r="FE60" s="13">
        <f>IF('Données projet'!$A$218&gt;35,FE59+FD60-FM59,IF(A60&lt;'Données projet'!$A$218,$FB$205^A60,IF(A60='Données projet'!$A$218,'Données projet'!$B$218,FE59+FD60-FM59)))</f>
        <v>189.81818181818173</v>
      </c>
      <c r="FF60" s="18">
        <f>FE60*VLOOKUP('Données projet'!$B$16,Paramètres!$A$1:$I$89,3,0)*VLOOKUP('Données projet'!$B$16,Paramètres!$A$1:$I$89,5,0)</f>
        <v>113.51127272727268</v>
      </c>
      <c r="FG60" s="14">
        <f t="shared" si="47"/>
        <v>30.156748855957495</v>
      </c>
      <c r="FH60" s="22">
        <f t="shared" si="22"/>
        <v>250.22180425745921</v>
      </c>
      <c r="FI60" s="62">
        <f t="shared" si="23"/>
        <v>543.55513759079258</v>
      </c>
      <c r="FJ60" s="62">
        <f ca="1">AVERAGE(OFFSET($FI$3,0,0,'Données projet'!$E$16+1,1))-AVERAGE(OFFSET($H$3,0,0,'Données projet'!$E$16+1,1))</f>
        <v>197.08445731383847</v>
      </c>
      <c r="FK60" s="62">
        <f t="shared" si="48"/>
        <v>157.12482557016511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725.91438285442098</v>
      </c>
      <c r="S61" s="62">
        <f ca="1">AVERAGE(OFFSET($R$3,0,0,'Données projet'!$E$9+1,1))-AVERAGE(OFFSET($H$3,0,0,'Données projet'!$E$9+1,1))</f>
        <v>428.8489304403459</v>
      </c>
      <c r="T61" s="62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2">
        <f t="shared" si="5"/>
        <v>776.84953386648317</v>
      </c>
      <c r="AN61" s="62">
        <f ca="1">AVERAGE(OFFSET($AM$3,0,0,'Données projet'!$E$10+1,1))-AVERAGE(OFFSET($H$3,0,0,'Données projet'!$E$10+1,1))</f>
        <v>475.47920969424894</v>
      </c>
      <c r="AO61" s="62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10.737820512820514</v>
      </c>
      <c r="BD61" s="13">
        <f>IF('Données projet'!$A$88&gt;35,BD60+BC61-BL60,IF(A61&lt;'Données projet'!$A$88,$BA$205^A61,IF(A61='Données projet'!$A$88,'Données projet'!$B$88,BD60+BC61-BL60)))</f>
        <v>297.00320512820508</v>
      </c>
      <c r="BE61" s="14">
        <f>BD61*VLOOKUP('Données projet'!$B$11,Paramètres!$A$1:$I$89,3,0)*VLOOKUP('Données projet'!$B$11,Paramètres!$A$1:$I$89,5,0)</f>
        <v>138.99749999999997</v>
      </c>
      <c r="BF61" s="14">
        <f t="shared" si="37"/>
        <v>36.067250855487892</v>
      </c>
      <c r="BG61" s="22">
        <f t="shared" si="7"/>
        <v>304.90444107330802</v>
      </c>
      <c r="BH61" s="62">
        <f t="shared" si="8"/>
        <v>598.23777440664139</v>
      </c>
      <c r="BI61" s="62">
        <f ca="1">AVERAGE(OFFSET($BH$3,0,0,'Données projet'!$E$11+1,1))-AVERAGE(OFFSET($H$3,0,0,'Données projet'!$E$11+1,1))</f>
        <v>246.73711856758143</v>
      </c>
      <c r="BJ61" s="62">
        <f t="shared" si="38"/>
        <v>145.54897745089966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14.839560439560435</v>
      </c>
      <c r="BY61" s="13">
        <f>IF('Données projet'!$A$114&gt;35,BY60+BX61-CG60,IF(A61&lt;'Données projet'!$A$114,$BV$205^A61,IF(A61='Données projet'!$A$114,'Données projet'!$B$114,BY60+BX61-CG60)))</f>
        <v>381.51758241758245</v>
      </c>
      <c r="BZ61" s="14">
        <f>BY61*VLOOKUP('Données projet'!$B$12,Paramètres!$A$1:$I$89,3,0)*VLOOKUP('Données projet'!$B$12,Paramètres!$A$1:$I$89,5,0)</f>
        <v>213.26832857142858</v>
      </c>
      <c r="CA61" s="14">
        <f t="shared" si="39"/>
        <v>52.649154508451623</v>
      </c>
      <c r="CB61" s="22">
        <f t="shared" si="10"/>
        <v>463.13961636412461</v>
      </c>
      <c r="CC61" s="62">
        <f t="shared" si="11"/>
        <v>756.47294969745792</v>
      </c>
      <c r="CD61" s="62">
        <f ca="1">AVERAGE(OFFSET($CC$3,0,0,'Données projet'!$E$12+1,1))-AVERAGE(OFFSET($H$3,0,0,'Données projet'!$E$12+1,1))</f>
        <v>321.13335003345236</v>
      </c>
      <c r="CE61" s="62">
        <f t="shared" si="40"/>
        <v>301.26825075712128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9.4863291009079838</v>
      </c>
      <c r="CM61" s="23">
        <f>EXP(-LN(2)/2)*CM60+(1-EXP(-LN(2)/2))/(LN(2)/2)*CG61*CJ61*VLOOKUP('Données projet'!$B$12,Paramètres!$A$1:$I$89,3,0)*0.475*44/12</f>
        <v>6.0187876396474154E-4</v>
      </c>
      <c r="CN61" s="24">
        <f t="shared" si="12"/>
        <v>9.4869309796719481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10.464423076923076</v>
      </c>
      <c r="CT61" s="13">
        <f>IF('Données projet'!$A$140&gt;35,CT60+CS61-DB60,IF(A61&lt;'Données projet'!$A$140,$CQ$205^A61,IF(A61='Données projet'!$A$140,'Données projet'!$B$140,CT60+CS61-DB60)))</f>
        <v>332.57115384615395</v>
      </c>
      <c r="CU61" s="18">
        <f>CT61*VLOOKUP('Données projet'!$B$13,Paramètres!$A$1:$I$89,3,0)*VLOOKUP('Données projet'!$B$13,Paramètres!$A$1:$I$89,5,0)</f>
        <v>198.87755000000007</v>
      </c>
      <c r="CV61" s="14">
        <f t="shared" si="41"/>
        <v>49.49740644579321</v>
      </c>
      <c r="CW61" s="22">
        <f t="shared" si="13"/>
        <v>432.5863824764233</v>
      </c>
      <c r="CX61" s="62">
        <f t="shared" si="14"/>
        <v>725.91971580975655</v>
      </c>
      <c r="CY61" s="62">
        <f ca="1">AVERAGE(OFFSET($CX$3,0,0,'Données projet'!$E$13+1,1))-AVERAGE(OFFSET($H$3,0,0,'Données projet'!$E$13+1,1))</f>
        <v>260.02504691866199</v>
      </c>
      <c r="CZ61" s="62">
        <f t="shared" si="42"/>
        <v>270.11268336406368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5.7482613805162295</v>
      </c>
      <c r="DG61" s="23">
        <f>EXP(-LN(2)/25)*DG60+(1-EXP(-LN(2)/25))/(LN(2)/25)*Calculateur!DB61*Calculateur!DD61*VLOOKUP('Données projet'!$B$13,Paramètres!$A$1:$I$89,3,0)*0.475*44/12</f>
        <v>7.5621193406876293</v>
      </c>
      <c r="DH61" s="23">
        <f>EXP(-LN(2)/2)*DH60+(1-EXP(-LN(2)/2))/(LN(2)/2)*DB61*DE61*VLOOKUP('Données projet'!$B$13,Paramètres!$A$1:$I$89,3,0)*0.475*44/12</f>
        <v>3.869605069533596E-4</v>
      </c>
      <c r="DI61" s="24">
        <f t="shared" si="15"/>
        <v>13.310767681710812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247.99999999999986</v>
      </c>
      <c r="DP61" s="18">
        <f>DO61*VLOOKUP('Données projet'!$B$14,Paramètres!$A$1:$I$89,3,0)*VLOOKUP('Données projet'!$B$14,Paramètres!$A$1:$I$89,5,0)</f>
        <v>197.30879999999991</v>
      </c>
      <c r="DQ61" s="14">
        <f t="shared" si="43"/>
        <v>49.152257900676076</v>
      </c>
      <c r="DR61" s="22">
        <f t="shared" si="16"/>
        <v>429.25300917701065</v>
      </c>
      <c r="DS61" s="62">
        <f t="shared" si="17"/>
        <v>722.58634251034391</v>
      </c>
      <c r="DT61" s="62">
        <f ca="1">AVERAGE(OFFSET($DS$3,0,0,'Données projet'!$E$14+1,1))-AVERAGE(OFFSET($H$3,0,0,'Données projet'!$E$14+1,1))</f>
        <v>312.53381881960331</v>
      </c>
      <c r="DU61" s="62">
        <f t="shared" si="44"/>
        <v>342.06887933351783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3.8</v>
      </c>
      <c r="EJ61" s="13">
        <f>IF('Données projet'!$A$192&gt;35,EJ60+EI61-ER60,IF(A61&lt;'Données projet'!$A$192,$EG$205^A61,IF(A61='Données projet'!$A$192,'Données projet'!$B$192,EJ60+EI61-ER60)))</f>
        <v>107.39999999999996</v>
      </c>
      <c r="EK61" s="18">
        <f>EJ61*VLOOKUP('Données projet'!$B$15,Paramètres!$A$1:$I$89,3,0)*VLOOKUP('Données projet'!$B$15,Paramètres!$A$1:$I$89,5,0)</f>
        <v>103.87727999999997</v>
      </c>
      <c r="EL61" s="14">
        <f t="shared" si="45"/>
        <v>27.883651095560136</v>
      </c>
      <c r="EM61" s="22">
        <f t="shared" si="19"/>
        <v>229.48362165810047</v>
      </c>
      <c r="EN61" s="62">
        <f t="shared" si="20"/>
        <v>522.81695499143382</v>
      </c>
      <c r="EO61" s="62">
        <f ca="1">AVERAGE(OFFSET($EN$3,0,0,'Données projet'!$E$15+1,1))-AVERAGE(OFFSET($H$3,0,0,'Données projet'!$E$15+1,1))</f>
        <v>255.59755832175625</v>
      </c>
      <c r="EP61" s="62">
        <f t="shared" si="46"/>
        <v>154.0840647586964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8.7272727272727266</v>
      </c>
      <c r="FE61" s="13">
        <f>IF('Données projet'!$A$218&gt;35,FE60+FD61-FM60,IF(A61&lt;'Données projet'!$A$218,$FB$205^A61,IF(A61='Données projet'!$A$218,'Données projet'!$B$218,FE60+FD61-FM60)))</f>
        <v>198.54545454545445</v>
      </c>
      <c r="FF61" s="18">
        <f>FE61*VLOOKUP('Données projet'!$B$16,Paramètres!$A$1:$I$89,3,0)*VLOOKUP('Données projet'!$B$16,Paramètres!$A$1:$I$89,5,0)</f>
        <v>118.73018181818176</v>
      </c>
      <c r="FG61" s="14">
        <f t="shared" si="47"/>
        <v>31.37865193745295</v>
      </c>
      <c r="FH61" s="22">
        <f t="shared" si="22"/>
        <v>261.43955212439715</v>
      </c>
      <c r="FI61" s="62">
        <f t="shared" si="23"/>
        <v>554.77288545773047</v>
      </c>
      <c r="FJ61" s="62">
        <f ca="1">AVERAGE(OFFSET($FI$3,0,0,'Données projet'!$E$16+1,1))-AVERAGE(OFFSET($H$3,0,0,'Données projet'!$E$16+1,1))</f>
        <v>197.08445731383847</v>
      </c>
      <c r="FK61" s="62">
        <f t="shared" si="48"/>
        <v>157.12482557016511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740.51949446577237</v>
      </c>
      <c r="S62" s="62">
        <f ca="1">AVERAGE(OFFSET($R$3,0,0,'Données projet'!$E$9+1,1))-AVERAGE(OFFSET($H$3,0,0,'Données projet'!$E$9+1,1))</f>
        <v>428.8489304403459</v>
      </c>
      <c r="T62" s="62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2">
        <f t="shared" si="5"/>
        <v>793.17851861308782</v>
      </c>
      <c r="AN62" s="62">
        <f ca="1">AVERAGE(OFFSET($AM$3,0,0,'Données projet'!$E$10+1,1))-AVERAGE(OFFSET($H$3,0,0,'Données projet'!$E$10+1,1))</f>
        <v>475.47920969424894</v>
      </c>
      <c r="AO62" s="62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10.737820512820514</v>
      </c>
      <c r="BD62" s="13">
        <f>IF('Données projet'!$A$88&gt;35,BD61+BC62-BL61,IF(A62&lt;'Données projet'!$A$88,$BA$205^A62,IF(A62='Données projet'!$A$88,'Données projet'!$B$88,BD61+BC62-BL61)))</f>
        <v>307.7410256410256</v>
      </c>
      <c r="BE62" s="14">
        <f>BD62*VLOOKUP('Données projet'!$B$11,Paramètres!$A$1:$I$89,3,0)*VLOOKUP('Données projet'!$B$11,Paramètres!$A$1:$I$89,5,0)</f>
        <v>144.02279999999999</v>
      </c>
      <c r="BF62" s="14">
        <f t="shared" si="37"/>
        <v>37.217047549420407</v>
      </c>
      <c r="BG62" s="22">
        <f t="shared" si="7"/>
        <v>315.65940114857386</v>
      </c>
      <c r="BH62" s="62">
        <f t="shared" si="8"/>
        <v>608.99273448190718</v>
      </c>
      <c r="BI62" s="62">
        <f ca="1">AVERAGE(OFFSET($BH$3,0,0,'Données projet'!$E$11+1,1))-AVERAGE(OFFSET($H$3,0,0,'Données projet'!$E$11+1,1))</f>
        <v>246.73711856758143</v>
      </c>
      <c r="BJ62" s="62">
        <f t="shared" si="38"/>
        <v>145.54897745089966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14.839560439560435</v>
      </c>
      <c r="BY62" s="13">
        <f>IF('Données projet'!$A$114&gt;35,BY61+BX62-CG61,IF(A62&lt;'Données projet'!$A$114,$BV$205^A62,IF(A62='Données projet'!$A$114,'Données projet'!$B$114,BY61+BX62-CG61)))</f>
        <v>396.35714285714289</v>
      </c>
      <c r="BZ62" s="14">
        <f>BY62*VLOOKUP('Données projet'!$B$12,Paramètres!$A$1:$I$89,3,0)*VLOOKUP('Données projet'!$B$12,Paramètres!$A$1:$I$89,5,0)</f>
        <v>221.56364285714287</v>
      </c>
      <c r="CA62" s="14">
        <f t="shared" si="39"/>
        <v>54.45459555983345</v>
      </c>
      <c r="CB62" s="22">
        <f t="shared" si="10"/>
        <v>480.73176524290039</v>
      </c>
      <c r="CC62" s="62">
        <f t="shared" si="11"/>
        <v>774.06509857623371</v>
      </c>
      <c r="CD62" s="62">
        <f ca="1">AVERAGE(OFFSET($CC$3,0,0,'Données projet'!$E$12+1,1))-AVERAGE(OFFSET($H$3,0,0,'Données projet'!$E$12+1,1))</f>
        <v>321.13335003345236</v>
      </c>
      <c r="CE62" s="62">
        <f t="shared" si="40"/>
        <v>301.26825075712128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9.2269249327792888</v>
      </c>
      <c r="CM62" s="23">
        <f>EXP(-LN(2)/2)*CM61+(1-EXP(-LN(2)/2))/(LN(2)/2)*CG62*CJ62*VLOOKUP('Données projet'!$B$12,Paramètres!$A$1:$I$89,3,0)*0.475*44/12</f>
        <v>4.2559255545164619E-4</v>
      </c>
      <c r="CN62" s="24">
        <f t="shared" si="12"/>
        <v>9.2273505253347405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10.464423076923076</v>
      </c>
      <c r="CT62" s="13">
        <f>IF('Données projet'!$A$140&gt;35,CT61+CS62-DB61,IF(A62&lt;'Données projet'!$A$140,$CQ$205^A62,IF(A62='Données projet'!$A$140,'Données projet'!$B$140,CT61+CS62-DB61)))</f>
        <v>343.03557692307703</v>
      </c>
      <c r="CU62" s="18">
        <f>CT62*VLOOKUP('Données projet'!$B$13,Paramètres!$A$1:$I$89,3,0)*VLOOKUP('Données projet'!$B$13,Paramètres!$A$1:$I$89,5,0)</f>
        <v>205.13527500000006</v>
      </c>
      <c r="CV62" s="14">
        <f t="shared" si="41"/>
        <v>50.871075132713329</v>
      </c>
      <c r="CW62" s="22">
        <f t="shared" si="13"/>
        <v>445.87772648114247</v>
      </c>
      <c r="CX62" s="62">
        <f t="shared" si="14"/>
        <v>739.21105981447579</v>
      </c>
      <c r="CY62" s="62">
        <f ca="1">AVERAGE(OFFSET($CX$3,0,0,'Données projet'!$E$13+1,1))-AVERAGE(OFFSET($H$3,0,0,'Données projet'!$E$13+1,1))</f>
        <v>260.02504691866199</v>
      </c>
      <c r="CZ62" s="62">
        <f t="shared" si="42"/>
        <v>270.11268336406368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5.6355414809375501</v>
      </c>
      <c r="DG62" s="23">
        <f>EXP(-LN(2)/25)*DG61+(1-EXP(-LN(2)/25))/(LN(2)/25)*Calculateur!DB62*Calculateur!DD62*VLOOKUP('Données projet'!$B$13,Paramètres!$A$1:$I$89,3,0)*0.475*44/12</f>
        <v>7.3553327896419534</v>
      </c>
      <c r="DH62" s="23">
        <f>EXP(-LN(2)/2)*DH61+(1-EXP(-LN(2)/2))/(LN(2)/2)*DB62*DE62*VLOOKUP('Données projet'!$B$13,Paramètres!$A$1:$I$89,3,0)*0.475*44/12</f>
        <v>2.7362239851810475E-4</v>
      </c>
      <c r="DI62" s="24">
        <f t="shared" si="15"/>
        <v>12.991147892978022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252.99999999999986</v>
      </c>
      <c r="DP62" s="18">
        <f>DO62*VLOOKUP('Données projet'!$B$14,Paramètres!$A$1:$I$89,3,0)*VLOOKUP('Données projet'!$B$14,Paramètres!$A$1:$I$89,5,0)</f>
        <v>201.28679999999989</v>
      </c>
      <c r="DQ62" s="14">
        <f t="shared" si="43"/>
        <v>50.026861773677616</v>
      </c>
      <c r="DR62" s="22">
        <f t="shared" si="16"/>
        <v>437.70462758915488</v>
      </c>
      <c r="DS62" s="62">
        <f t="shared" si="17"/>
        <v>731.0379609224882</v>
      </c>
      <c r="DT62" s="62">
        <f ca="1">AVERAGE(OFFSET($DS$3,0,0,'Données projet'!$E$14+1,1))-AVERAGE(OFFSET($H$3,0,0,'Données projet'!$E$14+1,1))</f>
        <v>312.53381881960331</v>
      </c>
      <c r="DU62" s="62">
        <f t="shared" si="44"/>
        <v>342.06887933351783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3.8</v>
      </c>
      <c r="EJ62" s="13">
        <f>IF('Données projet'!$A$192&gt;35,EJ61+EI62-ER61,IF(A62&lt;'Données projet'!$A$192,$EG$205^A62,IF(A62='Données projet'!$A$192,'Données projet'!$B$192,EJ61+EI62-ER61)))</f>
        <v>111.19999999999996</v>
      </c>
      <c r="EK62" s="18">
        <f>EJ62*VLOOKUP('Données projet'!$B$15,Paramètres!$A$1:$I$89,3,0)*VLOOKUP('Données projet'!$B$15,Paramètres!$A$1:$I$89,5,0)</f>
        <v>107.55263999999997</v>
      </c>
      <c r="EL62" s="14">
        <f t="shared" si="45"/>
        <v>28.753614564587743</v>
      </c>
      <c r="EM62" s="22">
        <f t="shared" si="19"/>
        <v>237.40006003332357</v>
      </c>
      <c r="EN62" s="62">
        <f t="shared" si="20"/>
        <v>530.73339336665686</v>
      </c>
      <c r="EO62" s="62">
        <f ca="1">AVERAGE(OFFSET($EN$3,0,0,'Données projet'!$E$15+1,1))-AVERAGE(OFFSET($H$3,0,0,'Données projet'!$E$15+1,1))</f>
        <v>255.59755832175625</v>
      </c>
      <c r="EP62" s="62">
        <f t="shared" si="46"/>
        <v>154.0840647586964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8.7272727272727266</v>
      </c>
      <c r="FE62" s="13">
        <f>IF('Données projet'!$A$218&gt;35,FE61+FD62-FM61,IF(A62&lt;'Données projet'!$A$218,$FB$205^A62,IF(A62='Données projet'!$A$218,'Données projet'!$B$218,FE61+FD62-FM61)))</f>
        <v>207.27272727272717</v>
      </c>
      <c r="FF62" s="18">
        <f>FE62*VLOOKUP('Données projet'!$B$16,Paramètres!$A$1:$I$89,3,0)*VLOOKUP('Données projet'!$B$16,Paramètres!$A$1:$I$89,5,0)</f>
        <v>123.94909090909086</v>
      </c>
      <c r="FG62" s="14">
        <f t="shared" si="47"/>
        <v>32.59431701721995</v>
      </c>
      <c r="FH62" s="22">
        <f t="shared" si="22"/>
        <v>272.64643547165798</v>
      </c>
      <c r="FI62" s="62">
        <f t="shared" si="23"/>
        <v>565.97976880499129</v>
      </c>
      <c r="FJ62" s="62">
        <f ca="1">AVERAGE(OFFSET($FI$3,0,0,'Données projet'!$E$16+1,1))-AVERAGE(OFFSET($H$3,0,0,'Données projet'!$E$16+1,1))</f>
        <v>197.08445731383847</v>
      </c>
      <c r="FK62" s="62">
        <f t="shared" si="48"/>
        <v>157.12482557016511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755.11439815081053</v>
      </c>
      <c r="S63" s="62">
        <f ca="1">AVERAGE(OFFSET($R$3,0,0,'Données projet'!$E$9+1,1))-AVERAGE(OFFSET($H$3,0,0,'Données projet'!$E$9+1,1))</f>
        <v>428.8489304403459</v>
      </c>
      <c r="T63" s="62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2">
        <f t="shared" si="5"/>
        <v>809.49621416941091</v>
      </c>
      <c r="AN63" s="62">
        <f ca="1">AVERAGE(OFFSET($AM$3,0,0,'Données projet'!$E$10+1,1))-AVERAGE(OFFSET($H$3,0,0,'Données projet'!$E$10+1,1))</f>
        <v>475.47920969424894</v>
      </c>
      <c r="AO63" s="62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10.737820512820514</v>
      </c>
      <c r="BD63" s="13">
        <f>IF('Données projet'!$A$88&gt;35,BD62+BC63-BL62,IF(A63&lt;'Données projet'!$A$88,$BA$205^A63,IF(A63='Données projet'!$A$88,'Données projet'!$B$88,BD62+BC63-BL62)))</f>
        <v>318.47884615384612</v>
      </c>
      <c r="BE63" s="14">
        <f>BD63*VLOOKUP('Données projet'!$B$11,Paramètres!$A$1:$I$89,3,0)*VLOOKUP('Données projet'!$B$11,Paramètres!$A$1:$I$89,5,0)</f>
        <v>149.04810000000001</v>
      </c>
      <c r="BF63" s="14">
        <f t="shared" si="37"/>
        <v>38.362182844758038</v>
      </c>
      <c r="BG63" s="22">
        <f t="shared" si="7"/>
        <v>326.40624262128694</v>
      </c>
      <c r="BH63" s="62">
        <f t="shared" si="8"/>
        <v>619.73957595462025</v>
      </c>
      <c r="BI63" s="62">
        <f ca="1">AVERAGE(OFFSET($BH$3,0,0,'Données projet'!$E$11+1,1))-AVERAGE(OFFSET($H$3,0,0,'Données projet'!$E$11+1,1))</f>
        <v>246.73711856758143</v>
      </c>
      <c r="BJ63" s="62">
        <f t="shared" si="38"/>
        <v>145.54897745089966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14.839560439560435</v>
      </c>
      <c r="BY63" s="13">
        <f>IF('Données projet'!$A$114&gt;35,BY62+BX63-CG62,IF(A63&lt;'Données projet'!$A$114,$BV$205^A63,IF(A63='Données projet'!$A$114,'Données projet'!$B$114,BY62+BX63-CG62)))</f>
        <v>411.19670329670333</v>
      </c>
      <c r="BZ63" s="14">
        <f>BY63*VLOOKUP('Données projet'!$B$12,Paramètres!$A$1:$I$89,3,0)*VLOOKUP('Données projet'!$B$12,Paramètres!$A$1:$I$89,5,0)</f>
        <v>229.85895714285718</v>
      </c>
      <c r="CA63" s="14">
        <f t="shared" si="39"/>
        <v>56.252183679167004</v>
      </c>
      <c r="CB63" s="22">
        <f t="shared" si="10"/>
        <v>498.31023693169209</v>
      </c>
      <c r="CC63" s="62">
        <f t="shared" si="11"/>
        <v>791.64357026502535</v>
      </c>
      <c r="CD63" s="62">
        <f ca="1">AVERAGE(OFFSET($CC$3,0,0,'Données projet'!$E$12+1,1))-AVERAGE(OFFSET($H$3,0,0,'Données projet'!$E$12+1,1))</f>
        <v>321.13335003345236</v>
      </c>
      <c r="CE63" s="62">
        <f t="shared" si="40"/>
        <v>301.26825075712128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8.9746141852695462</v>
      </c>
      <c r="CM63" s="23">
        <f>EXP(-LN(2)/2)*CM62+(1-EXP(-LN(2)/2))/(LN(2)/2)*CG63*CJ63*VLOOKUP('Données projet'!$B$12,Paramètres!$A$1:$I$89,3,0)*0.475*44/12</f>
        <v>3.0093938198237077E-4</v>
      </c>
      <c r="CN63" s="24">
        <f t="shared" si="12"/>
        <v>8.9749151246515293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353.5</v>
      </c>
      <c r="CR63" s="13">
        <f>VLOOKUP(A63,'Données projet'!$A$139:$I$159,9,0)</f>
        <v>10.464423076923076</v>
      </c>
      <c r="CS63" s="13">
        <f t="array" ref="CS63">INDEX(CR:CR,MIN(IF(ISNUMBER(CR63:CR259),ROW(CR63:CR259),"")))</f>
        <v>10.464423076923076</v>
      </c>
      <c r="CT63" s="13">
        <f>IF('Données projet'!$A$140&gt;35,CT62+CS63-DB62,IF(A63&lt;'Données projet'!$A$140,$CQ$205^A63,IF(A63='Données projet'!$A$140,'Données projet'!$B$140,CT62+CS63-DB62)))</f>
        <v>353.50000000000011</v>
      </c>
      <c r="CU63" s="18">
        <f>CT63*VLOOKUP('Données projet'!$B$13,Paramètres!$A$1:$I$89,3,0)*VLOOKUP('Données projet'!$B$13,Paramètres!$A$1:$I$89,5,0)</f>
        <v>211.39300000000009</v>
      </c>
      <c r="CV63" s="14">
        <f t="shared" si="41"/>
        <v>52.239874015944089</v>
      </c>
      <c r="CW63" s="22">
        <f t="shared" si="13"/>
        <v>459.16058891110282</v>
      </c>
      <c r="CX63" s="62">
        <f t="shared" si="14"/>
        <v>752.49392224443613</v>
      </c>
      <c r="CY63" s="62">
        <f ca="1">AVERAGE(OFFSET($CX$3,0,0,'Données projet'!$E$13+1,1))-AVERAGE(OFFSET($H$3,0,0,'Données projet'!$E$13+1,1))</f>
        <v>260.02504691866199</v>
      </c>
      <c r="CZ63" s="62">
        <f t="shared" si="42"/>
        <v>270.11268336406368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353.5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5.5250319498372589</v>
      </c>
      <c r="DG63" s="23">
        <f>EXP(-LN(2)/25)*DG62+(1-EXP(-LN(2)/25))/(LN(2)/25)*Calculateur!DB63*Calculateur!DD63*VLOOKUP('Données projet'!$B$13,Paramètres!$A$1:$I$89,3,0)*0.475*44/12</f>
        <v>7.1542008277090536</v>
      </c>
      <c r="DH63" s="23">
        <f>EXP(-LN(2)/2)*DH62+(1-EXP(-LN(2)/2))/(LN(2)/2)*DB63*DE63*VLOOKUP('Données projet'!$B$13,Paramètres!$A$1:$I$89,3,0)*0.475*44/12</f>
        <v>1.934802534766798E-4</v>
      </c>
      <c r="DI63" s="24">
        <f t="shared" si="15"/>
        <v>12.67942625779979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258</v>
      </c>
      <c r="DM63" s="13">
        <f>VLOOKUP(A63,'Données projet'!$A$165:$I$185,9,0)</f>
        <v>5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257.99999999999989</v>
      </c>
      <c r="DP63" s="18">
        <f>DO63*VLOOKUP('Données projet'!$B$14,Paramètres!$A$1:$I$89,3,0)*VLOOKUP('Données projet'!$B$14,Paramètres!$A$1:$I$89,5,0)</f>
        <v>205.26479999999995</v>
      </c>
      <c r="DQ63" s="14">
        <f t="shared" si="43"/>
        <v>50.899455886133694</v>
      </c>
      <c r="DR63" s="22">
        <f t="shared" si="16"/>
        <v>446.1527456683495</v>
      </c>
      <c r="DS63" s="62">
        <f t="shared" si="17"/>
        <v>739.48607900168281</v>
      </c>
      <c r="DT63" s="62">
        <f ca="1">AVERAGE(OFFSET($DS$3,0,0,'Données projet'!$E$14+1,1))-AVERAGE(OFFSET($H$3,0,0,'Données projet'!$E$14+1,1))</f>
        <v>312.53381881960331</v>
      </c>
      <c r="DU63" s="62">
        <f t="shared" si="44"/>
        <v>342.06887933351783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115</v>
      </c>
      <c r="EH63" s="13">
        <f>VLOOKUP(A63,'Données projet'!$A$191:$I$211,9,0)</f>
        <v>3.8</v>
      </c>
      <c r="EI63" s="13">
        <f t="array" ref="EI63">INDEX(EH:EH,MIN(IF(ISNUMBER(EH63:EH259),ROW(EH63:EH259),"")))</f>
        <v>3.8</v>
      </c>
      <c r="EJ63" s="13">
        <f>IF('Données projet'!$A$192&gt;35,EJ62+EI63-ER62,IF(A63&lt;'Données projet'!$A$192,$EG$205^A63,IF(A63='Données projet'!$A$192,'Données projet'!$B$192,EJ62+EI63-ER62)))</f>
        <v>114.99999999999996</v>
      </c>
      <c r="EK63" s="18">
        <f>EJ63*VLOOKUP('Données projet'!$B$15,Paramètres!$A$1:$I$89,3,0)*VLOOKUP('Données projet'!$B$15,Paramètres!$A$1:$I$89,5,0)</f>
        <v>111.22799999999995</v>
      </c>
      <c r="EL63" s="14">
        <f t="shared" si="45"/>
        <v>29.620123744783804</v>
      </c>
      <c r="EM63" s="22">
        <f t="shared" si="19"/>
        <v>245.31048218883168</v>
      </c>
      <c r="EN63" s="62">
        <f t="shared" si="20"/>
        <v>538.64381552216503</v>
      </c>
      <c r="EO63" s="62">
        <f ca="1">AVERAGE(OFFSET($EN$3,0,0,'Données projet'!$E$15+1,1))-AVERAGE(OFFSET($H$3,0,0,'Données projet'!$E$15+1,1))</f>
        <v>255.59755832175625</v>
      </c>
      <c r="EP63" s="62">
        <f t="shared" si="46"/>
        <v>154.0840647586964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216</v>
      </c>
      <c r="FC63" s="13">
        <f>VLOOKUP(A63,'Données projet'!$A$217:$I$237,9,0)</f>
        <v>8.7272727272727266</v>
      </c>
      <c r="FD63" s="13">
        <f t="array" ref="FD63">INDEX(FC:FC,MIN(IF(ISNUMBER(FC63:FC259),ROW(FC63:FC259),"")))</f>
        <v>8.7272727272727266</v>
      </c>
      <c r="FE63" s="13">
        <f>IF('Données projet'!$A$218&gt;35,FE62+FD63-FM62,IF(A63&lt;'Données projet'!$A$218,$FB$205^A63,IF(A63='Données projet'!$A$218,'Données projet'!$B$218,FE62+FD63-FM62)))</f>
        <v>215.99999999999989</v>
      </c>
      <c r="FF63" s="18">
        <f>FE63*VLOOKUP('Données projet'!$B$16,Paramètres!$A$1:$I$89,3,0)*VLOOKUP('Données projet'!$B$16,Paramètres!$A$1:$I$89,5,0)</f>
        <v>129.16799999999995</v>
      </c>
      <c r="FG63" s="14">
        <f t="shared" si="47"/>
        <v>33.804036779774435</v>
      </c>
      <c r="FH63" s="22">
        <f t="shared" si="22"/>
        <v>283.84296405810704</v>
      </c>
      <c r="FI63" s="62">
        <f t="shared" si="23"/>
        <v>577.17629739144036</v>
      </c>
      <c r="FJ63" s="62">
        <f ca="1">AVERAGE(OFFSET($FI$3,0,0,'Données projet'!$E$16+1,1))-AVERAGE(OFFSET($H$3,0,0,'Données projet'!$E$16+1,1))</f>
        <v>197.08445731383847</v>
      </c>
      <c r="FK63" s="62">
        <f t="shared" si="48"/>
        <v>157.12482557016511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71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428.8489304403459</v>
      </c>
      <c r="T64" s="62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475.47920969424894</v>
      </c>
      <c r="AO64" s="62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10.737820512820514</v>
      </c>
      <c r="BD64" s="13">
        <f>IF('Données projet'!$A$88&gt;35,BD63+BC64-BL63,IF(A64&lt;'Données projet'!$A$88,$BA$205^A64,IF(A64='Données projet'!$A$88,'Données projet'!$B$88,BD63+BC64-BL63)))</f>
        <v>329.21666666666664</v>
      </c>
      <c r="BE64" s="14">
        <f>BD64*VLOOKUP('Données projet'!$B$11,Paramètres!$A$1:$I$89,3,0)*VLOOKUP('Données projet'!$B$11,Paramètres!$A$1:$I$89,5,0)</f>
        <v>154.07339999999999</v>
      </c>
      <c r="BF64" s="14">
        <f t="shared" si="37"/>
        <v>39.502831922454014</v>
      </c>
      <c r="BG64" s="22">
        <f t="shared" si="7"/>
        <v>337.14527059827407</v>
      </c>
      <c r="BH64" s="62">
        <f t="shared" si="8"/>
        <v>630.47860393160738</v>
      </c>
      <c r="BI64" s="62">
        <f ca="1">AVERAGE(OFFSET($BH$3,0,0,'Données projet'!$E$11+1,1))-AVERAGE(OFFSET($H$3,0,0,'Données projet'!$E$11+1,1))</f>
        <v>246.73711856758143</v>
      </c>
      <c r="BJ64" s="62">
        <f t="shared" si="38"/>
        <v>145.54897745089966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14.839560439560435</v>
      </c>
      <c r="BY64" s="13">
        <f>IF('Données projet'!$A$114&gt;35,BY63+BX64-CG63,IF(A64&lt;'Données projet'!$A$114,$BV$205^A64,IF(A64='Données projet'!$A$114,'Données projet'!$B$114,BY63+BX64-CG63)))</f>
        <v>426.03626373626378</v>
      </c>
      <c r="BZ64" s="14">
        <f>BY64*VLOOKUP('Données projet'!$B$12,Paramètres!$A$1:$I$89,3,0)*VLOOKUP('Données projet'!$B$12,Paramètres!$A$1:$I$89,5,0)</f>
        <v>238.15427142857146</v>
      </c>
      <c r="CA64" s="14">
        <f t="shared" si="39"/>
        <v>58.042234732541061</v>
      </c>
      <c r="CB64" s="22">
        <f t="shared" si="10"/>
        <v>515.87558156393777</v>
      </c>
      <c r="CC64" s="62">
        <f t="shared" si="11"/>
        <v>809.20891489727114</v>
      </c>
      <c r="CD64" s="62">
        <f ca="1">AVERAGE(OFFSET($CC$3,0,0,'Données projet'!$E$12+1,1))-AVERAGE(OFFSET($H$3,0,0,'Données projet'!$E$12+1,1))</f>
        <v>321.13335003345236</v>
      </c>
      <c r="CE64" s="62">
        <f t="shared" si="40"/>
        <v>301.26825075712128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8.7292028884189019</v>
      </c>
      <c r="CM64" s="23">
        <f>EXP(-LN(2)/2)*CM63+(1-EXP(-LN(2)/2))/(LN(2)/2)*CG64*CJ64*VLOOKUP('Données projet'!$B$12,Paramètres!$A$1:$I$89,3,0)*0.475*44/12</f>
        <v>2.1279627772582309E-4</v>
      </c>
      <c r="CN64" s="24">
        <f t="shared" si="12"/>
        <v>8.7294156846966278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1.1368683772161603E-13</v>
      </c>
      <c r="CU64" s="18">
        <f>CT64*VLOOKUP('Données projet'!$B$13,Paramètres!$A$1:$I$89,3,0)*VLOOKUP('Données projet'!$B$13,Paramètres!$A$1:$I$89,5,0)</f>
        <v>6.7984728957526396E-14</v>
      </c>
      <c r="CV64" s="14">
        <f t="shared" si="41"/>
        <v>1.0682447123141398E-12</v>
      </c>
      <c r="CW64" s="22">
        <f t="shared" si="13"/>
        <v>1.978932943548152E-12</v>
      </c>
      <c r="CX64" s="62">
        <f t="shared" si="14"/>
        <v>293.3333333333353</v>
      </c>
      <c r="CY64" s="62">
        <f ca="1">AVERAGE(OFFSET($CX$3,0,0,'Données projet'!$E$13+1,1))-AVERAGE(OFFSET($H$3,0,0,'Données projet'!$E$13+1,1))</f>
        <v>260.02504691866199</v>
      </c>
      <c r="CZ64" s="62">
        <f t="shared" si="42"/>
        <v>270.11268336406368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5.4166894432376864</v>
      </c>
      <c r="DG64" s="23">
        <f>EXP(-LN(2)/25)*DG63+(1-EXP(-LN(2)/25))/(LN(2)/25)*Calculateur!DB64*Calculateur!DD64*VLOOKUP('Données projet'!$B$13,Paramètres!$A$1:$I$89,3,0)*0.475*44/12</f>
        <v>6.958568829852279</v>
      </c>
      <c r="DH64" s="23">
        <f>EXP(-LN(2)/2)*DH63+(1-EXP(-LN(2)/2))/(LN(2)/2)*DB64*DE64*VLOOKUP('Données projet'!$B$13,Paramètres!$A$1:$I$89,3,0)*0.475*44/12</f>
        <v>1.3681119925905238E-4</v>
      </c>
      <c r="DI64" s="24">
        <f t="shared" si="15"/>
        <v>12.375395084289224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4.4000000000000004</v>
      </c>
      <c r="DO64" s="13">
        <f>IF('Données projet'!$A$166&gt;35,DO63+DN64-DW63,IF(A64&lt;'Données projet'!$A$166,$DL$205^A64,IF(A64='Données projet'!$A$166,'Données projet'!$B$166,DO63+DN64-DW63)))</f>
        <v>237.39999999999986</v>
      </c>
      <c r="DP64" s="18">
        <f>DO64*VLOOKUP('Données projet'!$B$14,Paramètres!$A$1:$I$89,3,0)*VLOOKUP('Données projet'!$B$14,Paramètres!$A$1:$I$89,5,0)</f>
        <v>188.87543999999988</v>
      </c>
      <c r="DQ64" s="14">
        <f t="shared" si="43"/>
        <v>47.291242769027726</v>
      </c>
      <c r="DR64" s="22">
        <f t="shared" si="16"/>
        <v>411.32363915605634</v>
      </c>
      <c r="DS64" s="62">
        <f t="shared" si="17"/>
        <v>704.65697248938966</v>
      </c>
      <c r="DT64" s="62">
        <f ca="1">AVERAGE(OFFSET($DS$3,0,0,'Données projet'!$E$14+1,1))-AVERAGE(OFFSET($H$3,0,0,'Données projet'!$E$14+1,1))</f>
        <v>312.53381881960331</v>
      </c>
      <c r="DU64" s="62">
        <f t="shared" si="44"/>
        <v>342.06887933351783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3.8</v>
      </c>
      <c r="EJ64" s="13">
        <f>IF('Données projet'!$A$192&gt;35,EJ63+EI64-ER63,IF(A64&lt;'Données projet'!$A$192,$EG$205^A64,IF(A64='Données projet'!$A$192,'Données projet'!$B$192,EJ63+EI64-ER63)))</f>
        <v>118.79999999999995</v>
      </c>
      <c r="EK64" s="18">
        <f>EJ64*VLOOKUP('Données projet'!$B$15,Paramètres!$A$1:$I$89,3,0)*VLOOKUP('Données projet'!$B$15,Paramètres!$A$1:$I$89,5,0)</f>
        <v>114.90335999999996</v>
      </c>
      <c r="EL64" s="14">
        <f t="shared" si="45"/>
        <v>30.483305866236858</v>
      </c>
      <c r="EM64" s="22">
        <f t="shared" si="19"/>
        <v>253.21510971702909</v>
      </c>
      <c r="EN64" s="62">
        <f t="shared" si="20"/>
        <v>546.54844305036238</v>
      </c>
      <c r="EO64" s="62">
        <f ca="1">AVERAGE(OFFSET($EN$3,0,0,'Données projet'!$E$15+1,1))-AVERAGE(OFFSET($H$3,0,0,'Données projet'!$E$15+1,1))</f>
        <v>255.59755832175625</v>
      </c>
      <c r="EP64" s="62">
        <f t="shared" si="46"/>
        <v>154.0840647586964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7.9230769230769234</v>
      </c>
      <c r="FE64" s="13">
        <f>IF('Données projet'!$A$218&gt;35,FE63+FD64-FM63,IF(A64&lt;'Données projet'!$A$218,$FB$205^A64,IF(A64='Données projet'!$A$218,'Données projet'!$B$218,FE63+FD64-FM63)))</f>
        <v>152.92307692307682</v>
      </c>
      <c r="FF64" s="18">
        <f>FE64*VLOOKUP('Données projet'!$B$16,Paramètres!$A$1:$I$89,3,0)*VLOOKUP('Données projet'!$B$16,Paramètres!$A$1:$I$89,5,0)</f>
        <v>91.447999999999936</v>
      </c>
      <c r="FG64" s="14">
        <f t="shared" si="47"/>
        <v>24.914122664624198</v>
      </c>
      <c r="FH64" s="22">
        <f t="shared" si="22"/>
        <v>202.6640303075537</v>
      </c>
      <c r="FI64" s="62">
        <f t="shared" si="23"/>
        <v>495.99736364088699</v>
      </c>
      <c r="FJ64" s="62">
        <f ca="1">AVERAGE(OFFSET($FI$3,0,0,'Données projet'!$E$16+1,1))-AVERAGE(OFFSET($H$3,0,0,'Données projet'!$E$16+1,1))</f>
        <v>197.08445731383847</v>
      </c>
      <c r="FK64" s="62">
        <f t="shared" si="48"/>
        <v>157.12482557016511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428.8489304403459</v>
      </c>
      <c r="T65" s="62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475.47920969424894</v>
      </c>
      <c r="AO65" s="62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10.737820512820514</v>
      </c>
      <c r="BD65" s="13">
        <f>IF('Données projet'!$A$88&gt;35,BD64+BC65-BL64,IF(A65&lt;'Données projet'!$A$88,$BA$205^A65,IF(A65='Données projet'!$A$88,'Données projet'!$B$88,BD64+BC65-BL64)))</f>
        <v>339.95448717948716</v>
      </c>
      <c r="BE65" s="14">
        <f>BD65*VLOOKUP('Données projet'!$B$11,Paramètres!$A$1:$I$89,3,0)*VLOOKUP('Données projet'!$B$11,Paramètres!$A$1:$I$89,5,0)</f>
        <v>159.09869999999998</v>
      </c>
      <c r="BF65" s="14">
        <f t="shared" si="37"/>
        <v>40.639157887301629</v>
      </c>
      <c r="BG65" s="22">
        <f t="shared" si="7"/>
        <v>347.87676915371691</v>
      </c>
      <c r="BH65" s="62">
        <f t="shared" si="8"/>
        <v>641.21010248705022</v>
      </c>
      <c r="BI65" s="62">
        <f ca="1">AVERAGE(OFFSET($BH$3,0,0,'Données projet'!$E$11+1,1))-AVERAGE(OFFSET($H$3,0,0,'Données projet'!$E$11+1,1))</f>
        <v>246.73711856758143</v>
      </c>
      <c r="BJ65" s="62">
        <f t="shared" si="38"/>
        <v>145.54897745089966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14.839560439560435</v>
      </c>
      <c r="BY65" s="13">
        <f>IF('Données projet'!$A$114&gt;35,BY64+BX65-CG64,IF(A65&lt;'Données projet'!$A$114,$BV$205^A65,IF(A65='Données projet'!$A$114,'Données projet'!$B$114,BY64+BX65-CG64)))</f>
        <v>440.87582417582422</v>
      </c>
      <c r="BZ65" s="14">
        <f>BY65*VLOOKUP('Données projet'!$B$12,Paramètres!$A$1:$I$89,3,0)*VLOOKUP('Données projet'!$B$12,Paramètres!$A$1:$I$89,5,0)</f>
        <v>246.44958571428575</v>
      </c>
      <c r="CA65" s="14">
        <f t="shared" si="39"/>
        <v>59.825041333918982</v>
      </c>
      <c r="CB65" s="22">
        <f t="shared" si="10"/>
        <v>533.42830877562324</v>
      </c>
      <c r="CC65" s="62">
        <f t="shared" si="11"/>
        <v>826.76164210895649</v>
      </c>
      <c r="CD65" s="62">
        <f ca="1">AVERAGE(OFFSET($CC$3,0,0,'Données projet'!$E$12+1,1))-AVERAGE(OFFSET($H$3,0,0,'Données projet'!$E$12+1,1))</f>
        <v>321.13335003345236</v>
      </c>
      <c r="CE65" s="62">
        <f t="shared" si="40"/>
        <v>301.26825075712128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8.4905023763862584</v>
      </c>
      <c r="CM65" s="23">
        <f>EXP(-LN(2)/2)*CM64+(1-EXP(-LN(2)/2))/(LN(2)/2)*CG65*CJ65*VLOOKUP('Données projet'!$B$12,Paramètres!$A$1:$I$89,3,0)*0.475*44/12</f>
        <v>1.5046969099118538E-4</v>
      </c>
      <c r="CN65" s="24">
        <f t="shared" si="12"/>
        <v>8.4906528460772499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1.1368683772161603E-13</v>
      </c>
      <c r="CU65" s="18">
        <f>CT65*VLOOKUP('Données projet'!$B$13,Paramètres!$A$1:$I$89,3,0)*VLOOKUP('Données projet'!$B$13,Paramètres!$A$1:$I$89,5,0)</f>
        <v>6.7984728957526396E-14</v>
      </c>
      <c r="CV65" s="14">
        <f t="shared" si="41"/>
        <v>1.0682447123141398E-12</v>
      </c>
      <c r="CW65" s="22">
        <f t="shared" si="13"/>
        <v>1.978932943548152E-12</v>
      </c>
      <c r="CX65" s="62">
        <f t="shared" si="14"/>
        <v>293.3333333333353</v>
      </c>
      <c r="CY65" s="62">
        <f ca="1">AVERAGE(OFFSET($CX$3,0,0,'Données projet'!$E$13+1,1))-AVERAGE(OFFSET($H$3,0,0,'Données projet'!$E$13+1,1))</f>
        <v>260.02504691866199</v>
      </c>
      <c r="CZ65" s="62">
        <f t="shared" si="42"/>
        <v>270.11268336406368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5.3104714671101272</v>
      </c>
      <c r="DG65" s="23">
        <f>EXP(-LN(2)/25)*DG64+(1-EXP(-LN(2)/25))/(LN(2)/25)*Calculateur!DB65*Calculateur!DD65*VLOOKUP('Données projet'!$B$13,Paramètres!$A$1:$I$89,3,0)*0.475*44/12</f>
        <v>6.7682863992647375</v>
      </c>
      <c r="DH65" s="23">
        <f>EXP(-LN(2)/2)*DH64+(1-EXP(-LN(2)/2))/(LN(2)/2)*DB65*DE65*VLOOKUP('Données projet'!$B$13,Paramètres!$A$1:$I$89,3,0)*0.475*44/12</f>
        <v>9.6740126738339901E-5</v>
      </c>
      <c r="DI65" s="24">
        <f t="shared" si="15"/>
        <v>12.078854606501602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4.4000000000000004</v>
      </c>
      <c r="DO65" s="13">
        <f>IF('Données projet'!$A$166&gt;35,DO64+DN65-DW64,IF(A65&lt;'Données projet'!$A$166,$DL$205^A65,IF(A65='Données projet'!$A$166,'Données projet'!$B$166,DO64+DN65-DW64)))</f>
        <v>241.79999999999987</v>
      </c>
      <c r="DP65" s="18">
        <f>DO65*VLOOKUP('Données projet'!$B$14,Paramètres!$A$1:$I$89,3,0)*VLOOKUP('Données projet'!$B$14,Paramètres!$A$1:$I$89,5,0)</f>
        <v>192.37607999999992</v>
      </c>
      <c r="DQ65" s="14">
        <f t="shared" si="43"/>
        <v>48.064889828485896</v>
      </c>
      <c r="DR65" s="22">
        <f t="shared" si="16"/>
        <v>418.76802245127942</v>
      </c>
      <c r="DS65" s="62">
        <f t="shared" si="17"/>
        <v>712.10135578461268</v>
      </c>
      <c r="DT65" s="62">
        <f ca="1">AVERAGE(OFFSET($DS$3,0,0,'Données projet'!$E$14+1,1))-AVERAGE(OFFSET($H$3,0,0,'Données projet'!$E$14+1,1))</f>
        <v>312.53381881960331</v>
      </c>
      <c r="DU65" s="62">
        <f t="shared" si="44"/>
        <v>342.06887933351783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3.8</v>
      </c>
      <c r="EJ65" s="13">
        <f>IF('Données projet'!$A$192&gt;35,EJ64+EI65-ER64,IF(A65&lt;'Données projet'!$A$192,$EG$205^A65,IF(A65='Données projet'!$A$192,'Données projet'!$B$192,EJ64+EI65-ER64)))</f>
        <v>122.59999999999995</v>
      </c>
      <c r="EK65" s="18">
        <f>EJ65*VLOOKUP('Données projet'!$B$15,Paramètres!$A$1:$I$89,3,0)*VLOOKUP('Données projet'!$B$15,Paramètres!$A$1:$I$89,5,0)</f>
        <v>118.57871999999996</v>
      </c>
      <c r="EL65" s="14">
        <f t="shared" si="45"/>
        <v>31.343279557590108</v>
      </c>
      <c r="EM65" s="22">
        <f t="shared" si="19"/>
        <v>261.11414922946938</v>
      </c>
      <c r="EN65" s="62">
        <f t="shared" si="20"/>
        <v>554.44748256280263</v>
      </c>
      <c r="EO65" s="62">
        <f ca="1">AVERAGE(OFFSET($EN$3,0,0,'Données projet'!$E$15+1,1))-AVERAGE(OFFSET($H$3,0,0,'Données projet'!$E$15+1,1))</f>
        <v>255.59755832175625</v>
      </c>
      <c r="EP65" s="62">
        <f t="shared" si="46"/>
        <v>154.0840647586964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7.9230769230769234</v>
      </c>
      <c r="FE65" s="13">
        <f>IF('Données projet'!$A$218&gt;35,FE64+FD65-FM64,IF(A65&lt;'Données projet'!$A$218,$FB$205^A65,IF(A65='Données projet'!$A$218,'Données projet'!$B$218,FE64+FD65-FM64)))</f>
        <v>160.84615384615375</v>
      </c>
      <c r="FF65" s="18">
        <f>FE65*VLOOKUP('Données projet'!$B$16,Paramètres!$A$1:$I$89,3,0)*VLOOKUP('Données projet'!$B$16,Paramètres!$A$1:$I$89,5,0)</f>
        <v>96.18599999999995</v>
      </c>
      <c r="FG65" s="14">
        <f t="shared" si="47"/>
        <v>26.051318487555619</v>
      </c>
      <c r="FH65" s="22">
        <f t="shared" si="22"/>
        <v>212.8966630324926</v>
      </c>
      <c r="FI65" s="62">
        <f t="shared" si="23"/>
        <v>506.22999636582591</v>
      </c>
      <c r="FJ65" s="62">
        <f ca="1">AVERAGE(OFFSET($FI$3,0,0,'Données projet'!$E$16+1,1))-AVERAGE(OFFSET($H$3,0,0,'Données projet'!$E$16+1,1))</f>
        <v>197.08445731383847</v>
      </c>
      <c r="FK65" s="62">
        <f t="shared" si="48"/>
        <v>157.12482557016511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428.8489304403459</v>
      </c>
      <c r="T66" s="62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475.47920969424894</v>
      </c>
      <c r="AO66" s="62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350.69230769230768</v>
      </c>
      <c r="BB66" s="13">
        <f>VLOOKUP(A66,'Données projet'!$A$87:$I$107,9,0)</f>
        <v>10.737820512820514</v>
      </c>
      <c r="BC66" s="13">
        <f t="array" ref="BC66">INDEX(BB:BB,MIN(IF(ISNUMBER(BB66:BB262),ROW(BB66:BB262),"")))</f>
        <v>10.737820512820514</v>
      </c>
      <c r="BD66" s="13">
        <f>IF('Données projet'!$A$88&gt;35,BD65+BC66-BL65,IF(A66&lt;'Données projet'!$A$88,$BA$205^A66,IF(A66='Données projet'!$A$88,'Données projet'!$B$88,BD65+BC66-BL65)))</f>
        <v>350.69230769230768</v>
      </c>
      <c r="BE66" s="14">
        <f>BD66*VLOOKUP('Données projet'!$B$11,Paramètres!$A$1:$I$89,3,0)*VLOOKUP('Données projet'!$B$11,Paramètres!$A$1:$I$89,5,0)</f>
        <v>164.124</v>
      </c>
      <c r="BF66" s="14">
        <f t="shared" si="37"/>
        <v>41.771312955270567</v>
      </c>
      <c r="BG66" s="22">
        <f t="shared" si="7"/>
        <v>358.60100339709624</v>
      </c>
      <c r="BH66" s="62">
        <f t="shared" si="8"/>
        <v>651.93433673042955</v>
      </c>
      <c r="BI66" s="62">
        <f ca="1">AVERAGE(OFFSET($BH$3,0,0,'Données projet'!$E$11+1,1))-AVERAGE(OFFSET($H$3,0,0,'Données projet'!$E$11+1,1))</f>
        <v>246.73711856758143</v>
      </c>
      <c r="BJ66" s="62">
        <f t="shared" si="38"/>
        <v>145.54897745089966</v>
      </c>
      <c r="BK66" s="16">
        <f>IF(ISNA(VLOOKUP(A66,'Données projet'!$A$87:$I$107,3,0)),0,VLOOKUP(A66,'Données projet'!$A$87:$I$107,3,0))</f>
        <v>2</v>
      </c>
      <c r="BL66" s="16">
        <f>IF(ISNA(VLOOKUP(A66,'Données projet'!$A$87:$I$107,4,0)),0,VLOOKUP(A66,'Données projet'!$A$87:$I$107,4,0))</f>
        <v>108.08461538461538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455.71538461538455</v>
      </c>
      <c r="BW66" s="13">
        <f>VLOOKUP(A66,'Données projet'!$A$113:$I$133,9,0)</f>
        <v>14.839560439560435</v>
      </c>
      <c r="BX66" s="13">
        <f t="array" ref="BX66">INDEX(BW:BW,MIN(IF(ISNUMBER(BW66:BW262),ROW(BW66:BW262),"")))</f>
        <v>14.839560439560435</v>
      </c>
      <c r="BY66" s="13">
        <f>IF('Données projet'!$A$114&gt;35,BY65+BX66-CG65,IF(A66&lt;'Données projet'!$A$114,$BV$205^A66,IF(A66='Données projet'!$A$114,'Données projet'!$B$114,BY65+BX66-CG65)))</f>
        <v>455.71538461538466</v>
      </c>
      <c r="BZ66" s="14">
        <f>BY66*VLOOKUP('Données projet'!$B$12,Paramètres!$A$1:$I$89,3,0)*VLOOKUP('Données projet'!$B$12,Paramètres!$A$1:$I$89,5,0)</f>
        <v>254.74490000000003</v>
      </c>
      <c r="CA66" s="14">
        <f t="shared" si="39"/>
        <v>61.600875281297732</v>
      </c>
      <c r="CB66" s="22">
        <f t="shared" si="10"/>
        <v>550.96889194826019</v>
      </c>
      <c r="CC66" s="62">
        <f t="shared" si="11"/>
        <v>844.30222528159356</v>
      </c>
      <c r="CD66" s="62">
        <f ca="1">AVERAGE(OFFSET($CC$3,0,0,'Données projet'!$E$12+1,1))-AVERAGE(OFFSET($H$3,0,0,'Données projet'!$E$12+1,1))</f>
        <v>321.13335003345236</v>
      </c>
      <c r="CE66" s="62">
        <f t="shared" si="40"/>
        <v>301.26825075712128</v>
      </c>
      <c r="CF66" s="16">
        <f>IF(ISNA(VLOOKUP(A66,'Données projet'!$A$113:$I$133,3,0)),0,VLOOKUP(A66,'Données projet'!$A$113:$I$133,3,0))</f>
        <v>7</v>
      </c>
      <c r="CG66" s="16">
        <f>IF(ISNA(VLOOKUP(A66,'Données projet'!$A$113:$I$133,4,0)),0,VLOOKUP(A66,'Données projet'!$A$113:$I$133,4,0))</f>
        <v>79.723076923076917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8.2583291424078613</v>
      </c>
      <c r="CM66" s="23">
        <f>EXP(-LN(2)/2)*CM65+(1-EXP(-LN(2)/2))/(LN(2)/2)*CG66*CJ66*VLOOKUP('Données projet'!$B$12,Paramètres!$A$1:$I$89,3,0)*0.475*44/12</f>
        <v>1.0639813886291155E-4</v>
      </c>
      <c r="CN66" s="24">
        <f t="shared" si="12"/>
        <v>8.2584355405467242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1.1368683772161603E-13</v>
      </c>
      <c r="CU66" s="18">
        <f>CT66*VLOOKUP('Données projet'!$B$13,Paramètres!$A$1:$I$89,3,0)*VLOOKUP('Données projet'!$B$13,Paramètres!$A$1:$I$89,5,0)</f>
        <v>6.7984728957526396E-14</v>
      </c>
      <c r="CV66" s="14">
        <f t="shared" si="41"/>
        <v>1.0682447123141398E-12</v>
      </c>
      <c r="CW66" s="22">
        <f t="shared" si="13"/>
        <v>1.978932943548152E-12</v>
      </c>
      <c r="CX66" s="62">
        <f t="shared" si="14"/>
        <v>293.3333333333353</v>
      </c>
      <c r="CY66" s="62">
        <f ca="1">AVERAGE(OFFSET($CX$3,0,0,'Données projet'!$E$13+1,1))-AVERAGE(OFFSET($H$3,0,0,'Données projet'!$E$13+1,1))</f>
        <v>260.02504691866199</v>
      </c>
      <c r="CZ66" s="62">
        <f t="shared" si="42"/>
        <v>270.11268336406368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5.2063363607078612</v>
      </c>
      <c r="DG66" s="23">
        <f>EXP(-LN(2)/25)*DG65+(1-EXP(-LN(2)/25))/(LN(2)/25)*Calculateur!DB66*Calculateur!DD66*VLOOKUP('Données projet'!$B$13,Paramètres!$A$1:$I$89,3,0)*0.475*44/12</f>
        <v>6.5832072517481306</v>
      </c>
      <c r="DH66" s="23">
        <f>EXP(-LN(2)/2)*DH65+(1-EXP(-LN(2)/2))/(LN(2)/2)*DB66*DE66*VLOOKUP('Données projet'!$B$13,Paramètres!$A$1:$I$89,3,0)*0.475*44/12</f>
        <v>6.8405599629526188E-5</v>
      </c>
      <c r="DI66" s="24">
        <f t="shared" si="15"/>
        <v>11.789612018055621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4.4000000000000004</v>
      </c>
      <c r="DO66" s="13">
        <f>IF('Données projet'!$A$166&gt;35,DO65+DN66-DW65,IF(A66&lt;'Données projet'!$A$166,$DL$205^A66,IF(A66='Données projet'!$A$166,'Données projet'!$B$166,DO65+DN66-DW65)))</f>
        <v>246.19999999999987</v>
      </c>
      <c r="DP66" s="18">
        <f>DO66*VLOOKUP('Données projet'!$B$14,Paramètres!$A$1:$I$89,3,0)*VLOOKUP('Données projet'!$B$14,Paramètres!$A$1:$I$89,5,0)</f>
        <v>195.87671999999992</v>
      </c>
      <c r="DQ66" s="14">
        <f t="shared" si="43"/>
        <v>48.836899853879942</v>
      </c>
      <c r="DR66" s="22">
        <f t="shared" si="16"/>
        <v>426.20955457884071</v>
      </c>
      <c r="DS66" s="62">
        <f t="shared" si="17"/>
        <v>719.54288791217402</v>
      </c>
      <c r="DT66" s="62">
        <f ca="1">AVERAGE(OFFSET($DS$3,0,0,'Données projet'!$E$14+1,1))-AVERAGE(OFFSET($H$3,0,0,'Données projet'!$E$14+1,1))</f>
        <v>312.53381881960331</v>
      </c>
      <c r="DU66" s="62">
        <f t="shared" si="44"/>
        <v>342.06887933351783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3.8</v>
      </c>
      <c r="EJ66" s="13">
        <f>IF('Données projet'!$A$192&gt;35,EJ65+EI66-ER65,IF(A66&lt;'Données projet'!$A$192,$EG$205^A66,IF(A66='Données projet'!$A$192,'Données projet'!$B$192,EJ65+EI66-ER65)))</f>
        <v>126.39999999999995</v>
      </c>
      <c r="EK66" s="18">
        <f>EJ66*VLOOKUP('Données projet'!$B$15,Paramètres!$A$1:$I$89,3,0)*VLOOKUP('Données projet'!$B$15,Paramètres!$A$1:$I$89,5,0)</f>
        <v>122.25407999999995</v>
      </c>
      <c r="EL66" s="14">
        <f t="shared" si="45"/>
        <v>32.20015567592624</v>
      </c>
      <c r="EM66" s="22">
        <f t="shared" si="19"/>
        <v>269.0077938022381</v>
      </c>
      <c r="EN66" s="62">
        <f t="shared" si="20"/>
        <v>562.34112713557147</v>
      </c>
      <c r="EO66" s="62">
        <f ca="1">AVERAGE(OFFSET($EN$3,0,0,'Données projet'!$E$15+1,1))-AVERAGE(OFFSET($H$3,0,0,'Données projet'!$E$15+1,1))</f>
        <v>255.59755832175625</v>
      </c>
      <c r="EP66" s="62">
        <f t="shared" si="46"/>
        <v>154.0840647586964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7.9230769230769234</v>
      </c>
      <c r="FE66" s="13">
        <f>IF('Données projet'!$A$218&gt;35,FE65+FD66-FM65,IF(A66&lt;'Données projet'!$A$218,$FB$205^A66,IF(A66='Données projet'!$A$218,'Données projet'!$B$218,FE65+FD66-FM65)))</f>
        <v>168.76923076923069</v>
      </c>
      <c r="FF66" s="18">
        <f>FE66*VLOOKUP('Données projet'!$B$16,Paramètres!$A$1:$I$89,3,0)*VLOOKUP('Données projet'!$B$16,Paramètres!$A$1:$I$89,5,0)</f>
        <v>100.92399999999996</v>
      </c>
      <c r="FG66" s="14">
        <f t="shared" si="47"/>
        <v>27.18200983276283</v>
      </c>
      <c r="FH66" s="22">
        <f t="shared" si="22"/>
        <v>223.11796712539521</v>
      </c>
      <c r="FI66" s="62">
        <f t="shared" si="23"/>
        <v>516.4513004587285</v>
      </c>
      <c r="FJ66" s="62">
        <f ca="1">AVERAGE(OFFSET($FI$3,0,0,'Données projet'!$E$16+1,1))-AVERAGE(OFFSET($H$3,0,0,'Données projet'!$E$16+1,1))</f>
        <v>197.08445731383847</v>
      </c>
      <c r="FK66" s="62">
        <f t="shared" si="48"/>
        <v>157.12482557016511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428.8489304403459</v>
      </c>
      <c r="T67" s="62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475.47920969424894</v>
      </c>
      <c r="AO67" s="62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9.8224358974358967</v>
      </c>
      <c r="BD67" s="13">
        <f>IF('Données projet'!$A$88&gt;35,BD66+BC67-BL66,IF(A67&lt;'Données projet'!$A$88,$BA$205^A67,IF(A67='Données projet'!$A$88,'Données projet'!$B$88,BD66+BC67-BL66)))</f>
        <v>252.43012820512823</v>
      </c>
      <c r="BE67" s="14">
        <f>BD67*VLOOKUP('Données projet'!$B$11,Paramètres!$A$1:$I$89,3,0)*VLOOKUP('Données projet'!$B$11,Paramètres!$A$1:$I$89,5,0)</f>
        <v>118.13730000000001</v>
      </c>
      <c r="BF67" s="14">
        <f t="shared" si="37"/>
        <v>31.240160341179919</v>
      </c>
      <c r="BG67" s="22">
        <f t="shared" si="7"/>
        <v>260.16574342755501</v>
      </c>
      <c r="BH67" s="62">
        <f t="shared" si="8"/>
        <v>553.49907676088833</v>
      </c>
      <c r="BI67" s="62">
        <f ca="1">AVERAGE(OFFSET($BH$3,0,0,'Données projet'!$E$11+1,1))-AVERAGE(OFFSET($H$3,0,0,'Données projet'!$E$11+1,1))</f>
        <v>246.73711856758143</v>
      </c>
      <c r="BJ67" s="62">
        <f t="shared" si="38"/>
        <v>145.54897745089966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13.296703296703299</v>
      </c>
      <c r="BY67" s="13">
        <f>IF('Données projet'!$A$114&gt;35,BY66+BX67-CG66,IF(A67&lt;'Données projet'!$A$114,$BV$205^A67,IF(A67='Données projet'!$A$114,'Données projet'!$B$114,BY66+BX67-CG66)))</f>
        <v>389.28901098901105</v>
      </c>
      <c r="BZ67" s="14">
        <f>BY67*VLOOKUP('Données projet'!$B$12,Paramètres!$A$1:$I$89,3,0)*VLOOKUP('Données projet'!$B$12,Paramètres!$A$1:$I$89,5,0)</f>
        <v>217.61255714285718</v>
      </c>
      <c r="CA67" s="14">
        <f t="shared" si="39"/>
        <v>53.595657750447323</v>
      </c>
      <c r="CB67" s="22">
        <f t="shared" si="10"/>
        <v>472.35430760583859</v>
      </c>
      <c r="CC67" s="62">
        <f t="shared" si="11"/>
        <v>765.68764093917184</v>
      </c>
      <c r="CD67" s="62">
        <f ca="1">AVERAGE(OFFSET($CC$3,0,0,'Données projet'!$E$12+1,1))-AVERAGE(OFFSET($H$3,0,0,'Données projet'!$E$12+1,1))</f>
        <v>321.13335003345236</v>
      </c>
      <c r="CE67" s="62">
        <f t="shared" si="40"/>
        <v>301.26825075712128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8.0325046977220627</v>
      </c>
      <c r="CM67" s="23">
        <f>EXP(-LN(2)/2)*CM66+(1-EXP(-LN(2)/2))/(LN(2)/2)*CG67*CJ67*VLOOKUP('Données projet'!$B$12,Paramètres!$A$1:$I$89,3,0)*0.475*44/12</f>
        <v>7.5234845495592692E-5</v>
      </c>
      <c r="CN67" s="24">
        <f t="shared" si="12"/>
        <v>8.0325799325675575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1.1368683772161603E-13</v>
      </c>
      <c r="CU67" s="18">
        <f>CT67*VLOOKUP('Données projet'!$B$13,Paramètres!$A$1:$I$89,3,0)*VLOOKUP('Données projet'!$B$13,Paramètres!$A$1:$I$89,5,0)</f>
        <v>6.7984728957526396E-14</v>
      </c>
      <c r="CV67" s="14">
        <f t="shared" si="41"/>
        <v>1.0682447123141398E-12</v>
      </c>
      <c r="CW67" s="22">
        <f t="shared" si="13"/>
        <v>1.978932943548152E-12</v>
      </c>
      <c r="CX67" s="62">
        <f t="shared" si="14"/>
        <v>293.3333333333353</v>
      </c>
      <c r="CY67" s="62">
        <f ca="1">AVERAGE(OFFSET($CX$3,0,0,'Données projet'!$E$13+1,1))-AVERAGE(OFFSET($H$3,0,0,'Données projet'!$E$13+1,1))</f>
        <v>260.02504691866199</v>
      </c>
      <c r="CZ67" s="62">
        <f t="shared" si="42"/>
        <v>270.11268336406368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5.104243280226</v>
      </c>
      <c r="DG67" s="23">
        <f>EXP(-LN(2)/25)*DG66+(1-EXP(-LN(2)/25))/(LN(2)/25)*Calculateur!DB67*Calculateur!DD67*VLOOKUP('Données projet'!$B$13,Paramètres!$A$1:$I$89,3,0)*0.475*44/12</f>
        <v>6.4031891032532551</v>
      </c>
      <c r="DH67" s="23">
        <f>EXP(-LN(2)/2)*DH66+(1-EXP(-LN(2)/2))/(LN(2)/2)*DB67*DE67*VLOOKUP('Données projet'!$B$13,Paramètres!$A$1:$I$89,3,0)*0.475*44/12</f>
        <v>4.837006336916995E-5</v>
      </c>
      <c r="DI67" s="24">
        <f t="shared" si="15"/>
        <v>11.507480753542625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4.4000000000000004</v>
      </c>
      <c r="DO67" s="13">
        <f>IF('Données projet'!$A$166&gt;35,DO66+DN67-DW66,IF(A67&lt;'Données projet'!$A$166,$DL$205^A67,IF(A67='Données projet'!$A$166,'Données projet'!$B$166,DO66+DN67-DW66)))</f>
        <v>250.59999999999988</v>
      </c>
      <c r="DP67" s="18">
        <f>DO67*VLOOKUP('Données projet'!$B$14,Paramètres!$A$1:$I$89,3,0)*VLOOKUP('Données projet'!$B$14,Paramètres!$A$1:$I$89,5,0)</f>
        <v>199.37735999999992</v>
      </c>
      <c r="DQ67" s="14">
        <f t="shared" si="43"/>
        <v>49.607305476717762</v>
      </c>
      <c r="DR67" s="22">
        <f t="shared" si="16"/>
        <v>433.64829237194999</v>
      </c>
      <c r="DS67" s="62">
        <f t="shared" si="17"/>
        <v>726.98162570528325</v>
      </c>
      <c r="DT67" s="62">
        <f ca="1">AVERAGE(OFFSET($DS$3,0,0,'Données projet'!$E$14+1,1))-AVERAGE(OFFSET($H$3,0,0,'Données projet'!$E$14+1,1))</f>
        <v>312.53381881960331</v>
      </c>
      <c r="DU67" s="62">
        <f t="shared" si="44"/>
        <v>342.06887933351783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3.8</v>
      </c>
      <c r="EJ67" s="13">
        <f>IF('Données projet'!$A$192&gt;35,EJ66+EI67-ER66,IF(A67&lt;'Données projet'!$A$192,$EG$205^A67,IF(A67='Données projet'!$A$192,'Données projet'!$B$192,EJ66+EI67-ER66)))</f>
        <v>130.19999999999996</v>
      </c>
      <c r="EK67" s="18">
        <f>EJ67*VLOOKUP('Données projet'!$B$15,Paramètres!$A$1:$I$89,3,0)*VLOOKUP('Données projet'!$B$15,Paramètres!$A$1:$I$89,5,0)</f>
        <v>125.92943999999997</v>
      </c>
      <c r="EL67" s="14">
        <f t="shared" si="45"/>
        <v>33.054038034052049</v>
      </c>
      <c r="EM67" s="22">
        <f t="shared" si="19"/>
        <v>276.89622424264059</v>
      </c>
      <c r="EN67" s="62">
        <f t="shared" si="20"/>
        <v>570.2295575759739</v>
      </c>
      <c r="EO67" s="62">
        <f ca="1">AVERAGE(OFFSET($EN$3,0,0,'Données projet'!$E$15+1,1))-AVERAGE(OFFSET($H$3,0,0,'Données projet'!$E$15+1,1))</f>
        <v>255.59755832175625</v>
      </c>
      <c r="EP67" s="62">
        <f t="shared" si="46"/>
        <v>154.0840647586964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7.9230769230769234</v>
      </c>
      <c r="FE67" s="13">
        <f>IF('Données projet'!$A$218&gt;35,FE66+FD67-FM66,IF(A67&lt;'Données projet'!$A$218,$FB$205^A67,IF(A67='Données projet'!$A$218,'Données projet'!$B$218,FE66+FD67-FM66)))</f>
        <v>176.69230769230762</v>
      </c>
      <c r="FF67" s="18">
        <f>FE67*VLOOKUP('Données projet'!$B$16,Paramètres!$A$1:$I$89,3,0)*VLOOKUP('Données projet'!$B$16,Paramètres!$A$1:$I$89,5,0)</f>
        <v>105.66199999999998</v>
      </c>
      <c r="FG67" s="14">
        <f t="shared" si="47"/>
        <v>28.306536930668631</v>
      </c>
      <c r="FH67" s="22">
        <f t="shared" si="22"/>
        <v>233.32853515424782</v>
      </c>
      <c r="FI67" s="62">
        <f t="shared" si="23"/>
        <v>526.66186848758116</v>
      </c>
      <c r="FJ67" s="62">
        <f ca="1">AVERAGE(OFFSET($FI$3,0,0,'Données projet'!$E$16+1,1))-AVERAGE(OFFSET($H$3,0,0,'Données projet'!$E$16+1,1))</f>
        <v>197.08445731383847</v>
      </c>
      <c r="FK67" s="62">
        <f t="shared" si="48"/>
        <v>157.12482557016511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428.8489304403459</v>
      </c>
      <c r="T68" s="62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475.47920969424894</v>
      </c>
      <c r="AO68" s="62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9.8224358974358967</v>
      </c>
      <c r="BD68" s="13">
        <f>IF('Données projet'!$A$88&gt;35,BD67+BC68-BL67,IF(A68&lt;'Données projet'!$A$88,$BA$205^A68,IF(A68='Données projet'!$A$88,'Données projet'!$B$88,BD67+BC68-BL67)))</f>
        <v>262.25256410256412</v>
      </c>
      <c r="BE68" s="14">
        <f>BD68*VLOOKUP('Données projet'!$B$11,Paramètres!$A$1:$I$89,3,0)*VLOOKUP('Données projet'!$B$11,Paramètres!$A$1:$I$89,5,0)</f>
        <v>122.73420000000002</v>
      </c>
      <c r="BF68" s="14">
        <f t="shared" si="37"/>
        <v>32.311867973295023</v>
      </c>
      <c r="BG68" s="22">
        <f t="shared" ref="BG68:BG131" si="61">(BE68+BF68)*0.475*44/12</f>
        <v>270.03856838682219</v>
      </c>
      <c r="BH68" s="62">
        <f t="shared" ref="BH68:BH131" si="62">BG68+(AY68+AZ68)*44/12</f>
        <v>563.37190172015551</v>
      </c>
      <c r="BI68" s="62">
        <f ca="1">AVERAGE(OFFSET($BH$3,0,0,'Données projet'!$E$11+1,1))-AVERAGE(OFFSET($H$3,0,0,'Données projet'!$E$11+1,1))</f>
        <v>246.73711856758143</v>
      </c>
      <c r="BJ68" s="62">
        <f t="shared" si="38"/>
        <v>145.54897745089966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13.296703296703299</v>
      </c>
      <c r="BY68" s="13">
        <f>IF('Données projet'!$A$114&gt;35,BY67+BX68-CG67,IF(A68&lt;'Données projet'!$A$114,$BV$205^A68,IF(A68='Données projet'!$A$114,'Données projet'!$B$114,BY67+BX68-CG67)))</f>
        <v>402.58571428571435</v>
      </c>
      <c r="BZ68" s="14">
        <f>BY68*VLOOKUP('Données projet'!$B$12,Paramètres!$A$1:$I$89,3,0)*VLOOKUP('Données projet'!$B$12,Paramètres!$A$1:$I$89,5,0)</f>
        <v>225.04541428571432</v>
      </c>
      <c r="CA68" s="14">
        <f t="shared" si="39"/>
        <v>55.210030257376133</v>
      </c>
      <c r="CB68" s="22">
        <f t="shared" ref="CB68:CB131" si="64">(BZ68+CA68)*0.475*44/12</f>
        <v>488.11156591254917</v>
      </c>
      <c r="CC68" s="62">
        <f t="shared" ref="CC68:CC131" si="65">CB68+(BT68+BU68)*44/12</f>
        <v>781.44489924588243</v>
      </c>
      <c r="CD68" s="62">
        <f ca="1">AVERAGE(OFFSET($CC$3,0,0,'Données projet'!$E$12+1,1))-AVERAGE(OFFSET($H$3,0,0,'Données projet'!$E$12+1,1))</f>
        <v>321.13335003345236</v>
      </c>
      <c r="CE68" s="62">
        <f t="shared" si="40"/>
        <v>301.26825075712128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7.8128554343517891</v>
      </c>
      <c r="CM68" s="23">
        <f>EXP(-LN(2)/2)*CM67+(1-EXP(-LN(2)/2))/(LN(2)/2)*CG68*CJ68*VLOOKUP('Données projet'!$B$12,Paramètres!$A$1:$I$89,3,0)*0.475*44/12</f>
        <v>5.3199069431455773E-5</v>
      </c>
      <c r="CN68" s="24">
        <f t="shared" ref="CN68:CN131" si="66">SUM(CK68:CM68)</f>
        <v>7.8129086334212206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1.1368683772161603E-13</v>
      </c>
      <c r="CU68" s="18">
        <f>CT68*VLOOKUP('Données projet'!$B$13,Paramètres!$A$1:$I$89,3,0)*VLOOKUP('Données projet'!$B$13,Paramètres!$A$1:$I$89,5,0)</f>
        <v>6.7984728957526396E-14</v>
      </c>
      <c r="CV68" s="14">
        <f t="shared" si="41"/>
        <v>1.0682447123141398E-12</v>
      </c>
      <c r="CW68" s="22">
        <f t="shared" ref="CW68:CW131" si="67">(CU68+CV68)*0.475*44/12</f>
        <v>1.978932943548152E-12</v>
      </c>
      <c r="CX68" s="62">
        <f t="shared" ref="CX68:CX131" si="68">CW68+(CO68+CP68)*44/12</f>
        <v>293.3333333333353</v>
      </c>
      <c r="CY68" s="62">
        <f ca="1">AVERAGE(OFFSET($CX$3,0,0,'Données projet'!$E$13+1,1))-AVERAGE(OFFSET($H$3,0,0,'Données projet'!$E$13+1,1))</f>
        <v>260.02504691866199</v>
      </c>
      <c r="CZ68" s="62">
        <f t="shared" si="42"/>
        <v>270.11268336406368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5.0041521827817581</v>
      </c>
      <c r="DG68" s="23">
        <f>EXP(-LN(2)/25)*DG67+(1-EXP(-LN(2)/25))/(LN(2)/25)*Calculateur!DB68*Calculateur!DD68*VLOOKUP('Données projet'!$B$13,Paramètres!$A$1:$I$89,3,0)*0.475*44/12</f>
        <v>6.2280935604957142</v>
      </c>
      <c r="DH68" s="23">
        <f>EXP(-LN(2)/2)*DH67+(1-EXP(-LN(2)/2))/(LN(2)/2)*DB68*DE68*VLOOKUP('Données projet'!$B$13,Paramètres!$A$1:$I$89,3,0)*0.475*44/12</f>
        <v>3.4202799814763094E-5</v>
      </c>
      <c r="DI68" s="24">
        <f t="shared" ref="DI68:DI131" si="69">SUM(DF68:DH68)</f>
        <v>11.232279946077288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255</v>
      </c>
      <c r="DM68" s="13">
        <f>VLOOKUP(A68,'Données projet'!$A$165:$I$185,9,0)</f>
        <v>4.4000000000000004</v>
      </c>
      <c r="DN68" s="13">
        <f t="array" ref="DN68">INDEX(DM:DM,MIN(IF(ISNUMBER(DM68:DM264),ROW(DM68:DM264),"")))</f>
        <v>4.4000000000000004</v>
      </c>
      <c r="DO68" s="13">
        <f>IF('Données projet'!$A$166&gt;35,DO67+DN68-DW67,IF(A68&lt;'Données projet'!$A$166,$DL$205^A68,IF(A68='Données projet'!$A$166,'Données projet'!$B$166,DO67+DN68-DW67)))</f>
        <v>254.99999999999989</v>
      </c>
      <c r="DP68" s="18">
        <f>DO68*VLOOKUP('Données projet'!$B$14,Paramètres!$A$1:$I$89,3,0)*VLOOKUP('Données projet'!$B$14,Paramètres!$A$1:$I$89,5,0)</f>
        <v>202.87799999999993</v>
      </c>
      <c r="DQ68" s="14">
        <f t="shared" si="43"/>
        <v>50.376138116990084</v>
      </c>
      <c r="DR68" s="22">
        <f t="shared" ref="DR68:DR131" si="70">(DP68+DQ68)*0.475*44/12</f>
        <v>441.08429055375763</v>
      </c>
      <c r="DS68" s="62">
        <f t="shared" ref="DS68:DS131" si="71">DR68+(DJ68+DK68)*44/12</f>
        <v>734.41762388709094</v>
      </c>
      <c r="DT68" s="62">
        <f ca="1">AVERAGE(OFFSET($DS$3,0,0,'Données projet'!$E$14+1,1))-AVERAGE(OFFSET($H$3,0,0,'Données projet'!$E$14+1,1))</f>
        <v>312.53381881960331</v>
      </c>
      <c r="DU68" s="62">
        <f t="shared" si="44"/>
        <v>342.06887933351783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134</v>
      </c>
      <c r="EH68" s="13">
        <f>VLOOKUP(A68,'Données projet'!$A$191:$I$211,9,0)</f>
        <v>3.8</v>
      </c>
      <c r="EI68" s="13">
        <f t="array" ref="EI68">INDEX(EH:EH,MIN(IF(ISNUMBER(EH68:EH264),ROW(EH68:EH264),"")))</f>
        <v>3.8</v>
      </c>
      <c r="EJ68" s="13">
        <f>IF('Données projet'!$A$192&gt;35,EJ67+EI68-ER67,IF(A68&lt;'Données projet'!$A$192,$EG$205^A68,IF(A68='Données projet'!$A$192,'Données projet'!$B$192,EJ67+EI68-ER67)))</f>
        <v>133.99999999999997</v>
      </c>
      <c r="EK68" s="18">
        <f>EJ68*VLOOKUP('Données projet'!$B$15,Paramètres!$A$1:$I$89,3,0)*VLOOKUP('Données projet'!$B$15,Paramètres!$A$1:$I$89,5,0)</f>
        <v>129.60479999999998</v>
      </c>
      <c r="EL68" s="14">
        <f t="shared" si="45"/>
        <v>33.905024040491121</v>
      </c>
      <c r="EM68" s="22">
        <f t="shared" ref="EM68:EM131" si="73">(EK68+EL68)*0.475*44/12</f>
        <v>284.77961020385533</v>
      </c>
      <c r="EN68" s="62">
        <f t="shared" ref="EN68:EN131" si="74">EM68+(EE68+EF68)*44/12</f>
        <v>578.11294353718858</v>
      </c>
      <c r="EO68" s="62">
        <f ca="1">AVERAGE(OFFSET($EN$3,0,0,'Données projet'!$E$15+1,1))-AVERAGE(OFFSET($H$3,0,0,'Données projet'!$E$15+1,1))</f>
        <v>255.59755832175625</v>
      </c>
      <c r="EP68" s="62">
        <f t="shared" si="46"/>
        <v>154.0840647586964</v>
      </c>
      <c r="EQ68" s="16">
        <f>IF(ISNA(VLOOKUP(A68,'Données projet'!$A$191:$I$211,3,0)),0,VLOOKUP(A68,'Données projet'!$A$191:$I$211,3,0))</f>
        <v>4</v>
      </c>
      <c r="ER68" s="16">
        <f>IF(ISNA(VLOOKUP(A68,'Données projet'!$A$191:$I$211,4,0)),0,VLOOKUP(A68,'Données projet'!$A$191:$I$211,4,0))</f>
        <v>20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7.9230769230769234</v>
      </c>
      <c r="FE68" s="13">
        <f>IF('Données projet'!$A$218&gt;35,FE67+FD68-FM67,IF(A68&lt;'Données projet'!$A$218,$FB$205^A68,IF(A68='Données projet'!$A$218,'Données projet'!$B$218,FE67+FD68-FM67)))</f>
        <v>184.61538461538456</v>
      </c>
      <c r="FF68" s="18">
        <f>FE68*VLOOKUP('Données projet'!$B$16,Paramètres!$A$1:$I$89,3,0)*VLOOKUP('Données projet'!$B$16,Paramètres!$A$1:$I$89,5,0)</f>
        <v>110.39999999999998</v>
      </c>
      <c r="FG68" s="14">
        <f t="shared" si="47"/>
        <v>29.425207774110973</v>
      </c>
      <c r="FH68" s="22">
        <f t="shared" ref="FH68:FH131" si="76">(FF68+FG68)*0.475*44/12</f>
        <v>243.52890353990992</v>
      </c>
      <c r="FI68" s="62">
        <f t="shared" ref="FI68:FI131" si="77">FH68+(EZ68+FA68)*44/12</f>
        <v>536.86223687324321</v>
      </c>
      <c r="FJ68" s="62">
        <f ca="1">AVERAGE(OFFSET($FI$3,0,0,'Données projet'!$E$16+1,1))-AVERAGE(OFFSET($H$3,0,0,'Données projet'!$E$16+1,1))</f>
        <v>197.08445731383847</v>
      </c>
      <c r="FK68" s="62">
        <f t="shared" si="48"/>
        <v>157.12482557016511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756.65012524226813</v>
      </c>
      <c r="S69" s="62">
        <f ca="1">AVERAGE(OFFSET($R$3,0,0,'Données projet'!$E$9+1,1))-AVERAGE(OFFSET($H$3,0,0,'Données projet'!$E$9+1,1))</f>
        <v>428.8489304403459</v>
      </c>
      <c r="T69" s="62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2">
        <f t="shared" si="59"/>
        <v>811.21322649031208</v>
      </c>
      <c r="AN69" s="62">
        <f ca="1">AVERAGE(OFFSET($AM$3,0,0,'Données projet'!$E$10+1,1))-AVERAGE(OFFSET($H$3,0,0,'Données projet'!$E$10+1,1))</f>
        <v>475.47920969424894</v>
      </c>
      <c r="AO69" s="62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9.8224358974358967</v>
      </c>
      <c r="BD69" s="13">
        <f>IF('Données projet'!$A$88&gt;35,BD68+BC69-BL68,IF(A69&lt;'Données projet'!$A$88,$BA$205^A69,IF(A69='Données projet'!$A$88,'Données projet'!$B$88,BD68+BC69-BL68)))</f>
        <v>272.07500000000005</v>
      </c>
      <c r="BE69" s="14">
        <f>BD69*VLOOKUP('Données projet'!$B$11,Paramètres!$A$1:$I$89,3,0)*VLOOKUP('Données projet'!$B$11,Paramètres!$A$1:$I$89,5,0)</f>
        <v>127.33110000000002</v>
      </c>
      <c r="BF69" s="14">
        <f t="shared" ref="BF69:BF132" si="91">EXP(-1.0587+0.8836*LN(BE69)+0.284)</f>
        <v>33.378912344830411</v>
      </c>
      <c r="BG69" s="22">
        <f t="shared" si="61"/>
        <v>279.90327150057965</v>
      </c>
      <c r="BH69" s="62">
        <f t="shared" si="62"/>
        <v>573.23660483391291</v>
      </c>
      <c r="BI69" s="62">
        <f ca="1">AVERAGE(OFFSET($BH$3,0,0,'Données projet'!$E$11+1,1))-AVERAGE(OFFSET($H$3,0,0,'Données projet'!$E$11+1,1))</f>
        <v>246.73711856758143</v>
      </c>
      <c r="BJ69" s="62">
        <f t="shared" ref="BJ69:BJ132" si="92">$BJ$3</f>
        <v>145.54897745089966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13.296703296703299</v>
      </c>
      <c r="BY69" s="13">
        <f>IF('Données projet'!$A$114&gt;35,BY68+BX69-CG68,IF(A69&lt;'Données projet'!$A$114,$BV$205^A69,IF(A69='Données projet'!$A$114,'Données projet'!$B$114,BY68+BX69-CG68)))</f>
        <v>415.88241758241765</v>
      </c>
      <c r="BZ69" s="14">
        <f>BY69*VLOOKUP('Données projet'!$B$12,Paramètres!$A$1:$I$89,3,0)*VLOOKUP('Données projet'!$B$12,Paramètres!$A$1:$I$89,5,0)</f>
        <v>232.47827142857147</v>
      </c>
      <c r="CA69" s="14">
        <f t="shared" ref="CA69:CA132" si="93">EXP(-1.0587+0.8836*LN(BZ69)+0.284)</f>
        <v>56.818207052289068</v>
      </c>
      <c r="CB69" s="22">
        <f t="shared" si="64"/>
        <v>503.85803335416534</v>
      </c>
      <c r="CC69" s="62">
        <f t="shared" si="65"/>
        <v>797.19136668749866</v>
      </c>
      <c r="CD69" s="62">
        <f ca="1">AVERAGE(OFFSET($CC$3,0,0,'Données projet'!$E$12+1,1))-AVERAGE(OFFSET($H$3,0,0,'Données projet'!$E$12+1,1))</f>
        <v>321.13335003345236</v>
      </c>
      <c r="CE69" s="62">
        <f t="shared" ref="CE69:CE132" si="94">$CE$3</f>
        <v>301.26825075712128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7.5992124916392285</v>
      </c>
      <c r="CM69" s="23">
        <f>EXP(-LN(2)/2)*CM68+(1-EXP(-LN(2)/2))/(LN(2)/2)*CG69*CJ69*VLOOKUP('Données projet'!$B$12,Paramètres!$A$1:$I$89,3,0)*0.475*44/12</f>
        <v>3.7617422747796346E-5</v>
      </c>
      <c r="CN69" s="24">
        <f t="shared" si="66"/>
        <v>7.599250109061976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1.1368683772161603E-13</v>
      </c>
      <c r="CU69" s="18">
        <f>CT69*VLOOKUP('Données projet'!$B$13,Paramètres!$A$1:$I$89,3,0)*VLOOKUP('Données projet'!$B$13,Paramètres!$A$1:$I$89,5,0)</f>
        <v>6.7984728957526396E-14</v>
      </c>
      <c r="CV69" s="14">
        <f t="shared" ref="CV69:CV132" si="95">EXP(-1.0587+0.8836*LN(CU69)+0.284)</f>
        <v>1.0682447123141398E-12</v>
      </c>
      <c r="CW69" s="22">
        <f t="shared" si="67"/>
        <v>1.978932943548152E-12</v>
      </c>
      <c r="CX69" s="62">
        <f t="shared" si="68"/>
        <v>293.3333333333353</v>
      </c>
      <c r="CY69" s="62">
        <f ca="1">AVERAGE(OFFSET($CX$3,0,0,'Données projet'!$E$13+1,1))-AVERAGE(OFFSET($H$3,0,0,'Données projet'!$E$13+1,1))</f>
        <v>260.02504691866199</v>
      </c>
      <c r="CZ69" s="62">
        <f t="shared" ref="CZ69:CZ132" si="96">$CZ$3</f>
        <v>270.11268336406368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4.9060238107088567</v>
      </c>
      <c r="DG69" s="23">
        <f>EXP(-LN(2)/25)*DG68+(1-EXP(-LN(2)/25))/(LN(2)/25)*Calculateur!DB69*Calculateur!DD69*VLOOKUP('Données projet'!$B$13,Paramètres!$A$1:$I$89,3,0)*0.475*44/12</f>
        <v>6.0577860145627529</v>
      </c>
      <c r="DH69" s="23">
        <f>EXP(-LN(2)/2)*DH68+(1-EXP(-LN(2)/2))/(LN(2)/2)*DB69*DE69*VLOOKUP('Données projet'!$B$13,Paramètres!$A$1:$I$89,3,0)*0.475*44/12</f>
        <v>2.4185031684584975E-5</v>
      </c>
      <c r="DI69" s="24">
        <f t="shared" si="69"/>
        <v>10.963834010303295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</v>
      </c>
      <c r="DO69" s="13">
        <f>IF('Données projet'!$A$166&gt;35,DO68+DN69-DW68,IF(A69&lt;'Données projet'!$A$166,$DL$205^A69,IF(A69='Données projet'!$A$166,'Données projet'!$B$166,DO68+DN69-DW68)))</f>
        <v>258.7999999999999</v>
      </c>
      <c r="DP69" s="18">
        <f>DO69*VLOOKUP('Données projet'!$B$14,Paramètres!$A$1:$I$89,3,0)*VLOOKUP('Données projet'!$B$14,Paramètres!$A$1:$I$89,5,0)</f>
        <v>205.90127999999993</v>
      </c>
      <c r="DQ69" s="14">
        <f t="shared" ref="DQ69:DQ132" si="97">EXP(-1.0587+0.8836*LN(DP69)+0.284)</f>
        <v>51.038887365811213</v>
      </c>
      <c r="DR69" s="22">
        <f t="shared" si="70"/>
        <v>447.50412482878772</v>
      </c>
      <c r="DS69" s="62">
        <f t="shared" si="71"/>
        <v>740.83745816212104</v>
      </c>
      <c r="DT69" s="62">
        <f ca="1">AVERAGE(OFFSET($DS$3,0,0,'Données projet'!$E$14+1,1))-AVERAGE(OFFSET($H$3,0,0,'Données projet'!$E$14+1,1))</f>
        <v>312.53381881960331</v>
      </c>
      <c r="DU69" s="62">
        <f t="shared" ref="DU69:DU132" si="98">$DU$3</f>
        <v>342.06887933351783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3.6</v>
      </c>
      <c r="EJ69" s="13">
        <f>IF('Données projet'!$A$192&gt;35,EJ68+EI69-ER68,IF(A69&lt;'Données projet'!$A$192,$EG$205^A69,IF(A69='Données projet'!$A$192,'Données projet'!$B$192,EJ68+EI69-ER68)))</f>
        <v>117.59999999999997</v>
      </c>
      <c r="EK69" s="18">
        <f>EJ69*VLOOKUP('Données projet'!$B$15,Paramètres!$A$1:$I$89,3,0)*VLOOKUP('Données projet'!$B$15,Paramètres!$A$1:$I$89,5,0)</f>
        <v>113.74271999999996</v>
      </c>
      <c r="EL69" s="14">
        <f t="shared" ref="EL69:EL132" si="99">EXP(-1.0587+0.8836*LN(EK69)+0.284)</f>
        <v>30.211074114233345</v>
      </c>
      <c r="EM69" s="22">
        <f t="shared" si="73"/>
        <v>250.71952474895636</v>
      </c>
      <c r="EN69" s="62">
        <f t="shared" si="74"/>
        <v>544.05285808228973</v>
      </c>
      <c r="EO69" s="62">
        <f ca="1">AVERAGE(OFFSET($EN$3,0,0,'Données projet'!$E$15+1,1))-AVERAGE(OFFSET($H$3,0,0,'Données projet'!$E$15+1,1))</f>
        <v>255.59755832175625</v>
      </c>
      <c r="EP69" s="62">
        <f t="shared" ref="EP69:EP132" si="100">$EP$3</f>
        <v>154.0840647586964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7.9230769230769234</v>
      </c>
      <c r="FE69" s="13">
        <f>IF('Données projet'!$A$218&gt;35,FE68+FD69-FM68,IF(A69&lt;'Données projet'!$A$218,$FB$205^A69,IF(A69='Données projet'!$A$218,'Données projet'!$B$218,FE68+FD69-FM68)))</f>
        <v>192.53846153846149</v>
      </c>
      <c r="FF69" s="18">
        <f>FE69*VLOOKUP('Données projet'!$B$16,Paramètres!$A$1:$I$89,3,0)*VLOOKUP('Données projet'!$B$16,Paramètres!$A$1:$I$89,5,0)</f>
        <v>115.13799999999998</v>
      </c>
      <c r="FG69" s="14">
        <f t="shared" ref="FG69:FG132" si="101">EXP(-1.0587+0.8836*LN(FF69)+0.284)</f>
        <v>30.538302424714985</v>
      </c>
      <c r="FH69" s="22">
        <f t="shared" si="76"/>
        <v>253.71956005637853</v>
      </c>
      <c r="FI69" s="62">
        <f t="shared" si="77"/>
        <v>547.05289338971181</v>
      </c>
      <c r="FJ69" s="62">
        <f ca="1">AVERAGE(OFFSET($FI$3,0,0,'Données projet'!$E$16+1,1))-AVERAGE(OFFSET($H$3,0,0,'Données projet'!$E$16+1,1))</f>
        <v>197.08445731383847</v>
      </c>
      <c r="FK69" s="62">
        <f t="shared" ref="FK69:FK132" si="102">$FK$3</f>
        <v>157.12482557016511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769.69946190259475</v>
      </c>
      <c r="S70" s="62">
        <f ca="1">AVERAGE(OFFSET($R$3,0,0,'Données projet'!$E$9+1,1))-AVERAGE(OFFSET($H$3,0,0,'Données projet'!$E$9+1,1))</f>
        <v>428.8489304403459</v>
      </c>
      <c r="T70" s="62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2">
        <f t="shared" si="59"/>
        <v>825.80302750779379</v>
      </c>
      <c r="AN70" s="62">
        <f ca="1">AVERAGE(OFFSET($AM$3,0,0,'Données projet'!$E$10+1,1))-AVERAGE(OFFSET($H$3,0,0,'Données projet'!$E$10+1,1))</f>
        <v>475.47920969424894</v>
      </c>
      <c r="AO70" s="62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9.8224358974358967</v>
      </c>
      <c r="BD70" s="13">
        <f>IF('Données projet'!$A$88&gt;35,BD69+BC70-BL69,IF(A70&lt;'Données projet'!$A$88,$BA$205^A70,IF(A70='Données projet'!$A$88,'Données projet'!$B$88,BD69+BC70-BL69)))</f>
        <v>281.89743589743597</v>
      </c>
      <c r="BE70" s="14">
        <f>BD70*VLOOKUP('Données projet'!$B$11,Paramètres!$A$1:$I$89,3,0)*VLOOKUP('Données projet'!$B$11,Paramètres!$A$1:$I$89,5,0)</f>
        <v>131.92800000000005</v>
      </c>
      <c r="BF70" s="14">
        <f t="shared" si="91"/>
        <v>34.441481093359528</v>
      </c>
      <c r="BG70" s="22">
        <f t="shared" si="61"/>
        <v>289.76017957093461</v>
      </c>
      <c r="BH70" s="62">
        <f t="shared" si="62"/>
        <v>583.09351290426798</v>
      </c>
      <c r="BI70" s="62">
        <f ca="1">AVERAGE(OFFSET($BH$3,0,0,'Données projet'!$E$11+1,1))-AVERAGE(OFFSET($H$3,0,0,'Données projet'!$E$11+1,1))</f>
        <v>246.73711856758143</v>
      </c>
      <c r="BJ70" s="62">
        <f t="shared" si="92"/>
        <v>145.54897745089966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13.296703296703299</v>
      </c>
      <c r="BY70" s="13">
        <f>IF('Données projet'!$A$114&gt;35,BY69+BX70-CG69,IF(A70&lt;'Données projet'!$A$114,$BV$205^A70,IF(A70='Données projet'!$A$114,'Données projet'!$B$114,BY69+BX70-CG69)))</f>
        <v>429.17912087912094</v>
      </c>
      <c r="BZ70" s="14">
        <f>BY70*VLOOKUP('Données projet'!$B$12,Paramètres!$A$1:$I$89,3,0)*VLOOKUP('Données projet'!$B$12,Paramètres!$A$1:$I$89,5,0)</f>
        <v>239.91112857142861</v>
      </c>
      <c r="CA70" s="14">
        <f t="shared" si="93"/>
        <v>58.420408949287598</v>
      </c>
      <c r="CB70" s="22">
        <f t="shared" si="64"/>
        <v>519.59409451524732</v>
      </c>
      <c r="CC70" s="62">
        <f t="shared" si="65"/>
        <v>812.92742784858069</v>
      </c>
      <c r="CD70" s="62">
        <f ca="1">AVERAGE(OFFSET($CC$3,0,0,'Données projet'!$E$12+1,1))-AVERAGE(OFFSET($H$3,0,0,'Données projet'!$E$12+1,1))</f>
        <v>321.13335003345236</v>
      </c>
      <c r="CE70" s="62">
        <f t="shared" si="94"/>
        <v>301.26825075712128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7.3914116264301368</v>
      </c>
      <c r="CM70" s="23">
        <f>EXP(-LN(2)/2)*CM69+(1-EXP(-LN(2)/2))/(LN(2)/2)*CG70*CJ70*VLOOKUP('Données projet'!$B$12,Paramètres!$A$1:$I$89,3,0)*0.475*44/12</f>
        <v>2.6599534715727887E-5</v>
      </c>
      <c r="CN70" s="24">
        <f t="shared" si="66"/>
        <v>7.3914382259648521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1.1368683772161603E-13</v>
      </c>
      <c r="CU70" s="18">
        <f>CT70*VLOOKUP('Données projet'!$B$13,Paramètres!$A$1:$I$89,3,0)*VLOOKUP('Données projet'!$B$13,Paramètres!$A$1:$I$89,5,0)</f>
        <v>6.7984728957526396E-14</v>
      </c>
      <c r="CV70" s="14">
        <f t="shared" si="95"/>
        <v>1.0682447123141398E-12</v>
      </c>
      <c r="CW70" s="22">
        <f t="shared" si="67"/>
        <v>1.978932943548152E-12</v>
      </c>
      <c r="CX70" s="62">
        <f t="shared" si="68"/>
        <v>293.3333333333353</v>
      </c>
      <c r="CY70" s="62">
        <f ca="1">AVERAGE(OFFSET($CX$3,0,0,'Données projet'!$E$13+1,1))-AVERAGE(OFFSET($H$3,0,0,'Données projet'!$E$13+1,1))</f>
        <v>260.02504691866199</v>
      </c>
      <c r="CZ70" s="62">
        <f t="shared" si="96"/>
        <v>270.11268336406368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4.8098196761599077</v>
      </c>
      <c r="DG70" s="23">
        <f>EXP(-LN(2)/25)*DG69+(1-EXP(-LN(2)/25))/(LN(2)/25)*Calculateur!DB70*Calculateur!DD70*VLOOKUP('Données projet'!$B$13,Paramètres!$A$1:$I$89,3,0)*0.475*44/12</f>
        <v>5.8921355374294135</v>
      </c>
      <c r="DH70" s="23">
        <f>EXP(-LN(2)/2)*DH69+(1-EXP(-LN(2)/2))/(LN(2)/2)*DB70*DE70*VLOOKUP('Données projet'!$B$13,Paramètres!$A$1:$I$89,3,0)*0.475*44/12</f>
        <v>1.7101399907381547E-5</v>
      </c>
      <c r="DI70" s="24">
        <f t="shared" si="69"/>
        <v>10.701972314989229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</v>
      </c>
      <c r="DO70" s="13">
        <f>IF('Données projet'!$A$166&gt;35,DO69+DN70-DW69,IF(A70&lt;'Données projet'!$A$166,$DL$205^A70,IF(A70='Données projet'!$A$166,'Données projet'!$B$166,DO69+DN70-DW69)))</f>
        <v>262.59999999999991</v>
      </c>
      <c r="DP70" s="18">
        <f>DO70*VLOOKUP('Données projet'!$B$14,Paramètres!$A$1:$I$89,3,0)*VLOOKUP('Données projet'!$B$14,Paramètres!$A$1:$I$89,5,0)</f>
        <v>208.92455999999996</v>
      </c>
      <c r="DQ70" s="14">
        <f t="shared" si="97"/>
        <v>51.700504821714368</v>
      </c>
      <c r="DR70" s="22">
        <f t="shared" si="70"/>
        <v>453.92198789781906</v>
      </c>
      <c r="DS70" s="62">
        <f t="shared" si="71"/>
        <v>747.25532123115238</v>
      </c>
      <c r="DT70" s="62">
        <f ca="1">AVERAGE(OFFSET($DS$3,0,0,'Données projet'!$E$14+1,1))-AVERAGE(OFFSET($H$3,0,0,'Données projet'!$E$14+1,1))</f>
        <v>312.53381881960331</v>
      </c>
      <c r="DU70" s="62">
        <f t="shared" si="98"/>
        <v>342.06887933351783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3.6</v>
      </c>
      <c r="EJ70" s="13">
        <f>IF('Données projet'!$A$192&gt;35,EJ69+EI70-ER69,IF(A70&lt;'Données projet'!$A$192,$EG$205^A70,IF(A70='Données projet'!$A$192,'Données projet'!$B$192,EJ69+EI70-ER69)))</f>
        <v>121.19999999999996</v>
      </c>
      <c r="EK70" s="18">
        <f>EJ70*VLOOKUP('Données projet'!$B$15,Paramètres!$A$1:$I$89,3,0)*VLOOKUP('Données projet'!$B$15,Paramètres!$A$1:$I$89,5,0)</f>
        <v>117.22463999999997</v>
      </c>
      <c r="EL70" s="14">
        <f t="shared" si="99"/>
        <v>31.026813250993953</v>
      </c>
      <c r="EM70" s="22">
        <f t="shared" si="73"/>
        <v>258.20461441214769</v>
      </c>
      <c r="EN70" s="62">
        <f t="shared" si="74"/>
        <v>551.53794774548101</v>
      </c>
      <c r="EO70" s="62">
        <f ca="1">AVERAGE(OFFSET($EN$3,0,0,'Données projet'!$E$15+1,1))-AVERAGE(OFFSET($H$3,0,0,'Données projet'!$E$15+1,1))</f>
        <v>255.59755832175625</v>
      </c>
      <c r="EP70" s="62">
        <f t="shared" si="100"/>
        <v>154.0840647586964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7.9230769230769234</v>
      </c>
      <c r="FE70" s="13">
        <f>IF('Données projet'!$A$218&gt;35,FE69+FD70-FM69,IF(A70&lt;'Données projet'!$A$218,$FB$205^A70,IF(A70='Données projet'!$A$218,'Données projet'!$B$218,FE69+FD70-FM69)))</f>
        <v>200.46153846153842</v>
      </c>
      <c r="FF70" s="18">
        <f>FE70*VLOOKUP('Données projet'!$B$16,Paramètres!$A$1:$I$89,3,0)*VLOOKUP('Données projet'!$B$16,Paramètres!$A$1:$I$89,5,0)</f>
        <v>119.87599999999998</v>
      </c>
      <c r="FG70" s="14">
        <f t="shared" si="101"/>
        <v>31.646076590458268</v>
      </c>
      <c r="FH70" s="22">
        <f t="shared" si="76"/>
        <v>263.90095006171481</v>
      </c>
      <c r="FI70" s="62">
        <f t="shared" si="77"/>
        <v>557.23428339504812</v>
      </c>
      <c r="FJ70" s="62">
        <f ca="1">AVERAGE(OFFSET($FI$3,0,0,'Données projet'!$E$16+1,1))-AVERAGE(OFFSET($H$3,0,0,'Données projet'!$E$16+1,1))</f>
        <v>197.08445731383847</v>
      </c>
      <c r="FK70" s="62">
        <f t="shared" si="102"/>
        <v>157.12482557016511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782.74119655001107</v>
      </c>
      <c r="S71" s="62">
        <f ca="1">AVERAGE(OFFSET($R$3,0,0,'Données projet'!$E$9+1,1))-AVERAGE(OFFSET($H$3,0,0,'Données projet'!$E$9+1,1))</f>
        <v>428.8489304403459</v>
      </c>
      <c r="T71" s="62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2">
        <f t="shared" si="59"/>
        <v>840.38442127706139</v>
      </c>
      <c r="AN71" s="62">
        <f ca="1">AVERAGE(OFFSET($AM$3,0,0,'Données projet'!$E$10+1,1))-AVERAGE(OFFSET($H$3,0,0,'Données projet'!$E$10+1,1))</f>
        <v>475.47920969424894</v>
      </c>
      <c r="AO71" s="62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9.8224358974358967</v>
      </c>
      <c r="BD71" s="13">
        <f>IF('Données projet'!$A$88&gt;35,BD70+BC71-BL70,IF(A71&lt;'Données projet'!$A$88,$BA$205^A71,IF(A71='Données projet'!$A$88,'Données projet'!$B$88,BD70+BC71-BL70)))</f>
        <v>291.71987179487189</v>
      </c>
      <c r="BE71" s="14">
        <f>BD71*VLOOKUP('Données projet'!$B$11,Paramètres!$A$1:$I$89,3,0)*VLOOKUP('Données projet'!$B$11,Paramètres!$A$1:$I$89,5,0)</f>
        <v>136.52490000000006</v>
      </c>
      <c r="BF71" s="14">
        <f t="shared" si="91"/>
        <v>35.49974803884507</v>
      </c>
      <c r="BG71" s="22">
        <f t="shared" si="61"/>
        <v>299.60959533432191</v>
      </c>
      <c r="BH71" s="62">
        <f t="shared" si="62"/>
        <v>592.94292866765522</v>
      </c>
      <c r="BI71" s="62">
        <f ca="1">AVERAGE(OFFSET($BH$3,0,0,'Données projet'!$E$11+1,1))-AVERAGE(OFFSET($H$3,0,0,'Données projet'!$E$11+1,1))</f>
        <v>246.73711856758143</v>
      </c>
      <c r="BJ71" s="62">
        <f t="shared" si="92"/>
        <v>145.54897745089966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13.296703296703299</v>
      </c>
      <c r="BY71" s="13">
        <f>IF('Données projet'!$A$114&gt;35,BY70+BX71-CG70,IF(A71&lt;'Données projet'!$A$114,$BV$205^A71,IF(A71='Données projet'!$A$114,'Données projet'!$B$114,BY70+BX71-CG70)))</f>
        <v>442.47582417582424</v>
      </c>
      <c r="BZ71" s="14">
        <f>BY71*VLOOKUP('Données projet'!$B$12,Paramètres!$A$1:$I$89,3,0)*VLOOKUP('Données projet'!$B$12,Paramètres!$A$1:$I$89,5,0)</f>
        <v>247.34398571428574</v>
      </c>
      <c r="CA71" s="14">
        <f t="shared" si="93"/>
        <v>60.016842302819605</v>
      </c>
      <c r="CB71" s="22">
        <f t="shared" si="64"/>
        <v>535.32010879645838</v>
      </c>
      <c r="CC71" s="62">
        <f t="shared" si="65"/>
        <v>828.65344212979176</v>
      </c>
      <c r="CD71" s="62">
        <f ca="1">AVERAGE(OFFSET($CC$3,0,0,'Données projet'!$E$12+1,1))-AVERAGE(OFFSET($H$3,0,0,'Données projet'!$E$12+1,1))</f>
        <v>321.13335003345236</v>
      </c>
      <c r="CE71" s="62">
        <f t="shared" si="94"/>
        <v>301.26825075712128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7.189293086807961</v>
      </c>
      <c r="CM71" s="23">
        <f>EXP(-LN(2)/2)*CM70+(1-EXP(-LN(2)/2))/(LN(2)/2)*CG71*CJ71*VLOOKUP('Données projet'!$B$12,Paramètres!$A$1:$I$89,3,0)*0.475*44/12</f>
        <v>1.8808711373898173E-5</v>
      </c>
      <c r="CN71" s="24">
        <f t="shared" si="66"/>
        <v>7.1893118955193351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1.1368683772161603E-13</v>
      </c>
      <c r="CU71" s="18">
        <f>CT71*VLOOKUP('Données projet'!$B$13,Paramètres!$A$1:$I$89,3,0)*VLOOKUP('Données projet'!$B$13,Paramètres!$A$1:$I$89,5,0)</f>
        <v>6.7984728957526396E-14</v>
      </c>
      <c r="CV71" s="14">
        <f t="shared" si="95"/>
        <v>1.0682447123141398E-12</v>
      </c>
      <c r="CW71" s="22">
        <f t="shared" si="67"/>
        <v>1.978932943548152E-12</v>
      </c>
      <c r="CX71" s="62">
        <f t="shared" si="68"/>
        <v>293.3333333333353</v>
      </c>
      <c r="CY71" s="62">
        <f ca="1">AVERAGE(OFFSET($CX$3,0,0,'Données projet'!$E$13+1,1))-AVERAGE(OFFSET($H$3,0,0,'Données projet'!$E$13+1,1))</f>
        <v>260.02504691866199</v>
      </c>
      <c r="CZ71" s="62">
        <f t="shared" si="96"/>
        <v>270.11268336406368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4.7155020460107355</v>
      </c>
      <c r="DG71" s="23">
        <f>EXP(-LN(2)/25)*DG70+(1-EXP(-LN(2)/25))/(LN(2)/25)*Calculateur!DB71*Calculateur!DD71*VLOOKUP('Données projet'!$B$13,Paramètres!$A$1:$I$89,3,0)*0.475*44/12</f>
        <v>5.7310147813044647</v>
      </c>
      <c r="DH71" s="23">
        <f>EXP(-LN(2)/2)*DH70+(1-EXP(-LN(2)/2))/(LN(2)/2)*DB71*DE71*VLOOKUP('Données projet'!$B$13,Paramètres!$A$1:$I$89,3,0)*0.475*44/12</f>
        <v>1.2092515842292488E-5</v>
      </c>
      <c r="DI71" s="24">
        <f t="shared" si="69"/>
        <v>10.446528919831042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</v>
      </c>
      <c r="DO71" s="13">
        <f>IF('Données projet'!$A$166&gt;35,DO70+DN71-DW70,IF(A71&lt;'Données projet'!$A$166,$DL$205^A71,IF(A71='Données projet'!$A$166,'Données projet'!$B$166,DO70+DN71-DW70)))</f>
        <v>266.39999999999992</v>
      </c>
      <c r="DP71" s="18">
        <f>DO71*VLOOKUP('Données projet'!$B$14,Paramètres!$A$1:$I$89,3,0)*VLOOKUP('Données projet'!$B$14,Paramètres!$A$1:$I$89,5,0)</f>
        <v>211.94783999999996</v>
      </c>
      <c r="DQ71" s="14">
        <f t="shared" si="97"/>
        <v>52.361008754780862</v>
      </c>
      <c r="DR71" s="22">
        <f t="shared" si="70"/>
        <v>460.33791158124319</v>
      </c>
      <c r="DS71" s="62">
        <f t="shared" si="71"/>
        <v>753.6712449145765</v>
      </c>
      <c r="DT71" s="62">
        <f ca="1">AVERAGE(OFFSET($DS$3,0,0,'Données projet'!$E$14+1,1))-AVERAGE(OFFSET($H$3,0,0,'Données projet'!$E$14+1,1))</f>
        <v>312.53381881960331</v>
      </c>
      <c r="DU71" s="62">
        <f t="shared" si="98"/>
        <v>342.06887933351783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3.6</v>
      </c>
      <c r="EJ71" s="13">
        <f>IF('Données projet'!$A$192&gt;35,EJ70+EI71-ER70,IF(A71&lt;'Données projet'!$A$192,$EG$205^A71,IF(A71='Données projet'!$A$192,'Données projet'!$B$192,EJ70+EI71-ER70)))</f>
        <v>124.79999999999995</v>
      </c>
      <c r="EK71" s="18">
        <f>EJ71*VLOOKUP('Données projet'!$B$15,Paramètres!$A$1:$I$89,3,0)*VLOOKUP('Données projet'!$B$15,Paramètres!$A$1:$I$89,5,0)</f>
        <v>120.70655999999997</v>
      </c>
      <c r="EL71" s="14">
        <f t="shared" si="99"/>
        <v>31.839736462736809</v>
      </c>
      <c r="EM71" s="22">
        <f t="shared" si="73"/>
        <v>265.68479967259987</v>
      </c>
      <c r="EN71" s="62">
        <f t="shared" si="74"/>
        <v>559.01813300593312</v>
      </c>
      <c r="EO71" s="62">
        <f ca="1">AVERAGE(OFFSET($EN$3,0,0,'Données projet'!$E$15+1,1))-AVERAGE(OFFSET($H$3,0,0,'Données projet'!$E$15+1,1))</f>
        <v>255.59755832175625</v>
      </c>
      <c r="EP71" s="62">
        <f t="shared" si="100"/>
        <v>154.0840647586964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7.9230769230769234</v>
      </c>
      <c r="FE71" s="13">
        <f>IF('Données projet'!$A$218&gt;35,FE70+FD71-FM70,IF(A71&lt;'Données projet'!$A$218,$FB$205^A71,IF(A71='Données projet'!$A$218,'Données projet'!$B$218,FE70+FD71-FM70)))</f>
        <v>208.38461538461536</v>
      </c>
      <c r="FF71" s="18">
        <f>FE71*VLOOKUP('Données projet'!$B$16,Paramètres!$A$1:$I$89,3,0)*VLOOKUP('Données projet'!$B$16,Paramètres!$A$1:$I$89,5,0)</f>
        <v>124.61399999999999</v>
      </c>
      <c r="FG71" s="14">
        <f t="shared" si="101"/>
        <v>32.748764621718294</v>
      </c>
      <c r="FH71" s="22">
        <f t="shared" si="76"/>
        <v>274.07348171615934</v>
      </c>
      <c r="FI71" s="62">
        <f t="shared" si="77"/>
        <v>567.40681504949271</v>
      </c>
      <c r="FJ71" s="62">
        <f ca="1">AVERAGE(OFFSET($FI$3,0,0,'Données projet'!$E$16+1,1))-AVERAGE(OFFSET($H$3,0,0,'Données projet'!$E$16+1,1))</f>
        <v>197.08445731383847</v>
      </c>
      <c r="FK71" s="62">
        <f t="shared" si="102"/>
        <v>157.12482557016511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795.77556027438573</v>
      </c>
      <c r="S72" s="62">
        <f ca="1">AVERAGE(OFFSET($R$3,0,0,'Données projet'!$E$9+1,1))-AVERAGE(OFFSET($H$3,0,0,'Données projet'!$E$9+1,1))</f>
        <v>428.8489304403459</v>
      </c>
      <c r="T72" s="62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2">
        <f t="shared" si="59"/>
        <v>854.95766336593738</v>
      </c>
      <c r="AN72" s="62">
        <f ca="1">AVERAGE(OFFSET($AM$3,0,0,'Données projet'!$E$10+1,1))-AVERAGE(OFFSET($H$3,0,0,'Données projet'!$E$10+1,1))</f>
        <v>475.47920969424894</v>
      </c>
      <c r="AO72" s="62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9.8224358974358967</v>
      </c>
      <c r="BD72" s="13">
        <f>IF('Données projet'!$A$88&gt;35,BD71+BC72-BL71,IF(A72&lt;'Données projet'!$A$88,$BA$205^A72,IF(A72='Données projet'!$A$88,'Données projet'!$B$88,BD71+BC72-BL71)))</f>
        <v>301.54230769230782</v>
      </c>
      <c r="BE72" s="14">
        <f>BD72*VLOOKUP('Données projet'!$B$11,Paramètres!$A$1:$I$89,3,0)*VLOOKUP('Données projet'!$B$11,Paramètres!$A$1:$I$89,5,0)</f>
        <v>141.12180000000004</v>
      </c>
      <c r="BF72" s="14">
        <f t="shared" si="91"/>
        <v>36.553874631824975</v>
      </c>
      <c r="BG72" s="22">
        <f t="shared" si="61"/>
        <v>309.45179998376187</v>
      </c>
      <c r="BH72" s="62">
        <f t="shared" si="62"/>
        <v>602.78513331709519</v>
      </c>
      <c r="BI72" s="62">
        <f ca="1">AVERAGE(OFFSET($BH$3,0,0,'Données projet'!$E$11+1,1))-AVERAGE(OFFSET($H$3,0,0,'Données projet'!$E$11+1,1))</f>
        <v>246.73711856758143</v>
      </c>
      <c r="BJ72" s="62">
        <f t="shared" si="92"/>
        <v>145.54897745089966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13.296703296703299</v>
      </c>
      <c r="BY72" s="13">
        <f>IF('Données projet'!$A$114&gt;35,BY71+BX72-CG71,IF(A72&lt;'Données projet'!$A$114,$BV$205^A72,IF(A72='Données projet'!$A$114,'Données projet'!$B$114,BY71+BX72-CG71)))</f>
        <v>455.77252747252754</v>
      </c>
      <c r="BZ72" s="14">
        <f>BY72*VLOOKUP('Données projet'!$B$12,Paramètres!$A$1:$I$89,3,0)*VLOOKUP('Données projet'!$B$12,Paramètres!$A$1:$I$89,5,0)</f>
        <v>254.7768428571429</v>
      </c>
      <c r="CA72" s="14">
        <f t="shared" si="93"/>
        <v>61.607700360287495</v>
      </c>
      <c r="CB72" s="22">
        <f t="shared" si="64"/>
        <v>551.03641277035797</v>
      </c>
      <c r="CC72" s="62">
        <f t="shared" si="65"/>
        <v>844.36974610369134</v>
      </c>
      <c r="CD72" s="62">
        <f ca="1">AVERAGE(OFFSET($CC$3,0,0,'Données projet'!$E$12+1,1))-AVERAGE(OFFSET($H$3,0,0,'Données projet'!$E$12+1,1))</f>
        <v>321.13335003345236</v>
      </c>
      <c r="CE72" s="62">
        <f t="shared" si="94"/>
        <v>301.26825075712128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6.9927014892807051</v>
      </c>
      <c r="CM72" s="23">
        <f>EXP(-LN(2)/2)*CM71+(1-EXP(-LN(2)/2))/(LN(2)/2)*CG72*CJ72*VLOOKUP('Données projet'!$B$12,Paramètres!$A$1:$I$89,3,0)*0.475*44/12</f>
        <v>1.3299767357863943E-5</v>
      </c>
      <c r="CN72" s="24">
        <f t="shared" si="66"/>
        <v>6.9927147890480628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1.1368683772161603E-13</v>
      </c>
      <c r="CU72" s="18">
        <f>CT72*VLOOKUP('Données projet'!$B$13,Paramètres!$A$1:$I$89,3,0)*VLOOKUP('Données projet'!$B$13,Paramètres!$A$1:$I$89,5,0)</f>
        <v>6.7984728957526396E-14</v>
      </c>
      <c r="CV72" s="14">
        <f t="shared" si="95"/>
        <v>1.0682447123141398E-12</v>
      </c>
      <c r="CW72" s="22">
        <f t="shared" si="67"/>
        <v>1.978932943548152E-12</v>
      </c>
      <c r="CX72" s="62">
        <f t="shared" si="68"/>
        <v>293.3333333333353</v>
      </c>
      <c r="CY72" s="62">
        <f ca="1">AVERAGE(OFFSET($CX$3,0,0,'Données projet'!$E$13+1,1))-AVERAGE(OFFSET($H$3,0,0,'Données projet'!$E$13+1,1))</f>
        <v>260.02504691866199</v>
      </c>
      <c r="CZ72" s="62">
        <f t="shared" si="96"/>
        <v>270.11268336406368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4.6230339270607148</v>
      </c>
      <c r="DG72" s="23">
        <f>EXP(-LN(2)/25)*DG71+(1-EXP(-LN(2)/25))/(LN(2)/25)*Calculateur!DB72*Calculateur!DD72*VLOOKUP('Données projet'!$B$13,Paramètres!$A$1:$I$89,3,0)*0.475*44/12</f>
        <v>5.5742998807287254</v>
      </c>
      <c r="DH72" s="23">
        <f>EXP(-LN(2)/2)*DH71+(1-EXP(-LN(2)/2))/(LN(2)/2)*DB72*DE72*VLOOKUP('Données projet'!$B$13,Paramètres!$A$1:$I$89,3,0)*0.475*44/12</f>
        <v>8.5506999536907734E-6</v>
      </c>
      <c r="DI72" s="24">
        <f t="shared" si="69"/>
        <v>10.197342358489395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</v>
      </c>
      <c r="DO72" s="13">
        <f>IF('Données projet'!$A$166&gt;35,DO71+DN72-DW71,IF(A72&lt;'Données projet'!$A$166,$DL$205^A72,IF(A72='Données projet'!$A$166,'Données projet'!$B$166,DO71+DN72-DW71)))</f>
        <v>270.19999999999993</v>
      </c>
      <c r="DP72" s="18">
        <f>DO72*VLOOKUP('Données projet'!$B$14,Paramètres!$A$1:$I$89,3,0)*VLOOKUP('Données projet'!$B$14,Paramètres!$A$1:$I$89,5,0)</f>
        <v>214.97111999999996</v>
      </c>
      <c r="DQ72" s="14">
        <f t="shared" si="97"/>
        <v>53.020416883940428</v>
      </c>
      <c r="DR72" s="22">
        <f t="shared" si="70"/>
        <v>466.75192673952944</v>
      </c>
      <c r="DS72" s="62">
        <f t="shared" si="71"/>
        <v>760.08526007286275</v>
      </c>
      <c r="DT72" s="62">
        <f ca="1">AVERAGE(OFFSET($DS$3,0,0,'Données projet'!$E$14+1,1))-AVERAGE(OFFSET($H$3,0,0,'Données projet'!$E$14+1,1))</f>
        <v>312.53381881960331</v>
      </c>
      <c r="DU72" s="62">
        <f t="shared" si="98"/>
        <v>342.06887933351783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3.6</v>
      </c>
      <c r="EJ72" s="13">
        <f>IF('Données projet'!$A$192&gt;35,EJ71+EI72-ER71,IF(A72&lt;'Données projet'!$A$192,$EG$205^A72,IF(A72='Données projet'!$A$192,'Données projet'!$B$192,EJ71+EI72-ER71)))</f>
        <v>128.39999999999995</v>
      </c>
      <c r="EK72" s="18">
        <f>EJ72*VLOOKUP('Données projet'!$B$15,Paramètres!$A$1:$I$89,3,0)*VLOOKUP('Données projet'!$B$15,Paramètres!$A$1:$I$89,5,0)</f>
        <v>124.18847999999994</v>
      </c>
      <c r="EL72" s="14">
        <f t="shared" si="99"/>
        <v>32.64993430645783</v>
      </c>
      <c r="EM72" s="22">
        <f t="shared" si="73"/>
        <v>273.16023825041395</v>
      </c>
      <c r="EN72" s="62">
        <f t="shared" si="74"/>
        <v>566.49357158374733</v>
      </c>
      <c r="EO72" s="62">
        <f ca="1">AVERAGE(OFFSET($EN$3,0,0,'Données projet'!$E$15+1,1))-AVERAGE(OFFSET($H$3,0,0,'Données projet'!$E$15+1,1))</f>
        <v>255.59755832175625</v>
      </c>
      <c r="EP72" s="62">
        <f t="shared" si="100"/>
        <v>154.0840647586964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7.9230769230769234</v>
      </c>
      <c r="FE72" s="13">
        <f>IF('Données projet'!$A$218&gt;35,FE71+FD72-FM71,IF(A72&lt;'Données projet'!$A$218,$FB$205^A72,IF(A72='Données projet'!$A$218,'Données projet'!$B$218,FE71+FD72-FM71)))</f>
        <v>216.30769230769229</v>
      </c>
      <c r="FF72" s="18">
        <f>FE72*VLOOKUP('Données projet'!$B$16,Paramètres!$A$1:$I$89,3,0)*VLOOKUP('Données projet'!$B$16,Paramètres!$A$1:$I$89,5,0)</f>
        <v>129.352</v>
      </c>
      <c r="FG72" s="14">
        <f t="shared" si="101"/>
        <v>33.846582038850023</v>
      </c>
      <c r="FH72" s="22">
        <f t="shared" si="76"/>
        <v>284.23753038433046</v>
      </c>
      <c r="FI72" s="62">
        <f t="shared" si="77"/>
        <v>577.57086371766377</v>
      </c>
      <c r="FJ72" s="62">
        <f ca="1">AVERAGE(OFFSET($FI$3,0,0,'Données projet'!$E$16+1,1))-AVERAGE(OFFSET($H$3,0,0,'Données projet'!$E$16+1,1))</f>
        <v>197.08445731383847</v>
      </c>
      <c r="FK72" s="62">
        <f t="shared" si="102"/>
        <v>157.12482557016511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808.80277120001347</v>
      </c>
      <c r="S73" s="62">
        <f ca="1">AVERAGE(OFFSET($R$3,0,0,'Données projet'!$E$9+1,1))-AVERAGE(OFFSET($H$3,0,0,'Données projet'!$E$9+1,1))</f>
        <v>428.8489304403459</v>
      </c>
      <c r="T73" s="62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2">
        <f t="shared" si="59"/>
        <v>869.52299500330537</v>
      </c>
      <c r="AN73" s="62">
        <f ca="1">AVERAGE(OFFSET($AM$3,0,0,'Données projet'!$E$10+1,1))-AVERAGE(OFFSET($H$3,0,0,'Données projet'!$E$10+1,1))</f>
        <v>475.47920969424894</v>
      </c>
      <c r="AO73" s="62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9.8224358974358967</v>
      </c>
      <c r="BD73" s="13">
        <f>IF('Données projet'!$A$88&gt;35,BD72+BC73-BL72,IF(A73&lt;'Données projet'!$A$88,$BA$205^A73,IF(A73='Données projet'!$A$88,'Données projet'!$B$88,BD72+BC73-BL72)))</f>
        <v>311.36474358974374</v>
      </c>
      <c r="BE73" s="14">
        <f>BD73*VLOOKUP('Données projet'!$B$11,Paramètres!$A$1:$I$89,3,0)*VLOOKUP('Données projet'!$B$11,Paramètres!$A$1:$I$89,5,0)</f>
        <v>145.71870000000007</v>
      </c>
      <c r="BF73" s="14">
        <f t="shared" si="91"/>
        <v>37.604011207604927</v>
      </c>
      <c r="BG73" s="22">
        <f t="shared" si="61"/>
        <v>319.28705535324531</v>
      </c>
      <c r="BH73" s="62">
        <f t="shared" si="62"/>
        <v>612.62038868657862</v>
      </c>
      <c r="BI73" s="62">
        <f ca="1">AVERAGE(OFFSET($BH$3,0,0,'Données projet'!$E$11+1,1))-AVERAGE(OFFSET($H$3,0,0,'Données projet'!$E$11+1,1))</f>
        <v>246.73711856758143</v>
      </c>
      <c r="BJ73" s="62">
        <f t="shared" si="92"/>
        <v>145.54897745089966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469.06923076923073</v>
      </c>
      <c r="BW73" s="13">
        <f>VLOOKUP(A73,'Données projet'!$A$113:$I$133,9,0)</f>
        <v>13.296703296703299</v>
      </c>
      <c r="BX73" s="13">
        <f t="array" ref="BX73">INDEX(BW:BW,MIN(IF(ISNUMBER(BW73:BW269),ROW(BW73:BW269),"")))</f>
        <v>13.296703296703299</v>
      </c>
      <c r="BY73" s="13">
        <f>IF('Données projet'!$A$114&gt;35,BY72+BX73-CG72,IF(A73&lt;'Données projet'!$A$114,$BV$205^A73,IF(A73='Données projet'!$A$114,'Données projet'!$B$114,BY72+BX73-CG72)))</f>
        <v>469.06923076923084</v>
      </c>
      <c r="BZ73" s="14">
        <f>BY73*VLOOKUP('Données projet'!$B$12,Paramètres!$A$1:$I$89,3,0)*VLOOKUP('Données projet'!$B$12,Paramètres!$A$1:$I$89,5,0)</f>
        <v>262.20970000000005</v>
      </c>
      <c r="CA73" s="14">
        <f t="shared" si="93"/>
        <v>63.193164452376628</v>
      </c>
      <c r="CB73" s="22">
        <f t="shared" si="64"/>
        <v>566.74332225455601</v>
      </c>
      <c r="CC73" s="62">
        <f t="shared" si="65"/>
        <v>860.07665558788926</v>
      </c>
      <c r="CD73" s="62">
        <f ca="1">AVERAGE(OFFSET($CC$3,0,0,'Données projet'!$E$12+1,1))-AVERAGE(OFFSET($H$3,0,0,'Données projet'!$E$12+1,1))</f>
        <v>321.13335003345236</v>
      </c>
      <c r="CE73" s="62">
        <f t="shared" si="94"/>
        <v>301.26825075712128</v>
      </c>
      <c r="CF73" s="16">
        <f>IF(ISNA(VLOOKUP(A73,'Données projet'!$A$113:$I$133,3,0)),0,VLOOKUP(A73,'Données projet'!$A$113:$I$133,3,0))</f>
        <v>8</v>
      </c>
      <c r="CG73" s="16">
        <f>IF(ISNA(VLOOKUP(A73,'Données projet'!$A$113:$I$133,4,0)),0,VLOOKUP(A73,'Données projet'!$A$113:$I$133,4,0))</f>
        <v>469.06923076923073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6.8014856993261352</v>
      </c>
      <c r="CM73" s="23">
        <f>EXP(-LN(2)/2)*CM72+(1-EXP(-LN(2)/2))/(LN(2)/2)*CG73*CJ73*VLOOKUP('Données projet'!$B$12,Paramètres!$A$1:$I$89,3,0)*0.475*44/12</f>
        <v>9.4043556869490865E-6</v>
      </c>
      <c r="CN73" s="24">
        <f t="shared" si="66"/>
        <v>6.8014951036818223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6.7984728957526396E-14</v>
      </c>
      <c r="CV73" s="14">
        <f t="shared" si="95"/>
        <v>1.0682447123141398E-12</v>
      </c>
      <c r="CW73" s="22">
        <f t="shared" si="67"/>
        <v>1.978932943548152E-12</v>
      </c>
      <c r="CX73" s="62">
        <f t="shared" si="68"/>
        <v>293.3333333333353</v>
      </c>
      <c r="CY73" s="62">
        <f ca="1">AVERAGE(OFFSET($CX$3,0,0,'Données projet'!$E$13+1,1))-AVERAGE(OFFSET($H$3,0,0,'Données projet'!$E$13+1,1))</f>
        <v>260.02504691866199</v>
      </c>
      <c r="CZ73" s="62">
        <f t="shared" si="96"/>
        <v>270.11268336406368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4.5323790515233204</v>
      </c>
      <c r="DG73" s="23">
        <f>EXP(-LN(2)/25)*DG72+(1-EXP(-LN(2)/25))/(LN(2)/25)*Calculateur!DB73*Calculateur!DD73*VLOOKUP('Données projet'!$B$13,Paramètres!$A$1:$I$89,3,0)*0.475*44/12</f>
        <v>5.4218703573505076</v>
      </c>
      <c r="DH73" s="23">
        <f>EXP(-LN(2)/2)*DH72+(1-EXP(-LN(2)/2))/(LN(2)/2)*DB73*DE73*VLOOKUP('Données projet'!$B$13,Paramètres!$A$1:$I$89,3,0)*0.475*44/12</f>
        <v>6.0462579211462438E-6</v>
      </c>
      <c r="DI73" s="24">
        <f t="shared" si="69"/>
        <v>9.954255455131749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274</v>
      </c>
      <c r="DM73" s="13">
        <f>VLOOKUP(A73,'Données projet'!$A$165:$I$185,9,0)</f>
        <v>3.8</v>
      </c>
      <c r="DN73" s="13">
        <f t="array" ref="DN73">INDEX(DM:DM,MIN(IF(ISNUMBER(DM73:DM269),ROW(DM73:DM269),"")))</f>
        <v>3.8</v>
      </c>
      <c r="DO73" s="13">
        <f>IF('Données projet'!$A$166&gt;35,DO72+DN73-DW72,IF(A73&lt;'Données projet'!$A$166,$DL$205^A73,IF(A73='Données projet'!$A$166,'Données projet'!$B$166,DO72+DN73-DW72)))</f>
        <v>273.99999999999994</v>
      </c>
      <c r="DP73" s="18">
        <f>DO73*VLOOKUP('Données projet'!$B$14,Paramètres!$A$1:$I$89,3,0)*VLOOKUP('Données projet'!$B$14,Paramètres!$A$1:$I$89,5,0)</f>
        <v>217.99439999999998</v>
      </c>
      <c r="DQ73" s="14">
        <f t="shared" si="97"/>
        <v>53.678746401110374</v>
      </c>
      <c r="DR73" s="22">
        <f t="shared" si="70"/>
        <v>473.16406331526713</v>
      </c>
      <c r="DS73" s="62">
        <f t="shared" si="71"/>
        <v>766.49739664860044</v>
      </c>
      <c r="DT73" s="62">
        <f ca="1">AVERAGE(OFFSET($DS$3,0,0,'Données projet'!$E$14+1,1))-AVERAGE(OFFSET($H$3,0,0,'Données projet'!$E$14+1,1))</f>
        <v>312.53381881960331</v>
      </c>
      <c r="DU73" s="62">
        <f t="shared" si="98"/>
        <v>342.06887933351783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132</v>
      </c>
      <c r="EH73" s="13">
        <f>VLOOKUP(A73,'Données projet'!$A$191:$I$211,9,0)</f>
        <v>3.6</v>
      </c>
      <c r="EI73" s="13">
        <f t="array" ref="EI73">INDEX(EH:EH,MIN(IF(ISNUMBER(EH73:EH269),ROW(EH73:EH269),"")))</f>
        <v>3.6</v>
      </c>
      <c r="EJ73" s="13">
        <f>IF('Données projet'!$A$192&gt;35,EJ72+EI73-ER72,IF(A73&lt;'Données projet'!$A$192,$EG$205^A73,IF(A73='Données projet'!$A$192,'Données projet'!$B$192,EJ72+EI73-ER72)))</f>
        <v>131.99999999999994</v>
      </c>
      <c r="EK73" s="18">
        <f>EJ73*VLOOKUP('Données projet'!$B$15,Paramètres!$A$1:$I$89,3,0)*VLOOKUP('Données projet'!$B$15,Paramètres!$A$1:$I$89,5,0)</f>
        <v>127.67039999999994</v>
      </c>
      <c r="EL73" s="14">
        <f t="shared" si="99"/>
        <v>33.457491972285482</v>
      </c>
      <c r="EM73" s="22">
        <f t="shared" si="73"/>
        <v>280.63107851839709</v>
      </c>
      <c r="EN73" s="62">
        <f t="shared" si="74"/>
        <v>573.96441185173035</v>
      </c>
      <c r="EO73" s="62">
        <f ca="1">AVERAGE(OFFSET($EN$3,0,0,'Données projet'!$E$15+1,1))-AVERAGE(OFFSET($H$3,0,0,'Données projet'!$E$15+1,1))</f>
        <v>255.59755832175625</v>
      </c>
      <c r="EP73" s="62">
        <f t="shared" si="100"/>
        <v>154.0840647586964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7.9230769230769234</v>
      </c>
      <c r="FE73" s="13">
        <f>IF('Données projet'!$A$218&gt;35,FE72+FD73-FM72,IF(A73&lt;'Données projet'!$A$218,$FB$205^A73,IF(A73='Données projet'!$A$218,'Données projet'!$B$218,FE72+FD73-FM72)))</f>
        <v>224.23076923076923</v>
      </c>
      <c r="FF73" s="18">
        <f>FE73*VLOOKUP('Données projet'!$B$16,Paramètres!$A$1:$I$89,3,0)*VLOOKUP('Données projet'!$B$16,Paramètres!$A$1:$I$89,5,0)</f>
        <v>134.09</v>
      </c>
      <c r="FG73" s="14">
        <f t="shared" si="101"/>
        <v>34.939727679026305</v>
      </c>
      <c r="FH73" s="22">
        <f t="shared" si="76"/>
        <v>294.39344237430413</v>
      </c>
      <c r="FI73" s="62">
        <f t="shared" si="77"/>
        <v>587.72677570763744</v>
      </c>
      <c r="FJ73" s="62">
        <f ca="1">AVERAGE(OFFSET($FI$3,0,0,'Données projet'!$E$16+1,1))-AVERAGE(OFFSET($H$3,0,0,'Données projet'!$E$16+1,1))</f>
        <v>197.08445731383847</v>
      </c>
      <c r="FK73" s="62">
        <f t="shared" si="102"/>
        <v>157.12482557016511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428.8489304403459</v>
      </c>
      <c r="T74" s="62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475.47920969424894</v>
      </c>
      <c r="AO74" s="62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9.8224358974358967</v>
      </c>
      <c r="BD74" s="13">
        <f>IF('Données projet'!$A$88&gt;35,BD73+BC74-BL73,IF(A74&lt;'Données projet'!$A$88,$BA$205^A74,IF(A74='Données projet'!$A$88,'Données projet'!$B$88,BD73+BC74-BL73)))</f>
        <v>321.18717948717966</v>
      </c>
      <c r="BE74" s="14">
        <f>BD74*VLOOKUP('Données projet'!$B$11,Paramètres!$A$1:$I$89,3,0)*VLOOKUP('Données projet'!$B$11,Paramètres!$A$1:$I$89,5,0)</f>
        <v>150.31560000000007</v>
      </c>
      <c r="BF74" s="14">
        <f t="shared" si="91"/>
        <v>38.650298077744381</v>
      </c>
      <c r="BG74" s="22">
        <f t="shared" si="61"/>
        <v>329.11560581873823</v>
      </c>
      <c r="BH74" s="62">
        <f t="shared" si="62"/>
        <v>622.44893915207149</v>
      </c>
      <c r="BI74" s="62">
        <f ca="1">AVERAGE(OFFSET($BH$3,0,0,'Données projet'!$E$11+1,1))-AVERAGE(OFFSET($H$3,0,0,'Données projet'!$E$11+1,1))</f>
        <v>246.73711856758143</v>
      </c>
      <c r="BJ74" s="62">
        <f t="shared" si="92"/>
        <v>145.54897745089966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6.3550942286383367E-14</v>
      </c>
      <c r="CA74" s="14">
        <f t="shared" si="93"/>
        <v>1.0064464192543978E-12</v>
      </c>
      <c r="CB74" s="22">
        <f t="shared" si="64"/>
        <v>1.8635787380168604E-12</v>
      </c>
      <c r="CC74" s="62">
        <f t="shared" si="65"/>
        <v>293.33333333333519</v>
      </c>
      <c r="CD74" s="62">
        <f ca="1">AVERAGE(OFFSET($CC$3,0,0,'Données projet'!$E$12+1,1))-AVERAGE(OFFSET($H$3,0,0,'Données projet'!$E$12+1,1))</f>
        <v>321.13335003345236</v>
      </c>
      <c r="CE74" s="62">
        <f t="shared" si="94"/>
        <v>301.26825075712128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6.6154987152034739</v>
      </c>
      <c r="CM74" s="23">
        <f>EXP(-LN(2)/2)*CM73+(1-EXP(-LN(2)/2))/(LN(2)/2)*CG74*CJ74*VLOOKUP('Données projet'!$B$12,Paramètres!$A$1:$I$89,3,0)*0.475*44/12</f>
        <v>6.6498836789319717E-6</v>
      </c>
      <c r="CN74" s="24">
        <f t="shared" si="66"/>
        <v>6.6155053650871531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6.7984728957526396E-14</v>
      </c>
      <c r="CV74" s="14">
        <f t="shared" si="95"/>
        <v>1.0682447123141398E-12</v>
      </c>
      <c r="CW74" s="22">
        <f t="shared" si="67"/>
        <v>1.978932943548152E-12</v>
      </c>
      <c r="CX74" s="62">
        <f t="shared" si="68"/>
        <v>293.3333333333353</v>
      </c>
      <c r="CY74" s="62">
        <f ca="1">AVERAGE(OFFSET($CX$3,0,0,'Données projet'!$E$13+1,1))-AVERAGE(OFFSET($H$3,0,0,'Données projet'!$E$13+1,1))</f>
        <v>260.02504691866199</v>
      </c>
      <c r="CZ74" s="62">
        <f t="shared" si="96"/>
        <v>270.11268336406368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4.4435018628011997</v>
      </c>
      <c r="DG74" s="23">
        <f>EXP(-LN(2)/25)*DG73+(1-EXP(-LN(2)/25))/(LN(2)/25)*Calculateur!DB74*Calculateur!DD74*VLOOKUP('Données projet'!$B$13,Paramètres!$A$1:$I$89,3,0)*0.475*44/12</f>
        <v>5.273609027304988</v>
      </c>
      <c r="DH74" s="23">
        <f>EXP(-LN(2)/2)*DH73+(1-EXP(-LN(2)/2))/(LN(2)/2)*DB74*DE74*VLOOKUP('Données projet'!$B$13,Paramètres!$A$1:$I$89,3,0)*0.475*44/12</f>
        <v>4.2753499768453867E-6</v>
      </c>
      <c r="DI74" s="24">
        <f t="shared" si="69"/>
        <v>9.717115165456164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256.39999999999992</v>
      </c>
      <c r="DP74" s="18">
        <f>DO74*VLOOKUP('Données projet'!$B$14,Paramètres!$A$1:$I$89,3,0)*VLOOKUP('Données projet'!$B$14,Paramètres!$A$1:$I$89,5,0)</f>
        <v>203.99183999999994</v>
      </c>
      <c r="DQ74" s="14">
        <f t="shared" si="97"/>
        <v>50.620441749347997</v>
      </c>
      <c r="DR74" s="22">
        <f t="shared" si="70"/>
        <v>443.449724046781</v>
      </c>
      <c r="DS74" s="62">
        <f t="shared" si="71"/>
        <v>736.78305738011431</v>
      </c>
      <c r="DT74" s="62">
        <f ca="1">AVERAGE(OFFSET($DS$3,0,0,'Données projet'!$E$14+1,1))-AVERAGE(OFFSET($H$3,0,0,'Données projet'!$E$14+1,1))</f>
        <v>312.53381881960331</v>
      </c>
      <c r="DU74" s="62">
        <f t="shared" si="98"/>
        <v>342.06887933351783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</v>
      </c>
      <c r="EJ74" s="13">
        <f>IF('Données projet'!$A$192&gt;35,EJ73+EI74-ER73,IF(A74&lt;'Données projet'!$A$192,$EG$205^A74,IF(A74='Données projet'!$A$192,'Données projet'!$B$192,EJ73+EI74-ER73)))</f>
        <v>135.39999999999995</v>
      </c>
      <c r="EK74" s="18">
        <f>EJ74*VLOOKUP('Données projet'!$B$15,Paramètres!$A$1:$I$89,3,0)*VLOOKUP('Données projet'!$B$15,Paramètres!$A$1:$I$89,5,0)</f>
        <v>130.95887999999994</v>
      </c>
      <c r="EL74" s="14">
        <f t="shared" si="99"/>
        <v>34.217833491149499</v>
      </c>
      <c r="EM74" s="22">
        <f t="shared" si="73"/>
        <v>287.68277599708523</v>
      </c>
      <c r="EN74" s="62">
        <f t="shared" si="74"/>
        <v>581.01610933041854</v>
      </c>
      <c r="EO74" s="62">
        <f ca="1">AVERAGE(OFFSET($EN$3,0,0,'Données projet'!$E$15+1,1))-AVERAGE(OFFSET($H$3,0,0,'Données projet'!$E$15+1,1))</f>
        <v>255.59755832175625</v>
      </c>
      <c r="EP74" s="62">
        <f t="shared" si="100"/>
        <v>154.0840647586964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7.9230769230769234</v>
      </c>
      <c r="FE74" s="13">
        <f>IF('Données projet'!$A$218&gt;35,FE73+FD74-FM73,IF(A74&lt;'Données projet'!$A$218,$FB$205^A74,IF(A74='Données projet'!$A$218,'Données projet'!$B$218,FE73+FD74-FM73)))</f>
        <v>232.15384615384616</v>
      </c>
      <c r="FF74" s="18">
        <f>FE74*VLOOKUP('Données projet'!$B$16,Paramètres!$A$1:$I$89,3,0)*VLOOKUP('Données projet'!$B$16,Paramètres!$A$1:$I$89,5,0)</f>
        <v>138.82800000000003</v>
      </c>
      <c r="FG74" s="14">
        <f t="shared" si="101"/>
        <v>36.028385531122503</v>
      </c>
      <c r="FH74" s="22">
        <f t="shared" si="76"/>
        <v>304.54153813337172</v>
      </c>
      <c r="FI74" s="62">
        <f t="shared" si="77"/>
        <v>597.87487146670503</v>
      </c>
      <c r="FJ74" s="62">
        <f ca="1">AVERAGE(OFFSET($FI$3,0,0,'Données projet'!$E$16+1,1))-AVERAGE(OFFSET($H$3,0,0,'Données projet'!$E$16+1,1))</f>
        <v>197.08445731383847</v>
      </c>
      <c r="FK74" s="62">
        <f t="shared" si="102"/>
        <v>157.12482557016511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428.8489304403459</v>
      </c>
      <c r="T75" s="62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475.47920969424894</v>
      </c>
      <c r="AO75" s="62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9.8224358974358967</v>
      </c>
      <c r="BD75" s="13">
        <f>IF('Données projet'!$A$88&gt;35,BD74+BC75-BL74,IF(A75&lt;'Données projet'!$A$88,$BA$205^A75,IF(A75='Données projet'!$A$88,'Données projet'!$B$88,BD74+BC75-BL74)))</f>
        <v>331.00961538461559</v>
      </c>
      <c r="BE75" s="14">
        <f>BD75*VLOOKUP('Données projet'!$B$11,Paramètres!$A$1:$I$89,3,0)*VLOOKUP('Données projet'!$B$11,Paramètres!$A$1:$I$89,5,0)</f>
        <v>154.91250000000008</v>
      </c>
      <c r="BF75" s="14">
        <f t="shared" si="91"/>
        <v>39.692866484273061</v>
      </c>
      <c r="BG75" s="22">
        <f t="shared" si="61"/>
        <v>338.93767996010905</v>
      </c>
      <c r="BH75" s="62">
        <f t="shared" si="62"/>
        <v>632.27101329344237</v>
      </c>
      <c r="BI75" s="62">
        <f ca="1">AVERAGE(OFFSET($BH$3,0,0,'Données projet'!$E$11+1,1))-AVERAGE(OFFSET($H$3,0,0,'Données projet'!$E$11+1,1))</f>
        <v>246.73711856758143</v>
      </c>
      <c r="BJ75" s="62">
        <f t="shared" si="92"/>
        <v>145.54897745089966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6.3550942286383367E-14</v>
      </c>
      <c r="CA75" s="14">
        <f t="shared" si="93"/>
        <v>1.0064464192543978E-12</v>
      </c>
      <c r="CB75" s="22">
        <f t="shared" si="64"/>
        <v>1.8635787380168604E-12</v>
      </c>
      <c r="CC75" s="62">
        <f t="shared" si="65"/>
        <v>293.33333333333519</v>
      </c>
      <c r="CD75" s="62">
        <f ca="1">AVERAGE(OFFSET($CC$3,0,0,'Données projet'!$E$12+1,1))-AVERAGE(OFFSET($H$3,0,0,'Données projet'!$E$12+1,1))</f>
        <v>321.13335003345236</v>
      </c>
      <c r="CE75" s="62">
        <f t="shared" si="94"/>
        <v>301.26825075712128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6.4345975549422771</v>
      </c>
      <c r="CM75" s="23">
        <f>EXP(-LN(2)/2)*CM74+(1-EXP(-LN(2)/2))/(LN(2)/2)*CG75*CJ75*VLOOKUP('Données projet'!$B$12,Paramètres!$A$1:$I$89,3,0)*0.475*44/12</f>
        <v>4.7021778434745433E-6</v>
      </c>
      <c r="CN75" s="24">
        <f t="shared" si="66"/>
        <v>6.4346022571201207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6.7984728957526396E-14</v>
      </c>
      <c r="CV75" s="14">
        <f t="shared" si="95"/>
        <v>1.0682447123141398E-12</v>
      </c>
      <c r="CW75" s="22">
        <f t="shared" si="67"/>
        <v>1.978932943548152E-12</v>
      </c>
      <c r="CX75" s="62">
        <f t="shared" si="68"/>
        <v>293.3333333333353</v>
      </c>
      <c r="CY75" s="62">
        <f ca="1">AVERAGE(OFFSET($CX$3,0,0,'Données projet'!$E$13+1,1))-AVERAGE(OFFSET($H$3,0,0,'Données projet'!$E$13+1,1))</f>
        <v>260.02504691866199</v>
      </c>
      <c r="CZ75" s="62">
        <f t="shared" si="96"/>
        <v>270.11268336406368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4.3563675015401877</v>
      </c>
      <c r="DG75" s="23">
        <f>EXP(-LN(2)/25)*DG74+(1-EXP(-LN(2)/25))/(LN(2)/25)*Calculateur!DB75*Calculateur!DD75*VLOOKUP('Données projet'!$B$13,Paramètres!$A$1:$I$89,3,0)*0.475*44/12</f>
        <v>5.129401911126287</v>
      </c>
      <c r="DH75" s="23">
        <f>EXP(-LN(2)/2)*DH74+(1-EXP(-LN(2)/2))/(LN(2)/2)*DB75*DE75*VLOOKUP('Données projet'!$B$13,Paramètres!$A$1:$I$89,3,0)*0.475*44/12</f>
        <v>3.0231289605731219E-6</v>
      </c>
      <c r="DI75" s="24">
        <f t="shared" si="69"/>
        <v>9.4857724357954361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259.7999999999999</v>
      </c>
      <c r="DP75" s="18">
        <f>DO75*VLOOKUP('Données projet'!$B$14,Paramètres!$A$1:$I$89,3,0)*VLOOKUP('Données projet'!$B$14,Paramètres!$A$1:$I$89,5,0)</f>
        <v>206.69687999999994</v>
      </c>
      <c r="DQ75" s="14">
        <f t="shared" si="97"/>
        <v>51.213106197404436</v>
      </c>
      <c r="DR75" s="22">
        <f t="shared" si="70"/>
        <v>449.1932259604792</v>
      </c>
      <c r="DS75" s="62">
        <f t="shared" si="71"/>
        <v>742.52655929381251</v>
      </c>
      <c r="DT75" s="62">
        <f ca="1">AVERAGE(OFFSET($DS$3,0,0,'Données projet'!$E$14+1,1))-AVERAGE(OFFSET($H$3,0,0,'Données projet'!$E$14+1,1))</f>
        <v>312.53381881960331</v>
      </c>
      <c r="DU75" s="62">
        <f t="shared" si="98"/>
        <v>342.06887933351783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</v>
      </c>
      <c r="EJ75" s="13">
        <f>IF('Données projet'!$A$192&gt;35,EJ74+EI75-ER74,IF(A75&lt;'Données projet'!$A$192,$EG$205^A75,IF(A75='Données projet'!$A$192,'Données projet'!$B$192,EJ74+EI75-ER74)))</f>
        <v>138.79999999999995</v>
      </c>
      <c r="EK75" s="18">
        <f>EJ75*VLOOKUP('Données projet'!$B$15,Paramètres!$A$1:$I$89,3,0)*VLOOKUP('Données projet'!$B$15,Paramètres!$A$1:$I$89,5,0)</f>
        <v>134.24735999999996</v>
      </c>
      <c r="EL75" s="14">
        <f t="shared" si="99"/>
        <v>34.975955609758309</v>
      </c>
      <c r="EM75" s="22">
        <f t="shared" si="73"/>
        <v>294.73060802032893</v>
      </c>
      <c r="EN75" s="62">
        <f t="shared" si="74"/>
        <v>588.06394135366224</v>
      </c>
      <c r="EO75" s="62">
        <f ca="1">AVERAGE(OFFSET($EN$3,0,0,'Données projet'!$E$15+1,1))-AVERAGE(OFFSET($H$3,0,0,'Données projet'!$E$15+1,1))</f>
        <v>255.59755832175625</v>
      </c>
      <c r="EP75" s="62">
        <f t="shared" si="100"/>
        <v>154.0840647586964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7.9230769230769234</v>
      </c>
      <c r="FE75" s="13">
        <f>IF('Données projet'!$A$218&gt;35,FE74+FD75-FM74,IF(A75&lt;'Données projet'!$A$218,$FB$205^A75,IF(A75='Données projet'!$A$218,'Données projet'!$B$218,FE74+FD75-FM74)))</f>
        <v>240.07692307692309</v>
      </c>
      <c r="FF75" s="18">
        <f>FE75*VLOOKUP('Données projet'!$B$16,Paramètres!$A$1:$I$89,3,0)*VLOOKUP('Données projet'!$B$16,Paramètres!$A$1:$I$89,5,0)</f>
        <v>143.56600000000003</v>
      </c>
      <c r="FG75" s="14">
        <f t="shared" si="101"/>
        <v>37.112726313076166</v>
      </c>
      <c r="FH75" s="22">
        <f t="shared" si="76"/>
        <v>314.68211499527439</v>
      </c>
      <c r="FI75" s="62">
        <f t="shared" si="77"/>
        <v>608.0154483286077</v>
      </c>
      <c r="FJ75" s="62">
        <f ca="1">AVERAGE(OFFSET($FI$3,0,0,'Données projet'!$E$16+1,1))-AVERAGE(OFFSET($H$3,0,0,'Données projet'!$E$16+1,1))</f>
        <v>197.08445731383847</v>
      </c>
      <c r="FK75" s="62">
        <f t="shared" si="102"/>
        <v>157.12482557016511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763.94335289202195</v>
      </c>
      <c r="S76" s="62">
        <f ca="1">AVERAGE(OFFSET($R$3,0,0,'Données projet'!$E$9+1,1))-AVERAGE(OFFSET($H$3,0,0,'Données projet'!$E$9+1,1))</f>
        <v>428.8489304403459</v>
      </c>
      <c r="T76" s="62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475.47920969424894</v>
      </c>
      <c r="AO76" s="62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9.8224358974358967</v>
      </c>
      <c r="BD76" s="13">
        <f>IF('Données projet'!$A$88&gt;35,BD75+BC76-BL75,IF(A76&lt;'Données projet'!$A$88,$BA$205^A76,IF(A76='Données projet'!$A$88,'Données projet'!$B$88,BD75+BC76-BL75)))</f>
        <v>340.83205128205151</v>
      </c>
      <c r="BE76" s="14">
        <f>BD76*VLOOKUP('Données projet'!$B$11,Paramètres!$A$1:$I$89,3,0)*VLOOKUP('Données projet'!$B$11,Paramètres!$A$1:$I$89,5,0)</f>
        <v>159.50940000000011</v>
      </c>
      <c r="BF76" s="14">
        <f t="shared" si="91"/>
        <v>40.7318394374633</v>
      </c>
      <c r="BG76" s="22">
        <f t="shared" si="61"/>
        <v>348.75349202024876</v>
      </c>
      <c r="BH76" s="62">
        <f t="shared" si="62"/>
        <v>642.08682535358207</v>
      </c>
      <c r="BI76" s="62">
        <f ca="1">AVERAGE(OFFSET($BH$3,0,0,'Données projet'!$E$11+1,1))-AVERAGE(OFFSET($H$3,0,0,'Données projet'!$E$11+1,1))</f>
        <v>246.73711856758143</v>
      </c>
      <c r="BJ76" s="62">
        <f t="shared" si="92"/>
        <v>145.54897745089966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6.3550942286383367E-14</v>
      </c>
      <c r="CA76" s="14">
        <f t="shared" si="93"/>
        <v>1.0064464192543978E-12</v>
      </c>
      <c r="CB76" s="22">
        <f t="shared" si="64"/>
        <v>1.8635787380168604E-12</v>
      </c>
      <c r="CC76" s="62">
        <f t="shared" si="65"/>
        <v>293.33333333333519</v>
      </c>
      <c r="CD76" s="62">
        <f ca="1">AVERAGE(OFFSET($CC$3,0,0,'Données projet'!$E$12+1,1))-AVERAGE(OFFSET($H$3,0,0,'Données projet'!$E$12+1,1))</f>
        <v>321.13335003345236</v>
      </c>
      <c r="CE76" s="62">
        <f t="shared" si="94"/>
        <v>301.26825075712128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6.2586431464216012</v>
      </c>
      <c r="CM76" s="23">
        <f>EXP(-LN(2)/2)*CM75+(1-EXP(-LN(2)/2))/(LN(2)/2)*CG76*CJ76*VLOOKUP('Données projet'!$B$12,Paramètres!$A$1:$I$89,3,0)*0.475*44/12</f>
        <v>3.3249418394659858E-6</v>
      </c>
      <c r="CN76" s="24">
        <f t="shared" si="66"/>
        <v>6.2586464713634404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6.7984728957526396E-14</v>
      </c>
      <c r="CV76" s="14">
        <f t="shared" si="95"/>
        <v>1.0682447123141398E-12</v>
      </c>
      <c r="CW76" s="22">
        <f t="shared" si="67"/>
        <v>1.978932943548152E-12</v>
      </c>
      <c r="CX76" s="62">
        <f t="shared" si="68"/>
        <v>293.3333333333353</v>
      </c>
      <c r="CY76" s="62">
        <f ca="1">AVERAGE(OFFSET($CX$3,0,0,'Données projet'!$E$13+1,1))-AVERAGE(OFFSET($H$3,0,0,'Données projet'!$E$13+1,1))</f>
        <v>260.02504691866199</v>
      </c>
      <c r="CZ76" s="62">
        <f t="shared" si="96"/>
        <v>270.11268336406368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4.2709417919567914</v>
      </c>
      <c r="DG76" s="23">
        <f>EXP(-LN(2)/25)*DG75+(1-EXP(-LN(2)/25))/(LN(2)/25)*Calculateur!DB76*Calculateur!DD76*VLOOKUP('Données projet'!$B$13,Paramètres!$A$1:$I$89,3,0)*0.475*44/12</f>
        <v>4.9891381461230155</v>
      </c>
      <c r="DH76" s="23">
        <f>EXP(-LN(2)/2)*DH75+(1-EXP(-LN(2)/2))/(LN(2)/2)*DB76*DE76*VLOOKUP('Données projet'!$B$13,Paramètres!$A$1:$I$89,3,0)*0.475*44/12</f>
        <v>2.1376749884226934E-6</v>
      </c>
      <c r="DI76" s="24">
        <f t="shared" si="69"/>
        <v>9.260082075754795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263.19999999999987</v>
      </c>
      <c r="DP76" s="18">
        <f>DO76*VLOOKUP('Données projet'!$B$14,Paramètres!$A$1:$I$89,3,0)*VLOOKUP('Données projet'!$B$14,Paramètres!$A$1:$I$89,5,0)</f>
        <v>209.4019199999999</v>
      </c>
      <c r="DQ76" s="14">
        <f t="shared" si="97"/>
        <v>51.804868484579039</v>
      </c>
      <c r="DR76" s="22">
        <f t="shared" si="70"/>
        <v>454.93515661064163</v>
      </c>
      <c r="DS76" s="62">
        <f t="shared" si="71"/>
        <v>748.26848994397494</v>
      </c>
      <c r="DT76" s="62">
        <f ca="1">AVERAGE(OFFSET($DS$3,0,0,'Données projet'!$E$14+1,1))-AVERAGE(OFFSET($H$3,0,0,'Données projet'!$E$14+1,1))</f>
        <v>312.53381881960331</v>
      </c>
      <c r="DU76" s="62">
        <f t="shared" si="98"/>
        <v>342.06887933351783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</v>
      </c>
      <c r="EJ76" s="13">
        <f>IF('Données projet'!$A$192&gt;35,EJ75+EI76-ER75,IF(A76&lt;'Données projet'!$A$192,$EG$205^A76,IF(A76='Données projet'!$A$192,'Données projet'!$B$192,EJ75+EI76-ER75)))</f>
        <v>142.19999999999996</v>
      </c>
      <c r="EK76" s="18">
        <f>EJ76*VLOOKUP('Données projet'!$B$15,Paramètres!$A$1:$I$89,3,0)*VLOOKUP('Données projet'!$B$15,Paramètres!$A$1:$I$89,5,0)</f>
        <v>137.53583999999995</v>
      </c>
      <c r="EL76" s="14">
        <f t="shared" si="99"/>
        <v>35.731918947808438</v>
      </c>
      <c r="EM76" s="22">
        <f t="shared" si="73"/>
        <v>301.7746801674329</v>
      </c>
      <c r="EN76" s="62">
        <f t="shared" si="74"/>
        <v>595.10801350076622</v>
      </c>
      <c r="EO76" s="62">
        <f ca="1">AVERAGE(OFFSET($EN$3,0,0,'Données projet'!$E$15+1,1))-AVERAGE(OFFSET($H$3,0,0,'Données projet'!$E$15+1,1))</f>
        <v>255.59755832175625</v>
      </c>
      <c r="EP76" s="62">
        <f t="shared" si="100"/>
        <v>154.0840647586964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>
        <f>VLOOKUP(A76,'Données projet'!$A$217:$I$237,2,0)</f>
        <v>248</v>
      </c>
      <c r="FC76" s="13">
        <f>VLOOKUP(A76,'Données projet'!$A$217:$I$237,9,0)</f>
        <v>7.9230769230769234</v>
      </c>
      <c r="FD76" s="13">
        <f t="array" ref="FD76">INDEX(FC:FC,MIN(IF(ISNUMBER(FC76:FC272),ROW(FC76:FC272),"")))</f>
        <v>7.9230769230769234</v>
      </c>
      <c r="FE76" s="13">
        <f>IF('Données projet'!$A$218&gt;35,FE75+FD76-FM75,IF(A76&lt;'Données projet'!$A$218,$FB$205^A76,IF(A76='Données projet'!$A$218,'Données projet'!$B$218,FE75+FD76-FM75)))</f>
        <v>248.00000000000003</v>
      </c>
      <c r="FF76" s="18">
        <f>FE76*VLOOKUP('Données projet'!$B$16,Paramètres!$A$1:$I$89,3,0)*VLOOKUP('Données projet'!$B$16,Paramètres!$A$1:$I$89,5,0)</f>
        <v>148.30400000000003</v>
      </c>
      <c r="FG76" s="14">
        <f t="shared" si="101"/>
        <v>38.192908835171721</v>
      </c>
      <c r="FH76" s="22">
        <f t="shared" si="76"/>
        <v>324.81544955459077</v>
      </c>
      <c r="FI76" s="62">
        <f t="shared" si="77"/>
        <v>618.14878288792409</v>
      </c>
      <c r="FJ76" s="62">
        <f ca="1">AVERAGE(OFFSET($FI$3,0,0,'Données projet'!$E$16+1,1))-AVERAGE(OFFSET($H$3,0,0,'Données projet'!$E$16+1,1))</f>
        <v>197.08445731383847</v>
      </c>
      <c r="FK76" s="62">
        <f t="shared" si="102"/>
        <v>157.12482557016511</v>
      </c>
      <c r="FL76" s="16">
        <f>IF(ISNA(VLOOKUP(A76,'Données projet'!$A$217:$I$237,3,0)),0,VLOOKUP(A76,'Données projet'!$A$217:$I$237,3,0))</f>
        <v>5</v>
      </c>
      <c r="FM76" s="16">
        <f>IF(ISNA(VLOOKUP(A76,'Données projet'!$A$217:$I$237,4,0)),0,VLOOKUP(A76,'Données projet'!$A$217:$I$237,4,0))</f>
        <v>67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428.8489304403459</v>
      </c>
      <c r="T77" s="62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475.47920969424894</v>
      </c>
      <c r="AO77" s="62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9.8224358974358967</v>
      </c>
      <c r="BD77" s="13">
        <f>IF('Données projet'!$A$88&gt;35,BD76+BC77-BL76,IF(A77&lt;'Données projet'!$A$88,$BA$205^A77,IF(A77='Données projet'!$A$88,'Données projet'!$B$88,BD76+BC77-BL76)))</f>
        <v>350.65448717948743</v>
      </c>
      <c r="BE77" s="14">
        <f>BD77*VLOOKUP('Données projet'!$B$11,Paramètres!$A$1:$I$89,3,0)*VLOOKUP('Données projet'!$B$11,Paramètres!$A$1:$I$89,5,0)</f>
        <v>164.10630000000012</v>
      </c>
      <c r="BF77" s="14">
        <f t="shared" si="91"/>
        <v>41.767332454312395</v>
      </c>
      <c r="BG77" s="22">
        <f t="shared" si="61"/>
        <v>358.56324319126094</v>
      </c>
      <c r="BH77" s="62">
        <f t="shared" si="62"/>
        <v>651.89657652459425</v>
      </c>
      <c r="BI77" s="62">
        <f ca="1">AVERAGE(OFFSET($BH$3,0,0,'Données projet'!$E$11+1,1))-AVERAGE(OFFSET($H$3,0,0,'Données projet'!$E$11+1,1))</f>
        <v>246.73711856758143</v>
      </c>
      <c r="BJ77" s="62">
        <f t="shared" si="92"/>
        <v>145.54897745089966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6.3550942286383367E-14</v>
      </c>
      <c r="CA77" s="14">
        <f t="shared" si="93"/>
        <v>1.0064464192543978E-12</v>
      </c>
      <c r="CB77" s="22">
        <f t="shared" si="64"/>
        <v>1.8635787380168604E-12</v>
      </c>
      <c r="CC77" s="62">
        <f t="shared" si="65"/>
        <v>293.33333333333519</v>
      </c>
      <c r="CD77" s="62">
        <f ca="1">AVERAGE(OFFSET($CC$3,0,0,'Données projet'!$E$12+1,1))-AVERAGE(OFFSET($H$3,0,0,'Données projet'!$E$12+1,1))</f>
        <v>321.13335003345236</v>
      </c>
      <c r="CE77" s="62">
        <f t="shared" si="94"/>
        <v>301.26825075712128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6.087500220454964</v>
      </c>
      <c r="CM77" s="23">
        <f>EXP(-LN(2)/2)*CM76+(1-EXP(-LN(2)/2))/(LN(2)/2)*CG77*CJ77*VLOOKUP('Données projet'!$B$12,Paramètres!$A$1:$I$89,3,0)*0.475*44/12</f>
        <v>2.3510889217372716E-6</v>
      </c>
      <c r="CN77" s="24">
        <f t="shared" si="66"/>
        <v>6.0875025715438857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6.7984728957526396E-14</v>
      </c>
      <c r="CV77" s="14">
        <f t="shared" si="95"/>
        <v>1.0682447123141398E-12</v>
      </c>
      <c r="CW77" s="22">
        <f t="shared" si="67"/>
        <v>1.978932943548152E-12</v>
      </c>
      <c r="CX77" s="62">
        <f t="shared" si="68"/>
        <v>293.3333333333353</v>
      </c>
      <c r="CY77" s="62">
        <f ca="1">AVERAGE(OFFSET($CX$3,0,0,'Données projet'!$E$13+1,1))-AVERAGE(OFFSET($H$3,0,0,'Données projet'!$E$13+1,1))</f>
        <v>260.02504691866199</v>
      </c>
      <c r="CZ77" s="62">
        <f t="shared" si="96"/>
        <v>270.11268336406368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4.1871912284337878</v>
      </c>
      <c r="DG77" s="23">
        <f>EXP(-LN(2)/25)*DG76+(1-EXP(-LN(2)/25))/(LN(2)/25)*Calculateur!DB77*Calculateur!DD77*VLOOKUP('Données projet'!$B$13,Paramètres!$A$1:$I$89,3,0)*0.475*44/12</f>
        <v>4.8527099011499093</v>
      </c>
      <c r="DH77" s="23">
        <f>EXP(-LN(2)/2)*DH76+(1-EXP(-LN(2)/2))/(LN(2)/2)*DB77*DE77*VLOOKUP('Données projet'!$B$13,Paramètres!$A$1:$I$89,3,0)*0.475*44/12</f>
        <v>1.5115644802865609E-6</v>
      </c>
      <c r="DI77" s="24">
        <f t="shared" si="69"/>
        <v>9.0399026411481778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266.59999999999985</v>
      </c>
      <c r="DP77" s="18">
        <f>DO77*VLOOKUP('Données projet'!$B$14,Paramètres!$A$1:$I$89,3,0)*VLOOKUP('Données projet'!$B$14,Paramètres!$A$1:$I$89,5,0)</f>
        <v>212.10695999999987</v>
      </c>
      <c r="DQ77" s="14">
        <f t="shared" si="97"/>
        <v>52.395741612408194</v>
      </c>
      <c r="DR77" s="22">
        <f t="shared" si="70"/>
        <v>460.67553864161073</v>
      </c>
      <c r="DS77" s="62">
        <f t="shared" si="71"/>
        <v>754.00887197494399</v>
      </c>
      <c r="DT77" s="62">
        <f ca="1">AVERAGE(OFFSET($DS$3,0,0,'Données projet'!$E$14+1,1))-AVERAGE(OFFSET($H$3,0,0,'Données projet'!$E$14+1,1))</f>
        <v>312.53381881960331</v>
      </c>
      <c r="DU77" s="62">
        <f t="shared" si="98"/>
        <v>342.06887933351783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</v>
      </c>
      <c r="EJ77" s="13">
        <f>IF('Données projet'!$A$192&gt;35,EJ76+EI77-ER76,IF(A77&lt;'Données projet'!$A$192,$EG$205^A77,IF(A77='Données projet'!$A$192,'Données projet'!$B$192,EJ76+EI77-ER76)))</f>
        <v>145.59999999999997</v>
      </c>
      <c r="EK77" s="18">
        <f>EJ77*VLOOKUP('Données projet'!$B$15,Paramètres!$A$1:$I$89,3,0)*VLOOKUP('Données projet'!$B$15,Paramètres!$A$1:$I$89,5,0)</f>
        <v>140.82431999999997</v>
      </c>
      <c r="EL77" s="14">
        <f t="shared" si="99"/>
        <v>36.485781060837802</v>
      </c>
      <c r="EM77" s="22">
        <f t="shared" si="73"/>
        <v>308.81509268095914</v>
      </c>
      <c r="EN77" s="62">
        <f t="shared" si="74"/>
        <v>602.14842601429245</v>
      </c>
      <c r="EO77" s="62">
        <f ca="1">AVERAGE(OFFSET($EN$3,0,0,'Données projet'!$E$15+1,1))-AVERAGE(OFFSET($H$3,0,0,'Données projet'!$E$15+1,1))</f>
        <v>255.59755832175625</v>
      </c>
      <c r="EP77" s="62">
        <f t="shared" si="100"/>
        <v>154.0840647586964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6.25</v>
      </c>
      <c r="FE77" s="13">
        <f>IF('Données projet'!$A$218&gt;35,FE76+FD77-FM76,IF(A77&lt;'Données projet'!$A$218,$FB$205^A77,IF(A77='Données projet'!$A$218,'Données projet'!$B$218,FE76+FD77-FM76)))</f>
        <v>187.25000000000003</v>
      </c>
      <c r="FF77" s="18">
        <f>FE77*VLOOKUP('Données projet'!$B$16,Paramètres!$A$1:$I$89,3,0)*VLOOKUP('Données projet'!$B$16,Paramètres!$A$1:$I$89,5,0)</f>
        <v>111.97550000000003</v>
      </c>
      <c r="FG77" s="14">
        <f t="shared" si="101"/>
        <v>29.795944511509465</v>
      </c>
      <c r="FH77" s="22">
        <f t="shared" si="76"/>
        <v>246.91859919087901</v>
      </c>
      <c r="FI77" s="62">
        <f t="shared" si="77"/>
        <v>540.25193252421229</v>
      </c>
      <c r="FJ77" s="62">
        <f ca="1">AVERAGE(OFFSET($FI$3,0,0,'Données projet'!$E$16+1,1))-AVERAGE(OFFSET($H$3,0,0,'Données projet'!$E$16+1,1))</f>
        <v>197.08445731383847</v>
      </c>
      <c r="FK77" s="62">
        <f t="shared" si="102"/>
        <v>157.12482557016511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787.72578207012918</v>
      </c>
      <c r="S78" s="62">
        <f ca="1">AVERAGE(OFFSET($R$3,0,0,'Données projet'!$E$9+1,1))-AVERAGE(OFFSET($H$3,0,0,'Données projet'!$E$9+1,1))</f>
        <v>428.8489304403459</v>
      </c>
      <c r="T78" s="62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475.47920969424894</v>
      </c>
      <c r="AO78" s="62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360.47692307692307</v>
      </c>
      <c r="BB78" s="13">
        <f>VLOOKUP(A78,'Données projet'!$A$87:$I$107,9,0)</f>
        <v>9.8224358974358967</v>
      </c>
      <c r="BC78" s="13">
        <f t="array" ref="BC78">INDEX(BB:BB,MIN(IF(ISNUMBER(BB78:BB274),ROW(BB78:BB274),"")))</f>
        <v>9.8224358974358967</v>
      </c>
      <c r="BD78" s="13">
        <f>IF('Données projet'!$A$88&gt;35,BD77+BC78-BL77,IF(A78&lt;'Données projet'!$A$88,$BA$205^A78,IF(A78='Données projet'!$A$88,'Données projet'!$B$88,BD77+BC78-BL77)))</f>
        <v>360.47692307692336</v>
      </c>
      <c r="BE78" s="14">
        <f>BD78*VLOOKUP('Données projet'!$B$11,Paramètres!$A$1:$I$89,3,0)*VLOOKUP('Données projet'!$B$11,Paramètres!$A$1:$I$89,5,0)</f>
        <v>168.70320000000012</v>
      </c>
      <c r="BF78" s="14">
        <f t="shared" si="91"/>
        <v>42.799454211954647</v>
      </c>
      <c r="BG78" s="22">
        <f t="shared" si="61"/>
        <v>368.36712275248783</v>
      </c>
      <c r="BH78" s="62">
        <f t="shared" si="62"/>
        <v>661.70045608582109</v>
      </c>
      <c r="BI78" s="62">
        <f ca="1">AVERAGE(OFFSET($BH$3,0,0,'Données projet'!$E$11+1,1))-AVERAGE(OFFSET($H$3,0,0,'Données projet'!$E$11+1,1))</f>
        <v>246.73711856758143</v>
      </c>
      <c r="BJ78" s="62">
        <f t="shared" si="92"/>
        <v>145.54897745089966</v>
      </c>
      <c r="BK78" s="16">
        <f>IF(ISNA(VLOOKUP(A78,'Données projet'!$A$87:$I$107,3,0)),0,VLOOKUP(A78,'Données projet'!$A$87:$I$107,3,0))</f>
        <v>3</v>
      </c>
      <c r="BL78" s="16">
        <f>IF(ISNA(VLOOKUP(A78,'Données projet'!$A$87:$I$107,4,0)),0,VLOOKUP(A78,'Données projet'!$A$87:$I$107,4,0))</f>
        <v>85.361538461538458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6.3550942286383367E-14</v>
      </c>
      <c r="CA78" s="14">
        <f t="shared" si="93"/>
        <v>1.0064464192543978E-12</v>
      </c>
      <c r="CB78" s="22">
        <f t="shared" si="64"/>
        <v>1.8635787380168604E-12</v>
      </c>
      <c r="CC78" s="62">
        <f t="shared" si="65"/>
        <v>293.33333333333519</v>
      </c>
      <c r="CD78" s="62">
        <f ca="1">AVERAGE(OFFSET($CC$3,0,0,'Données projet'!$E$12+1,1))-AVERAGE(OFFSET($H$3,0,0,'Données projet'!$E$12+1,1))</f>
        <v>321.13335003345236</v>
      </c>
      <c r="CE78" s="62">
        <f t="shared" si="94"/>
        <v>301.26825075712128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5.9210372067988999</v>
      </c>
      <c r="CM78" s="23">
        <f>EXP(-LN(2)/2)*CM77+(1-EXP(-LN(2)/2))/(LN(2)/2)*CG78*CJ78*VLOOKUP('Données projet'!$B$12,Paramètres!$A$1:$I$89,3,0)*0.475*44/12</f>
        <v>1.6624709197329929E-6</v>
      </c>
      <c r="CN78" s="24">
        <f t="shared" si="66"/>
        <v>5.9210388692698199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6.7984728957526396E-14</v>
      </c>
      <c r="CV78" s="14">
        <f t="shared" si="95"/>
        <v>1.0682447123141398E-12</v>
      </c>
      <c r="CW78" s="22">
        <f t="shared" si="67"/>
        <v>1.978932943548152E-12</v>
      </c>
      <c r="CX78" s="62">
        <f t="shared" si="68"/>
        <v>293.3333333333353</v>
      </c>
      <c r="CY78" s="62">
        <f ca="1">AVERAGE(OFFSET($CX$3,0,0,'Données projet'!$E$13+1,1))-AVERAGE(OFFSET($H$3,0,0,'Données projet'!$E$13+1,1))</f>
        <v>260.02504691866199</v>
      </c>
      <c r="CZ78" s="62">
        <f t="shared" si="96"/>
        <v>270.11268336406368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4.1050829623786704</v>
      </c>
      <c r="DG78" s="23">
        <f>EXP(-LN(2)/25)*DG77+(1-EXP(-LN(2)/25))/(LN(2)/25)*Calculateur!DB78*Calculateur!DD78*VLOOKUP('Données projet'!$B$13,Paramètres!$A$1:$I$89,3,0)*0.475*44/12</f>
        <v>4.7200122937100426</v>
      </c>
      <c r="DH78" s="23">
        <f>EXP(-LN(2)/2)*DH77+(1-EXP(-LN(2)/2))/(LN(2)/2)*DB78*DE78*VLOOKUP('Données projet'!$B$13,Paramètres!$A$1:$I$89,3,0)*0.475*44/12</f>
        <v>1.0688374942113467E-6</v>
      </c>
      <c r="DI78" s="24">
        <f t="shared" si="69"/>
        <v>8.8250963249262071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270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269.99999999999983</v>
      </c>
      <c r="DP78" s="18">
        <f>DO78*VLOOKUP('Données projet'!$B$14,Paramètres!$A$1:$I$89,3,0)*VLOOKUP('Données projet'!$B$14,Paramètres!$A$1:$I$89,5,0)</f>
        <v>214.81199999999987</v>
      </c>
      <c r="DQ78" s="14">
        <f t="shared" si="97"/>
        <v>52.985738231738011</v>
      </c>
      <c r="DR78" s="22">
        <f t="shared" si="70"/>
        <v>466.41439408694345</v>
      </c>
      <c r="DS78" s="62">
        <f t="shared" si="71"/>
        <v>759.74772742027676</v>
      </c>
      <c r="DT78" s="62">
        <f ca="1">AVERAGE(OFFSET($DS$3,0,0,'Données projet'!$E$14+1,1))-AVERAGE(OFFSET($H$3,0,0,'Données projet'!$E$14+1,1))</f>
        <v>312.53381881960331</v>
      </c>
      <c r="DU78" s="62">
        <f t="shared" si="98"/>
        <v>342.06887933351783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149</v>
      </c>
      <c r="EH78" s="13">
        <f>VLOOKUP(A78,'Données projet'!$A$191:$I$211,9,0)</f>
        <v>3.4</v>
      </c>
      <c r="EI78" s="13">
        <f t="array" ref="EI78">INDEX(EH:EH,MIN(IF(ISNUMBER(EH78:EH274),ROW(EH78:EH274),"")))</f>
        <v>3.4</v>
      </c>
      <c r="EJ78" s="13">
        <f>IF('Données projet'!$A$192&gt;35,EJ77+EI78-ER77,IF(A78&lt;'Données projet'!$A$192,$EG$205^A78,IF(A78='Données projet'!$A$192,'Données projet'!$B$192,EJ77+EI78-ER77)))</f>
        <v>148.99999999999997</v>
      </c>
      <c r="EK78" s="18">
        <f>EJ78*VLOOKUP('Données projet'!$B$15,Paramètres!$A$1:$I$89,3,0)*VLOOKUP('Données projet'!$B$15,Paramètres!$A$1:$I$89,5,0)</f>
        <v>144.11279999999996</v>
      </c>
      <c r="EL78" s="14">
        <f t="shared" si="99"/>
        <v>37.237596662992466</v>
      </c>
      <c r="EM78" s="22">
        <f t="shared" si="73"/>
        <v>315.85194085471181</v>
      </c>
      <c r="EN78" s="62">
        <f t="shared" si="74"/>
        <v>609.18527418804513</v>
      </c>
      <c r="EO78" s="62">
        <f ca="1">AVERAGE(OFFSET($EN$3,0,0,'Données projet'!$E$15+1,1))-AVERAGE(OFFSET($H$3,0,0,'Données projet'!$E$15+1,1))</f>
        <v>255.59755832175625</v>
      </c>
      <c r="EP78" s="62">
        <f t="shared" si="100"/>
        <v>154.0840647586964</v>
      </c>
      <c r="EQ78" s="16">
        <f>IF(ISNA(VLOOKUP(A78,'Données projet'!$A$191:$I$211,3,0)),0,VLOOKUP(A78,'Données projet'!$A$191:$I$211,3,0))</f>
        <v>5</v>
      </c>
      <c r="ER78" s="16">
        <f>IF(ISNA(VLOOKUP(A78,'Données projet'!$A$191:$I$211,4,0)),0,VLOOKUP(A78,'Données projet'!$A$191:$I$211,4,0))</f>
        <v>20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6.25</v>
      </c>
      <c r="FE78" s="13">
        <f>IF('Données projet'!$A$218&gt;35,FE77+FD78-FM77,IF(A78&lt;'Données projet'!$A$218,$FB$205^A78,IF(A78='Données projet'!$A$218,'Données projet'!$B$218,FE77+FD78-FM77)))</f>
        <v>193.50000000000003</v>
      </c>
      <c r="FF78" s="18">
        <f>FE78*VLOOKUP('Données projet'!$B$16,Paramètres!$A$1:$I$89,3,0)*VLOOKUP('Données projet'!$B$16,Paramètres!$A$1:$I$89,5,0)</f>
        <v>115.71300000000002</v>
      </c>
      <c r="FG78" s="14">
        <f t="shared" si="101"/>
        <v>30.673019842466044</v>
      </c>
      <c r="FH78" s="22">
        <f t="shared" si="76"/>
        <v>254.95565122562834</v>
      </c>
      <c r="FI78" s="62">
        <f t="shared" si="77"/>
        <v>548.2889845589616</v>
      </c>
      <c r="FJ78" s="62">
        <f ca="1">AVERAGE(OFFSET($FI$3,0,0,'Données projet'!$E$16+1,1))-AVERAGE(OFFSET($H$3,0,0,'Données projet'!$E$16+1,1))</f>
        <v>197.08445731383847</v>
      </c>
      <c r="FK78" s="62">
        <f t="shared" si="102"/>
        <v>157.12482557016511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799.22462707153909</v>
      </c>
      <c r="S79" s="62">
        <f ca="1">AVERAGE(OFFSET($R$3,0,0,'Données projet'!$E$9+1,1))-AVERAGE(OFFSET($H$3,0,0,'Données projet'!$E$9+1,1))</f>
        <v>428.8489304403459</v>
      </c>
      <c r="T79" s="62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2">
        <f t="shared" si="59"/>
        <v>858.81395257903955</v>
      </c>
      <c r="AN79" s="62">
        <f ca="1">AVERAGE(OFFSET($AM$3,0,0,'Données projet'!$E$10+1,1))-AVERAGE(OFFSET($H$3,0,0,'Données projet'!$E$10+1,1))</f>
        <v>475.47920969424894</v>
      </c>
      <c r="AO79" s="62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9.001923076923072</v>
      </c>
      <c r="BD79" s="13">
        <f>IF('Données projet'!$A$88&gt;35,BD78+BC79-BL78,IF(A79&lt;'Données projet'!$A$88,$BA$205^A79,IF(A79='Données projet'!$A$88,'Données projet'!$B$88,BD78+BC79-BL78)))</f>
        <v>284.11730769230792</v>
      </c>
      <c r="BE79" s="14">
        <f>BD79*VLOOKUP('Données projet'!$B$11,Paramètres!$A$1:$I$89,3,0)*VLOOKUP('Données projet'!$B$11,Paramètres!$A$1:$I$89,5,0)</f>
        <v>132.96690000000012</v>
      </c>
      <c r="BF79" s="14">
        <f t="shared" si="91"/>
        <v>34.681019848273969</v>
      </c>
      <c r="BG79" s="22">
        <f t="shared" si="61"/>
        <v>291.98679373574402</v>
      </c>
      <c r="BH79" s="62">
        <f t="shared" si="62"/>
        <v>585.32012706907733</v>
      </c>
      <c r="BI79" s="62">
        <f ca="1">AVERAGE(OFFSET($BH$3,0,0,'Données projet'!$E$11+1,1))-AVERAGE(OFFSET($H$3,0,0,'Données projet'!$E$11+1,1))</f>
        <v>246.73711856758143</v>
      </c>
      <c r="BJ79" s="62">
        <f t="shared" si="92"/>
        <v>145.54897745089966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6.3550942286383367E-14</v>
      </c>
      <c r="CA79" s="14">
        <f t="shared" si="93"/>
        <v>1.0064464192543978E-12</v>
      </c>
      <c r="CB79" s="22">
        <f t="shared" si="64"/>
        <v>1.8635787380168604E-12</v>
      </c>
      <c r="CC79" s="62">
        <f t="shared" si="65"/>
        <v>293.33333333333519</v>
      </c>
      <c r="CD79" s="62">
        <f ca="1">AVERAGE(OFFSET($CC$3,0,0,'Données projet'!$E$12+1,1))-AVERAGE(OFFSET($H$3,0,0,'Données projet'!$E$12+1,1))</f>
        <v>321.13335003345236</v>
      </c>
      <c r="CE79" s="62">
        <f t="shared" si="94"/>
        <v>301.26825075712128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5.7591261330051697</v>
      </c>
      <c r="CM79" s="23">
        <f>EXP(-LN(2)/2)*CM78+(1-EXP(-LN(2)/2))/(LN(2)/2)*CG79*CJ79*VLOOKUP('Données projet'!$B$12,Paramètres!$A$1:$I$89,3,0)*0.475*44/12</f>
        <v>1.1755444608686358E-6</v>
      </c>
      <c r="CN79" s="24">
        <f t="shared" si="66"/>
        <v>5.7591273085496306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6.7984728957526396E-14</v>
      </c>
      <c r="CV79" s="14">
        <f t="shared" si="95"/>
        <v>1.0682447123141398E-12</v>
      </c>
      <c r="CW79" s="22">
        <f t="shared" si="67"/>
        <v>1.978932943548152E-12</v>
      </c>
      <c r="CX79" s="62">
        <f t="shared" si="68"/>
        <v>293.3333333333353</v>
      </c>
      <c r="CY79" s="62">
        <f ca="1">AVERAGE(OFFSET($CX$3,0,0,'Données projet'!$E$13+1,1))-AVERAGE(OFFSET($H$3,0,0,'Données projet'!$E$13+1,1))</f>
        <v>260.02504691866199</v>
      </c>
      <c r="CZ79" s="62">
        <f t="shared" si="96"/>
        <v>270.11268336406368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4.024584789339797</v>
      </c>
      <c r="DG79" s="23">
        <f>EXP(-LN(2)/25)*DG78+(1-EXP(-LN(2)/25))/(LN(2)/25)*Calculateur!DB79*Calculateur!DD79*VLOOKUP('Données projet'!$B$13,Paramètres!$A$1:$I$89,3,0)*0.475*44/12</f>
        <v>4.5909433093238823</v>
      </c>
      <c r="DH79" s="23">
        <f>EXP(-LN(2)/2)*DH78+(1-EXP(-LN(2)/2))/(LN(2)/2)*DB79*DE79*VLOOKUP('Données projet'!$B$13,Paramètres!$A$1:$I$89,3,0)*0.475*44/12</f>
        <v>7.5578224014328047E-7</v>
      </c>
      <c r="DI79" s="24">
        <f t="shared" si="69"/>
        <v>8.6155288544459196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</v>
      </c>
      <c r="DO79" s="13">
        <f>IF('Données projet'!$A$166&gt;35,DO78+DN79-DW78,IF(A79&lt;'Données projet'!$A$166,$DL$205^A79,IF(A79='Données projet'!$A$166,'Données projet'!$B$166,DO78+DN79-DW78)))</f>
        <v>272.99999999999983</v>
      </c>
      <c r="DP79" s="18">
        <f>DO79*VLOOKUP('Données projet'!$B$14,Paramètres!$A$1:$I$89,3,0)*VLOOKUP('Données projet'!$B$14,Paramètres!$A$1:$I$89,5,0)</f>
        <v>217.19879999999986</v>
      </c>
      <c r="DQ79" s="14">
        <f t="shared" si="97"/>
        <v>53.505605420483995</v>
      </c>
      <c r="DR79" s="22">
        <f t="shared" si="70"/>
        <v>471.47683944067597</v>
      </c>
      <c r="DS79" s="62">
        <f t="shared" si="71"/>
        <v>764.81017277400929</v>
      </c>
      <c r="DT79" s="62">
        <f ca="1">AVERAGE(OFFSET($DS$3,0,0,'Données projet'!$E$14+1,1))-AVERAGE(OFFSET($H$3,0,0,'Données projet'!$E$14+1,1))</f>
        <v>312.53381881960331</v>
      </c>
      <c r="DU79" s="62">
        <f t="shared" si="98"/>
        <v>342.06887933351783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3.4</v>
      </c>
      <c r="EJ79" s="13">
        <f>IF('Données projet'!$A$192&gt;35,EJ78+EI79-ER78,IF(A79&lt;'Données projet'!$A$192,$EG$205^A79,IF(A79='Données projet'!$A$192,'Données projet'!$B$192,EJ78+EI79-ER78)))</f>
        <v>132.39999999999998</v>
      </c>
      <c r="EK79" s="18">
        <f>EJ79*VLOOKUP('Données projet'!$B$15,Paramètres!$A$1:$I$89,3,0)*VLOOKUP('Données projet'!$B$15,Paramètres!$A$1:$I$89,5,0)</f>
        <v>128.05727999999996</v>
      </c>
      <c r="EL79" s="14">
        <f t="shared" si="99"/>
        <v>33.54706115995706</v>
      </c>
      <c r="EM79" s="22">
        <f t="shared" si="73"/>
        <v>281.46089418692515</v>
      </c>
      <c r="EN79" s="62">
        <f t="shared" si="74"/>
        <v>574.79422752025846</v>
      </c>
      <c r="EO79" s="62">
        <f ca="1">AVERAGE(OFFSET($EN$3,0,0,'Données projet'!$E$15+1,1))-AVERAGE(OFFSET($H$3,0,0,'Données projet'!$E$15+1,1))</f>
        <v>255.59755832175625</v>
      </c>
      <c r="EP79" s="62">
        <f t="shared" si="100"/>
        <v>154.0840647586964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6.25</v>
      </c>
      <c r="FE79" s="13">
        <f>IF('Données projet'!$A$218&gt;35,FE78+FD79-FM78,IF(A79&lt;'Données projet'!$A$218,$FB$205^A79,IF(A79='Données projet'!$A$218,'Données projet'!$B$218,FE78+FD79-FM78)))</f>
        <v>199.75000000000003</v>
      </c>
      <c r="FF79" s="18">
        <f>FE79*VLOOKUP('Données projet'!$B$16,Paramètres!$A$1:$I$89,3,0)*VLOOKUP('Données projet'!$B$16,Paramètres!$A$1:$I$89,5,0)</f>
        <v>119.45050000000003</v>
      </c>
      <c r="FG79" s="14">
        <f t="shared" si="101"/>
        <v>31.546803228497456</v>
      </c>
      <c r="FH79" s="22">
        <f t="shared" si="76"/>
        <v>262.98696978963306</v>
      </c>
      <c r="FI79" s="62">
        <f t="shared" si="77"/>
        <v>556.32030312296638</v>
      </c>
      <c r="FJ79" s="62">
        <f ca="1">AVERAGE(OFFSET($FI$3,0,0,'Données projet'!$E$16+1,1))-AVERAGE(OFFSET($H$3,0,0,'Données projet'!$E$16+1,1))</f>
        <v>197.08445731383847</v>
      </c>
      <c r="FK79" s="62">
        <f t="shared" si="102"/>
        <v>157.12482557016511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810.71794681982283</v>
      </c>
      <c r="S80" s="62">
        <f ca="1">AVERAGE(OFFSET($R$3,0,0,'Données projet'!$E$9+1,1))-AVERAGE(OFFSET($H$3,0,0,'Données projet'!$E$9+1,1))</f>
        <v>428.8489304403459</v>
      </c>
      <c r="T80" s="62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2">
        <f t="shared" si="59"/>
        <v>871.66430227691103</v>
      </c>
      <c r="AN80" s="62">
        <f ca="1">AVERAGE(OFFSET($AM$3,0,0,'Données projet'!$E$10+1,1))-AVERAGE(OFFSET($H$3,0,0,'Données projet'!$E$10+1,1))</f>
        <v>475.47920969424894</v>
      </c>
      <c r="AO80" s="62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9.001923076923072</v>
      </c>
      <c r="BD80" s="13">
        <f>IF('Données projet'!$A$88&gt;35,BD79+BC80-BL79,IF(A80&lt;'Données projet'!$A$88,$BA$205^A80,IF(A80='Données projet'!$A$88,'Données projet'!$B$88,BD79+BC80-BL79)))</f>
        <v>293.11923076923097</v>
      </c>
      <c r="BE80" s="14">
        <f>BD80*VLOOKUP('Données projet'!$B$11,Paramètres!$A$1:$I$89,3,0)*VLOOKUP('Données projet'!$B$11,Paramètres!$A$1:$I$89,5,0)</f>
        <v>137.17980000000009</v>
      </c>
      <c r="BF80" s="14">
        <f t="shared" si="91"/>
        <v>35.65017408944302</v>
      </c>
      <c r="BG80" s="22">
        <f t="shared" si="61"/>
        <v>301.01220487244677</v>
      </c>
      <c r="BH80" s="62">
        <f t="shared" si="62"/>
        <v>594.34553820578003</v>
      </c>
      <c r="BI80" s="62">
        <f ca="1">AVERAGE(OFFSET($BH$3,0,0,'Données projet'!$E$11+1,1))-AVERAGE(OFFSET($H$3,0,0,'Données projet'!$E$11+1,1))</f>
        <v>246.73711856758143</v>
      </c>
      <c r="BJ80" s="62">
        <f t="shared" si="92"/>
        <v>145.54897745089966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6.3550942286383367E-14</v>
      </c>
      <c r="CA80" s="14">
        <f t="shared" si="93"/>
        <v>1.0064464192543978E-12</v>
      </c>
      <c r="CB80" s="22">
        <f t="shared" si="64"/>
        <v>1.8635787380168604E-12</v>
      </c>
      <c r="CC80" s="62">
        <f t="shared" si="65"/>
        <v>293.33333333333519</v>
      </c>
      <c r="CD80" s="62">
        <f ca="1">AVERAGE(OFFSET($CC$3,0,0,'Données projet'!$E$12+1,1))-AVERAGE(OFFSET($H$3,0,0,'Données projet'!$E$12+1,1))</f>
        <v>321.13335003345236</v>
      </c>
      <c r="CE80" s="62">
        <f t="shared" si="94"/>
        <v>301.26825075712128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5.6016425260388623</v>
      </c>
      <c r="CM80" s="23">
        <f>EXP(-LN(2)/2)*CM79+(1-EXP(-LN(2)/2))/(LN(2)/2)*CG80*CJ80*VLOOKUP('Données projet'!$B$12,Paramètres!$A$1:$I$89,3,0)*0.475*44/12</f>
        <v>8.3123545986649646E-7</v>
      </c>
      <c r="CN80" s="24">
        <f t="shared" si="66"/>
        <v>5.6016433572743223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6.7984728957526396E-14</v>
      </c>
      <c r="CV80" s="14">
        <f t="shared" si="95"/>
        <v>1.0682447123141398E-12</v>
      </c>
      <c r="CW80" s="22">
        <f t="shared" si="67"/>
        <v>1.978932943548152E-12</v>
      </c>
      <c r="CX80" s="62">
        <f t="shared" si="68"/>
        <v>293.3333333333353</v>
      </c>
      <c r="CY80" s="62">
        <f ca="1">AVERAGE(OFFSET($CX$3,0,0,'Données projet'!$E$13+1,1))-AVERAGE(OFFSET($H$3,0,0,'Données projet'!$E$13+1,1))</f>
        <v>260.02504691866199</v>
      </c>
      <c r="CZ80" s="62">
        <f t="shared" si="96"/>
        <v>270.11268336406368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3.9456651363751782</v>
      </c>
      <c r="DG80" s="23">
        <f>EXP(-LN(2)/25)*DG79+(1-EXP(-LN(2)/25))/(LN(2)/25)*Calculateur!DB80*Calculateur!DD80*VLOOKUP('Données projet'!$B$13,Paramètres!$A$1:$I$89,3,0)*0.475*44/12</f>
        <v>4.4654037231032051</v>
      </c>
      <c r="DH80" s="23">
        <f>EXP(-LN(2)/2)*DH79+(1-EXP(-LN(2)/2))/(LN(2)/2)*DB80*DE80*VLOOKUP('Données projet'!$B$13,Paramètres!$A$1:$I$89,3,0)*0.475*44/12</f>
        <v>5.3441874710567334E-7</v>
      </c>
      <c r="DI80" s="24">
        <f t="shared" si="69"/>
        <v>8.4110693938971313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</v>
      </c>
      <c r="DO80" s="13">
        <f>IF('Données projet'!$A$166&gt;35,DO79+DN80-DW79,IF(A80&lt;'Données projet'!$A$166,$DL$205^A80,IF(A80='Données projet'!$A$166,'Données projet'!$B$166,DO79+DN80-DW79)))</f>
        <v>275.99999999999983</v>
      </c>
      <c r="DP80" s="18">
        <f>DO80*VLOOKUP('Données projet'!$B$14,Paramètres!$A$1:$I$89,3,0)*VLOOKUP('Données projet'!$B$14,Paramètres!$A$1:$I$89,5,0)</f>
        <v>219.58559999999986</v>
      </c>
      <c r="DQ80" s="14">
        <f t="shared" si="97"/>
        <v>54.024808047218499</v>
      </c>
      <c r="DR80" s="22">
        <f t="shared" si="70"/>
        <v>476.53812734890533</v>
      </c>
      <c r="DS80" s="62">
        <f t="shared" si="71"/>
        <v>769.87146068223865</v>
      </c>
      <c r="DT80" s="62">
        <f ca="1">AVERAGE(OFFSET($DS$3,0,0,'Données projet'!$E$14+1,1))-AVERAGE(OFFSET($H$3,0,0,'Données projet'!$E$14+1,1))</f>
        <v>312.53381881960331</v>
      </c>
      <c r="DU80" s="62">
        <f t="shared" si="98"/>
        <v>342.06887933351783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3.4</v>
      </c>
      <c r="EJ80" s="13">
        <f>IF('Données projet'!$A$192&gt;35,EJ79+EI80-ER79,IF(A80&lt;'Données projet'!$A$192,$EG$205^A80,IF(A80='Données projet'!$A$192,'Données projet'!$B$192,EJ79+EI80-ER79)))</f>
        <v>135.79999999999998</v>
      </c>
      <c r="EK80" s="18">
        <f>EJ80*VLOOKUP('Données projet'!$B$15,Paramètres!$A$1:$I$89,3,0)*VLOOKUP('Données projet'!$B$15,Paramètres!$A$1:$I$89,5,0)</f>
        <v>131.34575999999998</v>
      </c>
      <c r="EL80" s="14">
        <f t="shared" si="99"/>
        <v>34.30713832111968</v>
      </c>
      <c r="EM80" s="22">
        <f t="shared" si="73"/>
        <v>288.5121312426167</v>
      </c>
      <c r="EN80" s="62">
        <f t="shared" si="74"/>
        <v>581.84546457595002</v>
      </c>
      <c r="EO80" s="62">
        <f ca="1">AVERAGE(OFFSET($EN$3,0,0,'Données projet'!$E$15+1,1))-AVERAGE(OFFSET($H$3,0,0,'Données projet'!$E$15+1,1))</f>
        <v>255.59755832175625</v>
      </c>
      <c r="EP80" s="62">
        <f t="shared" si="100"/>
        <v>154.0840647586964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6.25</v>
      </c>
      <c r="FE80" s="13">
        <f>IF('Données projet'!$A$218&gt;35,FE79+FD80-FM79,IF(A80&lt;'Données projet'!$A$218,$FB$205^A80,IF(A80='Données projet'!$A$218,'Données projet'!$B$218,FE79+FD80-FM79)))</f>
        <v>206.00000000000003</v>
      </c>
      <c r="FF80" s="18">
        <f>FE80*VLOOKUP('Données projet'!$B$16,Paramètres!$A$1:$I$89,3,0)*VLOOKUP('Données projet'!$B$16,Paramètres!$A$1:$I$89,5,0)</f>
        <v>123.18800000000003</v>
      </c>
      <c r="FG80" s="14">
        <f t="shared" si="101"/>
        <v>32.417409489939047</v>
      </c>
      <c r="FH80" s="22">
        <f t="shared" si="76"/>
        <v>271.01275486164383</v>
      </c>
      <c r="FI80" s="62">
        <f t="shared" si="77"/>
        <v>564.34608819497714</v>
      </c>
      <c r="FJ80" s="62">
        <f ca="1">AVERAGE(OFFSET($FI$3,0,0,'Données projet'!$E$16+1,1))-AVERAGE(OFFSET($H$3,0,0,'Données projet'!$E$16+1,1))</f>
        <v>197.08445731383847</v>
      </c>
      <c r="FK80" s="62">
        <f t="shared" si="102"/>
        <v>157.12482557016511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822.20588134481159</v>
      </c>
      <c r="S81" s="62">
        <f ca="1">AVERAGE(OFFSET($R$3,0,0,'Données projet'!$E$9+1,1))-AVERAGE(OFFSET($H$3,0,0,'Données projet'!$E$9+1,1))</f>
        <v>428.8489304403459</v>
      </c>
      <c r="T81" s="62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2">
        <f t="shared" si="59"/>
        <v>884.50869632731633</v>
      </c>
      <c r="AN81" s="62">
        <f ca="1">AVERAGE(OFFSET($AM$3,0,0,'Données projet'!$E$10+1,1))-AVERAGE(OFFSET($H$3,0,0,'Données projet'!$E$10+1,1))</f>
        <v>475.47920969424894</v>
      </c>
      <c r="AO81" s="62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9.001923076923072</v>
      </c>
      <c r="BD81" s="13">
        <f>IF('Données projet'!$A$88&gt;35,BD80+BC81-BL80,IF(A81&lt;'Données projet'!$A$88,$BA$205^A81,IF(A81='Données projet'!$A$88,'Données projet'!$B$88,BD80+BC81-BL80)))</f>
        <v>302.12115384615402</v>
      </c>
      <c r="BE81" s="14">
        <f>BD81*VLOOKUP('Données projet'!$B$11,Paramètres!$A$1:$I$89,3,0)*VLOOKUP('Données projet'!$B$11,Paramètres!$A$1:$I$89,5,0)</f>
        <v>141.39270000000008</v>
      </c>
      <c r="BF81" s="14">
        <f t="shared" si="91"/>
        <v>36.615869470582759</v>
      </c>
      <c r="BG81" s="22">
        <f t="shared" si="61"/>
        <v>310.03159182793178</v>
      </c>
      <c r="BH81" s="62">
        <f t="shared" si="62"/>
        <v>603.36492516126509</v>
      </c>
      <c r="BI81" s="62">
        <f ca="1">AVERAGE(OFFSET($BH$3,0,0,'Données projet'!$E$11+1,1))-AVERAGE(OFFSET($H$3,0,0,'Données projet'!$E$11+1,1))</f>
        <v>246.73711856758143</v>
      </c>
      <c r="BJ81" s="62">
        <f t="shared" si="92"/>
        <v>145.54897745089966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6.3550942286383367E-14</v>
      </c>
      <c r="CA81" s="14">
        <f t="shared" si="93"/>
        <v>1.0064464192543978E-12</v>
      </c>
      <c r="CB81" s="22">
        <f t="shared" si="64"/>
        <v>1.8635787380168604E-12</v>
      </c>
      <c r="CC81" s="62">
        <f t="shared" si="65"/>
        <v>293.33333333333519</v>
      </c>
      <c r="CD81" s="62">
        <f ca="1">AVERAGE(OFFSET($CC$3,0,0,'Données projet'!$E$12+1,1))-AVERAGE(OFFSET($H$3,0,0,'Données projet'!$E$12+1,1))</f>
        <v>321.13335003345236</v>
      </c>
      <c r="CE81" s="62">
        <f t="shared" si="94"/>
        <v>301.26825075712128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5.448465316586752</v>
      </c>
      <c r="CM81" s="23">
        <f>EXP(-LN(2)/2)*CM80+(1-EXP(-LN(2)/2))/(LN(2)/2)*CG81*CJ81*VLOOKUP('Données projet'!$B$12,Paramètres!$A$1:$I$89,3,0)*0.475*44/12</f>
        <v>5.8777223043431791E-7</v>
      </c>
      <c r="CN81" s="24">
        <f t="shared" si="66"/>
        <v>5.448465904358982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6.7984728957526396E-14</v>
      </c>
      <c r="CV81" s="14">
        <f t="shared" si="95"/>
        <v>1.0682447123141398E-12</v>
      </c>
      <c r="CW81" s="22">
        <f t="shared" si="67"/>
        <v>1.978932943548152E-12</v>
      </c>
      <c r="CX81" s="62">
        <f t="shared" si="68"/>
        <v>293.3333333333353</v>
      </c>
      <c r="CY81" s="62">
        <f ca="1">AVERAGE(OFFSET($CX$3,0,0,'Données projet'!$E$13+1,1))-AVERAGE(OFFSET($H$3,0,0,'Données projet'!$E$13+1,1))</f>
        <v>260.02504691866199</v>
      </c>
      <c r="CZ81" s="62">
        <f t="shared" si="96"/>
        <v>270.11268336406368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3.8682930496689605</v>
      </c>
      <c r="DG81" s="23">
        <f>EXP(-LN(2)/25)*DG80+(1-EXP(-LN(2)/25))/(LN(2)/25)*Calculateur!DB81*Calculateur!DD81*VLOOKUP('Données projet'!$B$13,Paramètres!$A$1:$I$89,3,0)*0.475*44/12</f>
        <v>4.3432970234695718</v>
      </c>
      <c r="DH81" s="23">
        <f>EXP(-LN(2)/2)*DH80+(1-EXP(-LN(2)/2))/(LN(2)/2)*DB81*DE81*VLOOKUP('Données projet'!$B$13,Paramètres!$A$1:$I$89,3,0)*0.475*44/12</f>
        <v>3.7789112007164024E-7</v>
      </c>
      <c r="DI81" s="24">
        <f t="shared" si="69"/>
        <v>8.211590451029652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</v>
      </c>
      <c r="DO81" s="13">
        <f>IF('Données projet'!$A$166&gt;35,DO80+DN81-DW80,IF(A81&lt;'Données projet'!$A$166,$DL$205^A81,IF(A81='Données projet'!$A$166,'Données projet'!$B$166,DO80+DN81-DW80)))</f>
        <v>278.99999999999983</v>
      </c>
      <c r="DP81" s="18">
        <f>DO81*VLOOKUP('Données projet'!$B$14,Paramètres!$A$1:$I$89,3,0)*VLOOKUP('Données projet'!$B$14,Paramètres!$A$1:$I$89,5,0)</f>
        <v>221.97239999999985</v>
      </c>
      <c r="DQ81" s="14">
        <f t="shared" si="97"/>
        <v>54.543354171476771</v>
      </c>
      <c r="DR81" s="22">
        <f t="shared" si="70"/>
        <v>481.59827184865503</v>
      </c>
      <c r="DS81" s="62">
        <f t="shared" si="71"/>
        <v>774.93160518198829</v>
      </c>
      <c r="DT81" s="62">
        <f ca="1">AVERAGE(OFFSET($DS$3,0,0,'Données projet'!$E$14+1,1))-AVERAGE(OFFSET($H$3,0,0,'Données projet'!$E$14+1,1))</f>
        <v>312.53381881960331</v>
      </c>
      <c r="DU81" s="62">
        <f t="shared" si="98"/>
        <v>342.06887933351783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3.4</v>
      </c>
      <c r="EJ81" s="13">
        <f>IF('Données projet'!$A$192&gt;35,EJ80+EI81-ER80,IF(A81&lt;'Données projet'!$A$192,$EG$205^A81,IF(A81='Données projet'!$A$192,'Données projet'!$B$192,EJ80+EI81-ER80)))</f>
        <v>139.19999999999999</v>
      </c>
      <c r="EK81" s="18">
        <f>EJ81*VLOOKUP('Données projet'!$B$15,Paramètres!$A$1:$I$89,3,0)*VLOOKUP('Données projet'!$B$15,Paramètres!$A$1:$I$89,5,0)</f>
        <v>134.63423999999998</v>
      </c>
      <c r="EL81" s="14">
        <f t="shared" si="99"/>
        <v>35.065003380589694</v>
      </c>
      <c r="EM81" s="22">
        <f t="shared" si="73"/>
        <v>295.55951555452697</v>
      </c>
      <c r="EN81" s="62">
        <f t="shared" si="74"/>
        <v>588.89284888786028</v>
      </c>
      <c r="EO81" s="62">
        <f ca="1">AVERAGE(OFFSET($EN$3,0,0,'Données projet'!$E$15+1,1))-AVERAGE(OFFSET($H$3,0,0,'Données projet'!$E$15+1,1))</f>
        <v>255.59755832175625</v>
      </c>
      <c r="EP81" s="62">
        <f t="shared" si="100"/>
        <v>154.0840647586964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6.25</v>
      </c>
      <c r="FE81" s="13">
        <f>IF('Données projet'!$A$218&gt;35,FE80+FD81-FM80,IF(A81&lt;'Données projet'!$A$218,$FB$205^A81,IF(A81='Données projet'!$A$218,'Données projet'!$B$218,FE80+FD81-FM80)))</f>
        <v>212.25000000000003</v>
      </c>
      <c r="FF81" s="18">
        <f>FE81*VLOOKUP('Données projet'!$B$16,Paramètres!$A$1:$I$89,3,0)*VLOOKUP('Données projet'!$B$16,Paramètres!$A$1:$I$89,5,0)</f>
        <v>126.92550000000003</v>
      </c>
      <c r="FG81" s="14">
        <f t="shared" si="101"/>
        <v>33.284946083957735</v>
      </c>
      <c r="FH81" s="22">
        <f t="shared" si="76"/>
        <v>279.03319359622645</v>
      </c>
      <c r="FI81" s="62">
        <f t="shared" si="77"/>
        <v>572.36652692955977</v>
      </c>
      <c r="FJ81" s="62">
        <f ca="1">AVERAGE(OFFSET($FI$3,0,0,'Données projet'!$E$16+1,1))-AVERAGE(OFFSET($H$3,0,0,'Données projet'!$E$16+1,1))</f>
        <v>197.08445731383847</v>
      </c>
      <c r="FK81" s="62">
        <f t="shared" si="102"/>
        <v>157.12482557016511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833.68856409746058</v>
      </c>
      <c r="S82" s="62">
        <f ca="1">AVERAGE(OFFSET($R$3,0,0,'Données projet'!$E$9+1,1))-AVERAGE(OFFSET($H$3,0,0,'Données projet'!$E$9+1,1))</f>
        <v>428.8489304403459</v>
      </c>
      <c r="T82" s="62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2">
        <f t="shared" si="59"/>
        <v>897.34728231686381</v>
      </c>
      <c r="AN82" s="62">
        <f ca="1">AVERAGE(OFFSET($AM$3,0,0,'Données projet'!$E$10+1,1))-AVERAGE(OFFSET($H$3,0,0,'Données projet'!$E$10+1,1))</f>
        <v>475.47920969424894</v>
      </c>
      <c r="AO82" s="62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9.001923076923072</v>
      </c>
      <c r="BD82" s="13">
        <f>IF('Données projet'!$A$88&gt;35,BD81+BC82-BL81,IF(A82&lt;'Données projet'!$A$88,$BA$205^A82,IF(A82='Données projet'!$A$88,'Données projet'!$B$88,BD81+BC82-BL81)))</f>
        <v>311.12307692307706</v>
      </c>
      <c r="BE82" s="14">
        <f>BD82*VLOOKUP('Données projet'!$B$11,Paramètres!$A$1:$I$89,3,0)*VLOOKUP('Données projet'!$B$11,Paramètres!$A$1:$I$89,5,0)</f>
        <v>145.60560000000007</v>
      </c>
      <c r="BF82" s="14">
        <f t="shared" si="91"/>
        <v>37.578220882267097</v>
      </c>
      <c r="BG82" s="22">
        <f t="shared" si="61"/>
        <v>319.04515470328198</v>
      </c>
      <c r="BH82" s="62">
        <f t="shared" si="62"/>
        <v>612.37848803661529</v>
      </c>
      <c r="BI82" s="62">
        <f ca="1">AVERAGE(OFFSET($BH$3,0,0,'Données projet'!$E$11+1,1))-AVERAGE(OFFSET($H$3,0,0,'Données projet'!$E$11+1,1))</f>
        <v>246.73711856758143</v>
      </c>
      <c r="BJ82" s="62">
        <f t="shared" si="92"/>
        <v>145.54897745089966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6.3550942286383367E-14</v>
      </c>
      <c r="CA82" s="14">
        <f t="shared" si="93"/>
        <v>1.0064464192543978E-12</v>
      </c>
      <c r="CB82" s="22">
        <f t="shared" si="64"/>
        <v>1.8635787380168604E-12</v>
      </c>
      <c r="CC82" s="62">
        <f t="shared" si="65"/>
        <v>293.33333333333519</v>
      </c>
      <c r="CD82" s="62">
        <f ca="1">AVERAGE(OFFSET($CC$3,0,0,'Données projet'!$E$12+1,1))-AVERAGE(OFFSET($H$3,0,0,'Données projet'!$E$12+1,1))</f>
        <v>321.13335003345236</v>
      </c>
      <c r="CE82" s="62">
        <f t="shared" si="94"/>
        <v>301.26825075712128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5.2994767459823491</v>
      </c>
      <c r="CM82" s="23">
        <f>EXP(-LN(2)/2)*CM81+(1-EXP(-LN(2)/2))/(LN(2)/2)*CG82*CJ82*VLOOKUP('Données projet'!$B$12,Paramètres!$A$1:$I$89,3,0)*0.475*44/12</f>
        <v>4.1561772993324823E-7</v>
      </c>
      <c r="CN82" s="24">
        <f t="shared" si="66"/>
        <v>5.2994771616000786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6.7984728957526396E-14</v>
      </c>
      <c r="CV82" s="14">
        <f t="shared" si="95"/>
        <v>1.0682447123141398E-12</v>
      </c>
      <c r="CW82" s="22">
        <f t="shared" si="67"/>
        <v>1.978932943548152E-12</v>
      </c>
      <c r="CX82" s="62">
        <f t="shared" si="68"/>
        <v>293.3333333333353</v>
      </c>
      <c r="CY82" s="62">
        <f ca="1">AVERAGE(OFFSET($CX$3,0,0,'Données projet'!$E$13+1,1))-AVERAGE(OFFSET($H$3,0,0,'Données projet'!$E$13+1,1))</f>
        <v>260.02504691866199</v>
      </c>
      <c r="CZ82" s="62">
        <f t="shared" si="96"/>
        <v>270.11268336406368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3.7924381823907387</v>
      </c>
      <c r="DG82" s="23">
        <f>EXP(-LN(2)/25)*DG81+(1-EXP(-LN(2)/25))/(LN(2)/25)*Calculateur!DB82*Calculateur!DD82*VLOOKUP('Données projet'!$B$13,Paramètres!$A$1:$I$89,3,0)*0.475*44/12</f>
        <v>4.2245293379587325</v>
      </c>
      <c r="DH82" s="23">
        <f>EXP(-LN(2)/2)*DH81+(1-EXP(-LN(2)/2))/(LN(2)/2)*DB82*DE82*VLOOKUP('Données projet'!$B$13,Paramètres!$A$1:$I$89,3,0)*0.475*44/12</f>
        <v>2.6720937355283667E-7</v>
      </c>
      <c r="DI82" s="24">
        <f t="shared" si="69"/>
        <v>8.0169677875588441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</v>
      </c>
      <c r="DO82" s="13">
        <f>IF('Données projet'!$A$166&gt;35,DO81+DN82-DW81,IF(A82&lt;'Données projet'!$A$166,$DL$205^A82,IF(A82='Données projet'!$A$166,'Données projet'!$B$166,DO81+DN82-DW81)))</f>
        <v>281.99999999999983</v>
      </c>
      <c r="DP82" s="18">
        <f>DO82*VLOOKUP('Données projet'!$B$14,Paramètres!$A$1:$I$89,3,0)*VLOOKUP('Données projet'!$B$14,Paramètres!$A$1:$I$89,5,0)</f>
        <v>224.35919999999987</v>
      </c>
      <c r="DQ82" s="14">
        <f t="shared" si="97"/>
        <v>55.061251669487255</v>
      </c>
      <c r="DR82" s="22">
        <f t="shared" si="70"/>
        <v>486.65728665769001</v>
      </c>
      <c r="DS82" s="62">
        <f t="shared" si="71"/>
        <v>779.99061999102332</v>
      </c>
      <c r="DT82" s="62">
        <f ca="1">AVERAGE(OFFSET($DS$3,0,0,'Données projet'!$E$14+1,1))-AVERAGE(OFFSET($H$3,0,0,'Données projet'!$E$14+1,1))</f>
        <v>312.53381881960331</v>
      </c>
      <c r="DU82" s="62">
        <f t="shared" si="98"/>
        <v>342.06887933351783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3.4</v>
      </c>
      <c r="EJ82" s="13">
        <f>IF('Données projet'!$A$192&gt;35,EJ81+EI82-ER81,IF(A82&lt;'Données projet'!$A$192,$EG$205^A82,IF(A82='Données projet'!$A$192,'Données projet'!$B$192,EJ81+EI82-ER81)))</f>
        <v>142.6</v>
      </c>
      <c r="EK82" s="18">
        <f>EJ82*VLOOKUP('Données projet'!$B$15,Paramètres!$A$1:$I$89,3,0)*VLOOKUP('Données projet'!$B$15,Paramètres!$A$1:$I$89,5,0)</f>
        <v>137.92272</v>
      </c>
      <c r="EL82" s="14">
        <f t="shared" si="99"/>
        <v>35.82071658526872</v>
      </c>
      <c r="EM82" s="22">
        <f t="shared" si="73"/>
        <v>302.60315205267631</v>
      </c>
      <c r="EN82" s="62">
        <f t="shared" si="74"/>
        <v>595.93648538600962</v>
      </c>
      <c r="EO82" s="62">
        <f ca="1">AVERAGE(OFFSET($EN$3,0,0,'Données projet'!$E$15+1,1))-AVERAGE(OFFSET($H$3,0,0,'Données projet'!$E$15+1,1))</f>
        <v>255.59755832175625</v>
      </c>
      <c r="EP82" s="62">
        <f t="shared" si="100"/>
        <v>154.0840647586964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6.25</v>
      </c>
      <c r="FE82" s="13">
        <f>IF('Données projet'!$A$218&gt;35,FE81+FD82-FM81,IF(A82&lt;'Données projet'!$A$218,$FB$205^A82,IF(A82='Données projet'!$A$218,'Données projet'!$B$218,FE81+FD82-FM81)))</f>
        <v>218.50000000000003</v>
      </c>
      <c r="FF82" s="18">
        <f>FE82*VLOOKUP('Données projet'!$B$16,Paramètres!$A$1:$I$89,3,0)*VLOOKUP('Données projet'!$B$16,Paramètres!$A$1:$I$89,5,0)</f>
        <v>130.66300000000004</v>
      </c>
      <c r="FG82" s="14">
        <f t="shared" si="101"/>
        <v>34.149513779485744</v>
      </c>
      <c r="FH82" s="22">
        <f t="shared" si="76"/>
        <v>287.04846149927107</v>
      </c>
      <c r="FI82" s="62">
        <f t="shared" si="77"/>
        <v>580.38179483260433</v>
      </c>
      <c r="FJ82" s="62">
        <f ca="1">AVERAGE(OFFSET($FI$3,0,0,'Données projet'!$E$16+1,1))-AVERAGE(OFFSET($H$3,0,0,'Données projet'!$E$16+1,1))</f>
        <v>197.08445731383847</v>
      </c>
      <c r="FK82" s="62">
        <f t="shared" si="102"/>
        <v>157.12482557016511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845.16612239513029</v>
      </c>
      <c r="S83" s="62">
        <f ca="1">AVERAGE(OFFSET($R$3,0,0,'Données projet'!$E$9+1,1))-AVERAGE(OFFSET($H$3,0,0,'Données projet'!$E$9+1,1))</f>
        <v>428.8489304403459</v>
      </c>
      <c r="T83" s="62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2">
        <f t="shared" si="59"/>
        <v>910.18020104887296</v>
      </c>
      <c r="AN83" s="62">
        <f ca="1">AVERAGE(OFFSET($AM$3,0,0,'Données projet'!$E$10+1,1))-AVERAGE(OFFSET($H$3,0,0,'Données projet'!$E$10+1,1))</f>
        <v>475.47920969424894</v>
      </c>
      <c r="AO83" s="62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9.001923076923072</v>
      </c>
      <c r="BD83" s="13">
        <f>IF('Données projet'!$A$88&gt;35,BD82+BC83-BL82,IF(A83&lt;'Données projet'!$A$88,$BA$205^A83,IF(A83='Données projet'!$A$88,'Données projet'!$B$88,BD82+BC83-BL82)))</f>
        <v>320.12500000000011</v>
      </c>
      <c r="BE83" s="14">
        <f>BD83*VLOOKUP('Données projet'!$B$11,Paramètres!$A$1:$I$89,3,0)*VLOOKUP('Données projet'!$B$11,Paramètres!$A$1:$I$89,5,0)</f>
        <v>149.81850000000006</v>
      </c>
      <c r="BF83" s="14">
        <f t="shared" si="91"/>
        <v>38.537336188594026</v>
      </c>
      <c r="BG83" s="22">
        <f t="shared" si="61"/>
        <v>328.05308136180139</v>
      </c>
      <c r="BH83" s="62">
        <f t="shared" si="62"/>
        <v>621.3864146951347</v>
      </c>
      <c r="BI83" s="62">
        <f ca="1">AVERAGE(OFFSET($BH$3,0,0,'Données projet'!$E$11+1,1))-AVERAGE(OFFSET($H$3,0,0,'Données projet'!$E$11+1,1))</f>
        <v>246.73711856758143</v>
      </c>
      <c r="BJ83" s="62">
        <f t="shared" si="92"/>
        <v>145.54897745089966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6.3550942286383367E-14</v>
      </c>
      <c r="CA83" s="14">
        <f t="shared" si="93"/>
        <v>1.0064464192543978E-12</v>
      </c>
      <c r="CB83" s="22">
        <f t="shared" si="64"/>
        <v>1.8635787380168604E-12</v>
      </c>
      <c r="CC83" s="62">
        <f t="shared" si="65"/>
        <v>293.33333333333519</v>
      </c>
      <c r="CD83" s="62">
        <f ca="1">AVERAGE(OFFSET($CC$3,0,0,'Données projet'!$E$12+1,1))-AVERAGE(OFFSET($H$3,0,0,'Données projet'!$E$12+1,1))</f>
        <v>321.13335003345236</v>
      </c>
      <c r="CE83" s="62">
        <f t="shared" si="94"/>
        <v>301.26825075712128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5.154562275676092</v>
      </c>
      <c r="CM83" s="23">
        <f>EXP(-LN(2)/2)*CM82+(1-EXP(-LN(2)/2))/(LN(2)/2)*CG83*CJ83*VLOOKUP('Données projet'!$B$12,Paramètres!$A$1:$I$89,3,0)*0.475*44/12</f>
        <v>2.9388611521715895E-7</v>
      </c>
      <c r="CN83" s="24">
        <f t="shared" si="66"/>
        <v>5.1545625695622075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6.7984728957526396E-14</v>
      </c>
      <c r="CV83" s="14">
        <f t="shared" si="95"/>
        <v>1.0682447123141398E-12</v>
      </c>
      <c r="CW83" s="22">
        <f t="shared" si="67"/>
        <v>1.978932943548152E-12</v>
      </c>
      <c r="CX83" s="62">
        <f t="shared" si="68"/>
        <v>293.3333333333353</v>
      </c>
      <c r="CY83" s="62">
        <f ca="1">AVERAGE(OFFSET($CX$3,0,0,'Données projet'!$E$13+1,1))-AVERAGE(OFFSET($H$3,0,0,'Données projet'!$E$13+1,1))</f>
        <v>260.02504691866199</v>
      </c>
      <c r="CZ83" s="62">
        <f t="shared" si="96"/>
        <v>270.11268336406368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3.718070782792942</v>
      </c>
      <c r="DG83" s="23">
        <f>EXP(-LN(2)/25)*DG82+(1-EXP(-LN(2)/25))/(LN(2)/25)*Calculateur!DB83*Calculateur!DD83*VLOOKUP('Données projet'!$B$13,Paramètres!$A$1:$I$89,3,0)*0.475*44/12</f>
        <v>4.109009361053908</v>
      </c>
      <c r="DH83" s="23">
        <f>EXP(-LN(2)/2)*DH82+(1-EXP(-LN(2)/2))/(LN(2)/2)*DB83*DE83*VLOOKUP('Données projet'!$B$13,Paramètres!$A$1:$I$89,3,0)*0.475*44/12</f>
        <v>1.8894556003582012E-7</v>
      </c>
      <c r="DI83" s="24">
        <f t="shared" si="69"/>
        <v>7.8270803327924092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285</v>
      </c>
      <c r="DM83" s="13">
        <f>VLOOKUP(A83,'Données projet'!$A$165:$I$185,9,0)</f>
        <v>3</v>
      </c>
      <c r="DN83" s="13">
        <f t="array" ref="DN83">INDEX(DM:DM,MIN(IF(ISNUMBER(DM83:DM279),ROW(DM83:DM279),"")))</f>
        <v>3</v>
      </c>
      <c r="DO83" s="13">
        <f>IF('Données projet'!$A$166&gt;35,DO82+DN83-DW82,IF(A83&lt;'Données projet'!$A$166,$DL$205^A83,IF(A83='Données projet'!$A$166,'Données projet'!$B$166,DO82+DN83-DW82)))</f>
        <v>284.99999999999983</v>
      </c>
      <c r="DP83" s="18">
        <f>DO83*VLOOKUP('Données projet'!$B$14,Paramètres!$A$1:$I$89,3,0)*VLOOKUP('Données projet'!$B$14,Paramètres!$A$1:$I$89,5,0)</f>
        <v>226.74599999999987</v>
      </c>
      <c r="DQ83" s="14">
        <f t="shared" si="97"/>
        <v>55.578508240245917</v>
      </c>
      <c r="DR83" s="22">
        <f t="shared" si="70"/>
        <v>491.71518518509475</v>
      </c>
      <c r="DS83" s="62">
        <f t="shared" si="71"/>
        <v>785.04851851842807</v>
      </c>
      <c r="DT83" s="62">
        <f ca="1">AVERAGE(OFFSET($DS$3,0,0,'Données projet'!$E$14+1,1))-AVERAGE(OFFSET($H$3,0,0,'Données projet'!$E$14+1,1))</f>
        <v>312.53381881960331</v>
      </c>
      <c r="DU83" s="62">
        <f t="shared" si="98"/>
        <v>342.06887933351783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285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146</v>
      </c>
      <c r="EH83" s="13">
        <f>VLOOKUP(A83,'Données projet'!$A$191:$I$211,9,0)</f>
        <v>3.4</v>
      </c>
      <c r="EI83" s="13">
        <f t="array" ref="EI83">INDEX(EH:EH,MIN(IF(ISNUMBER(EH83:EH279),ROW(EH83:EH279),"")))</f>
        <v>3.4</v>
      </c>
      <c r="EJ83" s="13">
        <f>IF('Données projet'!$A$192&gt;35,EJ82+EI83-ER82,IF(A83&lt;'Données projet'!$A$192,$EG$205^A83,IF(A83='Données projet'!$A$192,'Données projet'!$B$192,EJ82+EI83-ER82)))</f>
        <v>146</v>
      </c>
      <c r="EK83" s="18">
        <f>EJ83*VLOOKUP('Données projet'!$B$15,Paramètres!$A$1:$I$89,3,0)*VLOOKUP('Données projet'!$B$15,Paramètres!$A$1:$I$89,5,0)</f>
        <v>141.21119999999999</v>
      </c>
      <c r="EL83" s="14">
        <f t="shared" si="99"/>
        <v>36.574335145278738</v>
      </c>
      <c r="EM83" s="22">
        <f t="shared" si="73"/>
        <v>309.64314037802711</v>
      </c>
      <c r="EN83" s="62">
        <f t="shared" si="74"/>
        <v>602.97647371136043</v>
      </c>
      <c r="EO83" s="62">
        <f ca="1">AVERAGE(OFFSET($EN$3,0,0,'Données projet'!$E$15+1,1))-AVERAGE(OFFSET($H$3,0,0,'Données projet'!$E$15+1,1))</f>
        <v>255.59755832175625</v>
      </c>
      <c r="EP83" s="62">
        <f t="shared" si="100"/>
        <v>154.0840647586964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6.25</v>
      </c>
      <c r="FE83" s="13">
        <f>IF('Données projet'!$A$218&gt;35,FE82+FD83-FM82,IF(A83&lt;'Données projet'!$A$218,$FB$205^A83,IF(A83='Données projet'!$A$218,'Données projet'!$B$218,FE82+FD83-FM82)))</f>
        <v>224.75000000000003</v>
      </c>
      <c r="FF83" s="18">
        <f>FE83*VLOOKUP('Données projet'!$B$16,Paramètres!$A$1:$I$89,3,0)*VLOOKUP('Données projet'!$B$16,Paramètres!$A$1:$I$89,5,0)</f>
        <v>134.40050000000002</v>
      </c>
      <c r="FG83" s="14">
        <f t="shared" si="101"/>
        <v>35.011207252760464</v>
      </c>
      <c r="FH83" s="22">
        <f t="shared" si="76"/>
        <v>295.05872346522455</v>
      </c>
      <c r="FI83" s="62">
        <f t="shared" si="77"/>
        <v>588.39205679855786</v>
      </c>
      <c r="FJ83" s="62">
        <f ca="1">AVERAGE(OFFSET($FI$3,0,0,'Données projet'!$E$16+1,1))-AVERAGE(OFFSET($H$3,0,0,'Données projet'!$E$16+1,1))</f>
        <v>197.08445731383847</v>
      </c>
      <c r="FK83" s="62">
        <f t="shared" si="102"/>
        <v>157.12482557016511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775.45409146701161</v>
      </c>
      <c r="S84" s="62">
        <f ca="1">AVERAGE(OFFSET($R$3,0,0,'Données projet'!$E$9+1,1))-AVERAGE(OFFSET($H$3,0,0,'Données projet'!$E$9+1,1))</f>
        <v>428.8489304403459</v>
      </c>
      <c r="T84" s="62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2">
        <f t="shared" si="59"/>
        <v>832.2370162281502</v>
      </c>
      <c r="AN84" s="62">
        <f ca="1">AVERAGE(OFFSET($AM$3,0,0,'Données projet'!$E$10+1,1))-AVERAGE(OFFSET($H$3,0,0,'Données projet'!$E$10+1,1))</f>
        <v>475.47920969424894</v>
      </c>
      <c r="AO84" s="62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9.001923076923072</v>
      </c>
      <c r="BD84" s="13">
        <f>IF('Données projet'!$A$88&gt;35,BD83+BC84-BL83,IF(A84&lt;'Données projet'!$A$88,$BA$205^A84,IF(A84='Données projet'!$A$88,'Données projet'!$B$88,BD83+BC84-BL83)))</f>
        <v>329.12692307692316</v>
      </c>
      <c r="BE84" s="14">
        <f>BD84*VLOOKUP('Données projet'!$B$11,Paramètres!$A$1:$I$89,3,0)*VLOOKUP('Données projet'!$B$11,Paramètres!$A$1:$I$89,5,0)</f>
        <v>154.03140000000005</v>
      </c>
      <c r="BF84" s="14">
        <f t="shared" si="91"/>
        <v>39.493316842260505</v>
      </c>
      <c r="BG84" s="22">
        <f t="shared" si="61"/>
        <v>337.05554850027039</v>
      </c>
      <c r="BH84" s="62">
        <f t="shared" si="62"/>
        <v>630.3888818336037</v>
      </c>
      <c r="BI84" s="62">
        <f ca="1">AVERAGE(OFFSET($BH$3,0,0,'Données projet'!$E$11+1,1))-AVERAGE(OFFSET($H$3,0,0,'Données projet'!$E$11+1,1))</f>
        <v>246.73711856758143</v>
      </c>
      <c r="BJ84" s="62">
        <f t="shared" si="92"/>
        <v>145.54897745089966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6.3550942286383367E-14</v>
      </c>
      <c r="CA84" s="14">
        <f t="shared" si="93"/>
        <v>1.0064464192543978E-12</v>
      </c>
      <c r="CB84" s="22">
        <f t="shared" si="64"/>
        <v>1.8635787380168604E-12</v>
      </c>
      <c r="CC84" s="62">
        <f t="shared" si="65"/>
        <v>293.33333333333519</v>
      </c>
      <c r="CD84" s="62">
        <f ca="1">AVERAGE(OFFSET($CC$3,0,0,'Données projet'!$E$12+1,1))-AVERAGE(OFFSET($H$3,0,0,'Données projet'!$E$12+1,1))</f>
        <v>321.13335003345236</v>
      </c>
      <c r="CE84" s="62">
        <f t="shared" si="94"/>
        <v>301.26825075712128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5.0136104991810804</v>
      </c>
      <c r="CM84" s="23">
        <f>EXP(-LN(2)/2)*CM83+(1-EXP(-LN(2)/2))/(LN(2)/2)*CG84*CJ84*VLOOKUP('Données projet'!$B$12,Paramètres!$A$1:$I$89,3,0)*0.475*44/12</f>
        <v>2.0780886496662411E-7</v>
      </c>
      <c r="CN84" s="24">
        <f t="shared" si="66"/>
        <v>5.0136107069899456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6.7984728957526396E-14</v>
      </c>
      <c r="CV84" s="14">
        <f t="shared" si="95"/>
        <v>1.0682447123141398E-12</v>
      </c>
      <c r="CW84" s="22">
        <f t="shared" si="67"/>
        <v>1.978932943548152E-12</v>
      </c>
      <c r="CX84" s="62">
        <f t="shared" si="68"/>
        <v>293.3333333333353</v>
      </c>
      <c r="CY84" s="62">
        <f ca="1">AVERAGE(OFFSET($CX$3,0,0,'Données projet'!$E$13+1,1))-AVERAGE(OFFSET($H$3,0,0,'Données projet'!$E$13+1,1))</f>
        <v>260.02504691866199</v>
      </c>
      <c r="CZ84" s="62">
        <f t="shared" si="96"/>
        <v>270.11268336406368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3.6451616825416235</v>
      </c>
      <c r="DG84" s="23">
        <f>EXP(-LN(2)/25)*DG83+(1-EXP(-LN(2)/25))/(LN(2)/25)*Calculateur!DB84*Calculateur!DD84*VLOOKUP('Données projet'!$B$13,Paramètres!$A$1:$I$89,3,0)*0.475*44/12</f>
        <v>3.996648283992478</v>
      </c>
      <c r="DH84" s="23">
        <f>EXP(-LN(2)/2)*DH83+(1-EXP(-LN(2)/2))/(LN(2)/2)*DB84*DE84*VLOOKUP('Données projet'!$B$13,Paramètres!$A$1:$I$89,3,0)*0.475*44/12</f>
        <v>1.3360468677641834E-7</v>
      </c>
      <c r="DI84" s="24">
        <f t="shared" si="69"/>
        <v>7.6418101001387875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-1.7053025658242404E-13</v>
      </c>
      <c r="DP84" s="18">
        <f>DO84*VLOOKUP('Données projet'!$B$14,Paramètres!$A$1:$I$89,3,0)*VLOOKUP('Données projet'!$B$14,Paramètres!$A$1:$I$89,5,0)</f>
        <v>-1.3567387213697657E-13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312.53381881960331</v>
      </c>
      <c r="DU84" s="62">
        <f t="shared" si="98"/>
        <v>342.06887933351783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</v>
      </c>
      <c r="EJ84" s="13">
        <f>IF('Données projet'!$A$192&gt;35,EJ83+EI84-ER83,IF(A84&lt;'Données projet'!$A$192,$EG$205^A84,IF(A84='Données projet'!$A$192,'Données projet'!$B$192,EJ83+EI84-ER83)))</f>
        <v>149</v>
      </c>
      <c r="EK84" s="18">
        <f>EJ84*VLOOKUP('Données projet'!$B$15,Paramètres!$A$1:$I$89,3,0)*VLOOKUP('Données projet'!$B$15,Paramètres!$A$1:$I$89,5,0)</f>
        <v>144.11279999999999</v>
      </c>
      <c r="EL84" s="14">
        <f t="shared" si="99"/>
        <v>37.237596662992502</v>
      </c>
      <c r="EM84" s="22">
        <f t="shared" si="73"/>
        <v>315.85194085471193</v>
      </c>
      <c r="EN84" s="62">
        <f t="shared" si="74"/>
        <v>609.18527418804524</v>
      </c>
      <c r="EO84" s="62">
        <f ca="1">AVERAGE(OFFSET($EN$3,0,0,'Données projet'!$E$15+1,1))-AVERAGE(OFFSET($H$3,0,0,'Données projet'!$E$15+1,1))</f>
        <v>255.59755832175625</v>
      </c>
      <c r="EP84" s="62">
        <f t="shared" si="100"/>
        <v>154.0840647586964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6.25</v>
      </c>
      <c r="FE84" s="13">
        <f>IF('Données projet'!$A$218&gt;35,FE83+FD84-FM83,IF(A84&lt;'Données projet'!$A$218,$FB$205^A84,IF(A84='Données projet'!$A$218,'Données projet'!$B$218,FE83+FD84-FM83)))</f>
        <v>231.00000000000003</v>
      </c>
      <c r="FF84" s="18">
        <f>FE84*VLOOKUP('Données projet'!$B$16,Paramètres!$A$1:$I$89,3,0)*VLOOKUP('Données projet'!$B$16,Paramètres!$A$1:$I$89,5,0)</f>
        <v>138.13800000000003</v>
      </c>
      <c r="FG84" s="14">
        <f t="shared" si="101"/>
        <v>35.870115614757175</v>
      </c>
      <c r="FH84" s="22">
        <f t="shared" si="76"/>
        <v>303.06413469570208</v>
      </c>
      <c r="FI84" s="62">
        <f t="shared" si="77"/>
        <v>596.39746802903539</v>
      </c>
      <c r="FJ84" s="62">
        <f ca="1">AVERAGE(OFFSET($FI$3,0,0,'Données projet'!$E$16+1,1))-AVERAGE(OFFSET($H$3,0,0,'Données projet'!$E$16+1,1))</f>
        <v>197.08445731383847</v>
      </c>
      <c r="FK84" s="62">
        <f t="shared" si="102"/>
        <v>157.12482557016511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786.19217745579931</v>
      </c>
      <c r="S85" s="62">
        <f ca="1">AVERAGE(OFFSET($R$3,0,0,'Données projet'!$E$9+1,1))-AVERAGE(OFFSET($H$3,0,0,'Données projet'!$E$9+1,1))</f>
        <v>428.8489304403459</v>
      </c>
      <c r="T85" s="62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2">
        <f t="shared" si="59"/>
        <v>844.24282734876306</v>
      </c>
      <c r="AN85" s="62">
        <f ca="1">AVERAGE(OFFSET($AM$3,0,0,'Données projet'!$E$10+1,1))-AVERAGE(OFFSET($H$3,0,0,'Données projet'!$E$10+1,1))</f>
        <v>475.47920969424894</v>
      </c>
      <c r="AO85" s="62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9.001923076923072</v>
      </c>
      <c r="BD85" s="13">
        <f>IF('Données projet'!$A$88&gt;35,BD84+BC85-BL84,IF(A85&lt;'Données projet'!$A$88,$BA$205^A85,IF(A85='Données projet'!$A$88,'Données projet'!$B$88,BD84+BC85-BL84)))</f>
        <v>338.12884615384621</v>
      </c>
      <c r="BE85" s="14">
        <f>BD85*VLOOKUP('Données projet'!$B$11,Paramètres!$A$1:$I$89,3,0)*VLOOKUP('Données projet'!$B$11,Paramètres!$A$1:$I$89,5,0)</f>
        <v>158.24430000000004</v>
      </c>
      <c r="BF85" s="14">
        <f t="shared" si="91"/>
        <v>40.446258430453689</v>
      </c>
      <c r="BG85" s="22">
        <f t="shared" si="61"/>
        <v>346.0527225997069</v>
      </c>
      <c r="BH85" s="62">
        <f t="shared" si="62"/>
        <v>639.38605593304021</v>
      </c>
      <c r="BI85" s="62">
        <f ca="1">AVERAGE(OFFSET($BH$3,0,0,'Données projet'!$E$11+1,1))-AVERAGE(OFFSET($H$3,0,0,'Données projet'!$E$11+1,1))</f>
        <v>246.73711856758143</v>
      </c>
      <c r="BJ85" s="62">
        <f t="shared" si="92"/>
        <v>145.54897745089966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6.3550942286383367E-14</v>
      </c>
      <c r="CA85" s="14">
        <f t="shared" si="93"/>
        <v>1.0064464192543978E-12</v>
      </c>
      <c r="CB85" s="22">
        <f t="shared" si="64"/>
        <v>1.8635787380168604E-12</v>
      </c>
      <c r="CC85" s="62">
        <f t="shared" si="65"/>
        <v>293.33333333333519</v>
      </c>
      <c r="CD85" s="62">
        <f ca="1">AVERAGE(OFFSET($CC$3,0,0,'Données projet'!$E$12+1,1))-AVERAGE(OFFSET($H$3,0,0,'Données projet'!$E$12+1,1))</f>
        <v>321.13335003345236</v>
      </c>
      <c r="CE85" s="62">
        <f t="shared" si="94"/>
        <v>301.26825075712128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4.8765130564266563</v>
      </c>
      <c r="CM85" s="23">
        <f>EXP(-LN(2)/2)*CM84+(1-EXP(-LN(2)/2))/(LN(2)/2)*CG85*CJ85*VLOOKUP('Données projet'!$B$12,Paramètres!$A$1:$I$89,3,0)*0.475*44/12</f>
        <v>1.4694305760857948E-7</v>
      </c>
      <c r="CN85" s="24">
        <f t="shared" si="66"/>
        <v>4.8765132033697141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6.7984728957526396E-14</v>
      </c>
      <c r="CV85" s="14">
        <f t="shared" si="95"/>
        <v>1.0682447123141398E-12</v>
      </c>
      <c r="CW85" s="22">
        <f t="shared" si="67"/>
        <v>1.978932943548152E-12</v>
      </c>
      <c r="CX85" s="62">
        <f t="shared" si="68"/>
        <v>293.3333333333353</v>
      </c>
      <c r="CY85" s="62">
        <f ca="1">AVERAGE(OFFSET($CX$3,0,0,'Données projet'!$E$13+1,1))-AVERAGE(OFFSET($H$3,0,0,'Données projet'!$E$13+1,1))</f>
        <v>260.02504691866199</v>
      </c>
      <c r="CZ85" s="62">
        <f t="shared" si="96"/>
        <v>270.11268336406368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3.5736822852760732</v>
      </c>
      <c r="DG85" s="23">
        <f>EXP(-LN(2)/25)*DG84+(1-EXP(-LN(2)/25))/(LN(2)/25)*Calculateur!DB85*Calculateur!DD85*VLOOKUP('Données projet'!$B$13,Paramètres!$A$1:$I$89,3,0)*0.475*44/12</f>
        <v>3.8873597264921047</v>
      </c>
      <c r="DH85" s="23">
        <f>EXP(-LN(2)/2)*DH84+(1-EXP(-LN(2)/2))/(LN(2)/2)*DB85*DE85*VLOOKUP('Données projet'!$B$13,Paramètres!$A$1:$I$89,3,0)*0.475*44/12</f>
        <v>9.4472780017910059E-8</v>
      </c>
      <c r="DI85" s="24">
        <f t="shared" si="69"/>
        <v>7.4610421062409582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-1.7053025658242404E-13</v>
      </c>
      <c r="DP85" s="18">
        <f>DO85*VLOOKUP('Données projet'!$B$14,Paramètres!$A$1:$I$89,3,0)*VLOOKUP('Données projet'!$B$14,Paramètres!$A$1:$I$89,5,0)</f>
        <v>-1.3567387213697657E-13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312.53381881960331</v>
      </c>
      <c r="DU85" s="62">
        <f t="shared" si="98"/>
        <v>342.06887933351783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</v>
      </c>
      <c r="EJ85" s="13">
        <f>IF('Données projet'!$A$192&gt;35,EJ84+EI85-ER84,IF(A85&lt;'Données projet'!$A$192,$EG$205^A85,IF(A85='Données projet'!$A$192,'Données projet'!$B$192,EJ84+EI85-ER84)))</f>
        <v>152</v>
      </c>
      <c r="EK85" s="18">
        <f>EJ85*VLOOKUP('Données projet'!$B$15,Paramètres!$A$1:$I$89,3,0)*VLOOKUP('Données projet'!$B$15,Paramètres!$A$1:$I$89,5,0)</f>
        <v>147.01439999999999</v>
      </c>
      <c r="EL85" s="14">
        <f t="shared" si="99"/>
        <v>37.899305454176826</v>
      </c>
      <c r="EM85" s="22">
        <f t="shared" si="73"/>
        <v>322.05803699935797</v>
      </c>
      <c r="EN85" s="62">
        <f t="shared" si="74"/>
        <v>615.39137033269128</v>
      </c>
      <c r="EO85" s="62">
        <f ca="1">AVERAGE(OFFSET($EN$3,0,0,'Données projet'!$E$15+1,1))-AVERAGE(OFFSET($H$3,0,0,'Données projet'!$E$15+1,1))</f>
        <v>255.59755832175625</v>
      </c>
      <c r="EP85" s="62">
        <f t="shared" si="100"/>
        <v>154.0840647586964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6.25</v>
      </c>
      <c r="FE85" s="13">
        <f>IF('Données projet'!$A$218&gt;35,FE84+FD85-FM84,IF(A85&lt;'Données projet'!$A$218,$FB$205^A85,IF(A85='Données projet'!$A$218,'Données projet'!$B$218,FE84+FD85-FM84)))</f>
        <v>237.25000000000003</v>
      </c>
      <c r="FF85" s="18">
        <f>FE85*VLOOKUP('Données projet'!$B$16,Paramètres!$A$1:$I$89,3,0)*VLOOKUP('Données projet'!$B$16,Paramètres!$A$1:$I$89,5,0)</f>
        <v>141.87550000000002</v>
      </c>
      <c r="FG85" s="14">
        <f t="shared" si="101"/>
        <v>36.726322879934969</v>
      </c>
      <c r="FH85" s="22">
        <f t="shared" si="76"/>
        <v>311.06484151588677</v>
      </c>
      <c r="FI85" s="62">
        <f t="shared" si="77"/>
        <v>604.39817484922014</v>
      </c>
      <c r="FJ85" s="62">
        <f ca="1">AVERAGE(OFFSET($FI$3,0,0,'Données projet'!$E$16+1,1))-AVERAGE(OFFSET($H$3,0,0,'Données projet'!$E$16+1,1))</f>
        <v>197.08445731383847</v>
      </c>
      <c r="FK85" s="62">
        <f t="shared" si="102"/>
        <v>157.12482557016511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796.92530469359974</v>
      </c>
      <c r="S86" s="62">
        <f ca="1">AVERAGE(OFFSET($R$3,0,0,'Données projet'!$E$9+1,1))-AVERAGE(OFFSET($H$3,0,0,'Données projet'!$E$9+1,1))</f>
        <v>428.8489304403459</v>
      </c>
      <c r="T86" s="62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2">
        <f t="shared" si="59"/>
        <v>856.24315446785226</v>
      </c>
      <c r="AN86" s="62">
        <f ca="1">AVERAGE(OFFSET($AM$3,0,0,'Données projet'!$E$10+1,1))-AVERAGE(OFFSET($H$3,0,0,'Données projet'!$E$10+1,1))</f>
        <v>475.47920969424894</v>
      </c>
      <c r="AO86" s="62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9.001923076923072</v>
      </c>
      <c r="BD86" s="13">
        <f>IF('Données projet'!$A$88&gt;35,BD85+BC86-BL85,IF(A86&lt;'Données projet'!$A$88,$BA$205^A86,IF(A86='Données projet'!$A$88,'Données projet'!$B$88,BD85+BC86-BL85)))</f>
        <v>347.13076923076926</v>
      </c>
      <c r="BE86" s="14">
        <f>BD86*VLOOKUP('Données projet'!$B$11,Paramètres!$A$1:$I$89,3,0)*VLOOKUP('Données projet'!$B$11,Paramètres!$A$1:$I$89,5,0)</f>
        <v>162.45720000000003</v>
      </c>
      <c r="BF86" s="14">
        <f t="shared" si="91"/>
        <v>41.396251160974799</v>
      </c>
      <c r="BG86" s="22">
        <f t="shared" si="61"/>
        <v>355.04476077203117</v>
      </c>
      <c r="BH86" s="62">
        <f t="shared" si="62"/>
        <v>648.37809410536443</v>
      </c>
      <c r="BI86" s="62">
        <f ca="1">AVERAGE(OFFSET($BH$3,0,0,'Données projet'!$E$11+1,1))-AVERAGE(OFFSET($H$3,0,0,'Données projet'!$E$11+1,1))</f>
        <v>246.73711856758143</v>
      </c>
      <c r="BJ86" s="62">
        <f t="shared" si="92"/>
        <v>145.54897745089966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6.3550942286383367E-14</v>
      </c>
      <c r="CA86" s="14">
        <f t="shared" si="93"/>
        <v>1.0064464192543978E-12</v>
      </c>
      <c r="CB86" s="22">
        <f t="shared" si="64"/>
        <v>1.8635787380168604E-12</v>
      </c>
      <c r="CC86" s="62">
        <f t="shared" si="65"/>
        <v>293.33333333333519</v>
      </c>
      <c r="CD86" s="62">
        <f ca="1">AVERAGE(OFFSET($CC$3,0,0,'Données projet'!$E$12+1,1))-AVERAGE(OFFSET($H$3,0,0,'Données projet'!$E$12+1,1))</f>
        <v>321.13335003345236</v>
      </c>
      <c r="CE86" s="62">
        <f t="shared" si="94"/>
        <v>301.26825075712128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4.7431645504539928</v>
      </c>
      <c r="CM86" s="23">
        <f>EXP(-LN(2)/2)*CM85+(1-EXP(-LN(2)/2))/(LN(2)/2)*CG86*CJ86*VLOOKUP('Données projet'!$B$12,Paramètres!$A$1:$I$89,3,0)*0.475*44/12</f>
        <v>1.0390443248331206E-7</v>
      </c>
      <c r="CN86" s="24">
        <f t="shared" si="66"/>
        <v>4.7431646543584254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6.7984728957526396E-14</v>
      </c>
      <c r="CV86" s="14">
        <f t="shared" si="95"/>
        <v>1.0682447123141398E-12</v>
      </c>
      <c r="CW86" s="22">
        <f t="shared" si="67"/>
        <v>1.978932943548152E-12</v>
      </c>
      <c r="CX86" s="62">
        <f t="shared" si="68"/>
        <v>293.3333333333353</v>
      </c>
      <c r="CY86" s="62">
        <f ca="1">AVERAGE(OFFSET($CX$3,0,0,'Données projet'!$E$13+1,1))-AVERAGE(OFFSET($H$3,0,0,'Données projet'!$E$13+1,1))</f>
        <v>260.02504691866199</v>
      </c>
      <c r="CZ86" s="62">
        <f t="shared" si="96"/>
        <v>270.11268336406368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3.5036045553927728</v>
      </c>
      <c r="DG86" s="23">
        <f>EXP(-LN(2)/25)*DG85+(1-EXP(-LN(2)/25))/(LN(2)/25)*Calculateur!DB86*Calculateur!DD86*VLOOKUP('Données projet'!$B$13,Paramètres!$A$1:$I$89,3,0)*0.475*44/12</f>
        <v>3.7810596703438146</v>
      </c>
      <c r="DH86" s="23">
        <f>EXP(-LN(2)/2)*DH85+(1-EXP(-LN(2)/2))/(LN(2)/2)*DB86*DE86*VLOOKUP('Données projet'!$B$13,Paramètres!$A$1:$I$89,3,0)*0.475*44/12</f>
        <v>6.6802343388209168E-8</v>
      </c>
      <c r="DI86" s="24">
        <f t="shared" si="69"/>
        <v>7.2846642925389311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-1.7053025658242404E-13</v>
      </c>
      <c r="DP86" s="18">
        <f>DO86*VLOOKUP('Données projet'!$B$14,Paramètres!$A$1:$I$89,3,0)*VLOOKUP('Données projet'!$B$14,Paramètres!$A$1:$I$89,5,0)</f>
        <v>-1.3567387213697657E-13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312.53381881960331</v>
      </c>
      <c r="DU86" s="62">
        <f t="shared" si="98"/>
        <v>342.06887933351783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</v>
      </c>
      <c r="EJ86" s="13">
        <f>IF('Données projet'!$A$192&gt;35,EJ85+EI86-ER85,IF(A86&lt;'Données projet'!$A$192,$EG$205^A86,IF(A86='Données projet'!$A$192,'Données projet'!$B$192,EJ85+EI86-ER85)))</f>
        <v>155</v>
      </c>
      <c r="EK86" s="18">
        <f>EJ86*VLOOKUP('Données projet'!$B$15,Paramètres!$A$1:$I$89,3,0)*VLOOKUP('Données projet'!$B$15,Paramètres!$A$1:$I$89,5,0)</f>
        <v>149.916</v>
      </c>
      <c r="EL86" s="14">
        <f t="shared" si="99"/>
        <v>38.559495697142914</v>
      </c>
      <c r="EM86" s="22">
        <f t="shared" si="73"/>
        <v>328.26148833919052</v>
      </c>
      <c r="EN86" s="62">
        <f t="shared" si="74"/>
        <v>621.59482167252384</v>
      </c>
      <c r="EO86" s="62">
        <f ca="1">AVERAGE(OFFSET($EN$3,0,0,'Données projet'!$E$15+1,1))-AVERAGE(OFFSET($H$3,0,0,'Données projet'!$E$15+1,1))</f>
        <v>255.59755832175625</v>
      </c>
      <c r="EP86" s="62">
        <f t="shared" si="100"/>
        <v>154.0840647586964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6.25</v>
      </c>
      <c r="FE86" s="13">
        <f>IF('Données projet'!$A$218&gt;35,FE85+FD86-FM85,IF(A86&lt;'Données projet'!$A$218,$FB$205^A86,IF(A86='Données projet'!$A$218,'Données projet'!$B$218,FE85+FD86-FM85)))</f>
        <v>243.50000000000003</v>
      </c>
      <c r="FF86" s="18">
        <f>FE86*VLOOKUP('Données projet'!$B$16,Paramètres!$A$1:$I$89,3,0)*VLOOKUP('Données projet'!$B$16,Paramètres!$A$1:$I$89,5,0)</f>
        <v>145.61300000000003</v>
      </c>
      <c r="FG86" s="14">
        <f t="shared" si="101"/>
        <v>37.579908384199904</v>
      </c>
      <c r="FH86" s="22">
        <f t="shared" si="76"/>
        <v>319.06098210248155</v>
      </c>
      <c r="FI86" s="62">
        <f t="shared" si="77"/>
        <v>612.39431543581486</v>
      </c>
      <c r="FJ86" s="62">
        <f ca="1">AVERAGE(OFFSET($FI$3,0,0,'Données projet'!$E$16+1,1))-AVERAGE(OFFSET($H$3,0,0,'Données projet'!$E$16+1,1))</f>
        <v>197.08445731383847</v>
      </c>
      <c r="FK86" s="62">
        <f t="shared" si="102"/>
        <v>157.12482557016511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807.65359376827541</v>
      </c>
      <c r="S87" s="62">
        <f ca="1">AVERAGE(OFFSET($R$3,0,0,'Données projet'!$E$9+1,1))-AVERAGE(OFFSET($H$3,0,0,'Données projet'!$E$9+1,1))</f>
        <v>428.8489304403459</v>
      </c>
      <c r="T87" s="62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2">
        <f t="shared" si="59"/>
        <v>868.23813094642423</v>
      </c>
      <c r="AN87" s="62">
        <f ca="1">AVERAGE(OFFSET($AM$3,0,0,'Données projet'!$E$10+1,1))-AVERAGE(OFFSET($H$3,0,0,'Données projet'!$E$10+1,1))</f>
        <v>475.47920969424894</v>
      </c>
      <c r="AO87" s="62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9.001923076923072</v>
      </c>
      <c r="BD87" s="13">
        <f>IF('Données projet'!$A$88&gt;35,BD86+BC87-BL86,IF(A87&lt;'Données projet'!$A$88,$BA$205^A87,IF(A87='Données projet'!$A$88,'Données projet'!$B$88,BD86+BC87-BL86)))</f>
        <v>356.13269230769231</v>
      </c>
      <c r="BE87" s="14">
        <f>BD87*VLOOKUP('Données projet'!$B$11,Paramètres!$A$1:$I$89,3,0)*VLOOKUP('Données projet'!$B$11,Paramètres!$A$1:$I$89,5,0)</f>
        <v>166.67010000000002</v>
      </c>
      <c r="BF87" s="14">
        <f t="shared" si="91"/>
        <v>42.34338029651839</v>
      </c>
      <c r="BG87" s="22">
        <f t="shared" si="61"/>
        <v>364.03181151643622</v>
      </c>
      <c r="BH87" s="62">
        <f t="shared" si="62"/>
        <v>657.36514484976954</v>
      </c>
      <c r="BI87" s="62">
        <f ca="1">AVERAGE(OFFSET($BH$3,0,0,'Données projet'!$E$11+1,1))-AVERAGE(OFFSET($H$3,0,0,'Données projet'!$E$11+1,1))</f>
        <v>246.73711856758143</v>
      </c>
      <c r="BJ87" s="62">
        <f t="shared" si="92"/>
        <v>145.54897745089966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6.3550942286383367E-14</v>
      </c>
      <c r="CA87" s="14">
        <f t="shared" si="93"/>
        <v>1.0064464192543978E-12</v>
      </c>
      <c r="CB87" s="22">
        <f t="shared" si="64"/>
        <v>1.8635787380168604E-12</v>
      </c>
      <c r="CC87" s="62">
        <f t="shared" si="65"/>
        <v>293.33333333333519</v>
      </c>
      <c r="CD87" s="62">
        <f ca="1">AVERAGE(OFFSET($CC$3,0,0,'Données projet'!$E$12+1,1))-AVERAGE(OFFSET($H$3,0,0,'Données projet'!$E$12+1,1))</f>
        <v>321.13335003345236</v>
      </c>
      <c r="CE87" s="62">
        <f t="shared" si="94"/>
        <v>301.26825075712128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4.6134624663896453</v>
      </c>
      <c r="CM87" s="23">
        <f>EXP(-LN(2)/2)*CM86+(1-EXP(-LN(2)/2))/(LN(2)/2)*CG87*CJ87*VLOOKUP('Données projet'!$B$12,Paramètres!$A$1:$I$89,3,0)*0.475*44/12</f>
        <v>7.3471528804289739E-8</v>
      </c>
      <c r="CN87" s="24">
        <f t="shared" si="66"/>
        <v>4.6134625398611737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6.7984728957526396E-14</v>
      </c>
      <c r="CV87" s="14">
        <f t="shared" si="95"/>
        <v>1.0682447123141398E-12</v>
      </c>
      <c r="CW87" s="22">
        <f t="shared" si="67"/>
        <v>1.978932943548152E-12</v>
      </c>
      <c r="CX87" s="62">
        <f t="shared" si="68"/>
        <v>293.3333333333353</v>
      </c>
      <c r="CY87" s="62">
        <f ca="1">AVERAGE(OFFSET($CX$3,0,0,'Données projet'!$E$13+1,1))-AVERAGE(OFFSET($H$3,0,0,'Données projet'!$E$13+1,1))</f>
        <v>260.02504691866199</v>
      </c>
      <c r="CZ87" s="62">
        <f t="shared" si="96"/>
        <v>270.11268336406368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3.4349010070492891</v>
      </c>
      <c r="DG87" s="23">
        <f>EXP(-LN(2)/25)*DG86+(1-EXP(-LN(2)/25))/(LN(2)/25)*Calculateur!DB87*Calculateur!DD87*VLOOKUP('Données projet'!$B$13,Paramètres!$A$1:$I$89,3,0)*0.475*44/12</f>
        <v>3.6776663948209767</v>
      </c>
      <c r="DH87" s="23">
        <f>EXP(-LN(2)/2)*DH86+(1-EXP(-LN(2)/2))/(LN(2)/2)*DB87*DE87*VLOOKUP('Données projet'!$B$13,Paramètres!$A$1:$I$89,3,0)*0.475*44/12</f>
        <v>4.723639000895503E-8</v>
      </c>
      <c r="DI87" s="24">
        <f t="shared" si="69"/>
        <v>7.1125674491066553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-1.7053025658242404E-13</v>
      </c>
      <c r="DP87" s="18">
        <f>DO87*VLOOKUP('Données projet'!$B$14,Paramètres!$A$1:$I$89,3,0)*VLOOKUP('Données projet'!$B$14,Paramètres!$A$1:$I$89,5,0)</f>
        <v>-1.3567387213697657E-13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312.53381881960331</v>
      </c>
      <c r="DU87" s="62">
        <f t="shared" si="98"/>
        <v>342.06887933351783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</v>
      </c>
      <c r="EJ87" s="13">
        <f>IF('Données projet'!$A$192&gt;35,EJ86+EI87-ER86,IF(A87&lt;'Données projet'!$A$192,$EG$205^A87,IF(A87='Données projet'!$A$192,'Données projet'!$B$192,EJ86+EI87-ER86)))</f>
        <v>158</v>
      </c>
      <c r="EK87" s="18">
        <f>EJ87*VLOOKUP('Données projet'!$B$15,Paramètres!$A$1:$I$89,3,0)*VLOOKUP('Données projet'!$B$15,Paramètres!$A$1:$I$89,5,0)</f>
        <v>152.8176</v>
      </c>
      <c r="EL87" s="14">
        <f t="shared" si="99"/>
        <v>39.218200171484227</v>
      </c>
      <c r="EM87" s="22">
        <f t="shared" si="73"/>
        <v>334.46235196533502</v>
      </c>
      <c r="EN87" s="62">
        <f t="shared" si="74"/>
        <v>627.79568529866833</v>
      </c>
      <c r="EO87" s="62">
        <f ca="1">AVERAGE(OFFSET($EN$3,0,0,'Données projet'!$E$15+1,1))-AVERAGE(OFFSET($H$3,0,0,'Données projet'!$E$15+1,1))</f>
        <v>255.59755832175625</v>
      </c>
      <c r="EP87" s="62">
        <f t="shared" si="100"/>
        <v>154.0840647586964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6.25</v>
      </c>
      <c r="FE87" s="13">
        <f>IF('Données projet'!$A$218&gt;35,FE86+FD87-FM86,IF(A87&lt;'Données projet'!$A$218,$FB$205^A87,IF(A87='Données projet'!$A$218,'Données projet'!$B$218,FE86+FD87-FM86)))</f>
        <v>249.75000000000003</v>
      </c>
      <c r="FF87" s="18">
        <f>FE87*VLOOKUP('Données projet'!$B$16,Paramètres!$A$1:$I$89,3,0)*VLOOKUP('Données projet'!$B$16,Paramètres!$A$1:$I$89,5,0)</f>
        <v>149.35050000000004</v>
      </c>
      <c r="FG87" s="14">
        <f t="shared" si="101"/>
        <v>38.430947158748282</v>
      </c>
      <c r="FH87" s="22">
        <f t="shared" si="76"/>
        <v>327.05268713481996</v>
      </c>
      <c r="FI87" s="62">
        <f t="shared" si="77"/>
        <v>620.38602046815322</v>
      </c>
      <c r="FJ87" s="62">
        <f ca="1">AVERAGE(OFFSET($FI$3,0,0,'Données projet'!$E$16+1,1))-AVERAGE(OFFSET($H$3,0,0,'Données projet'!$E$16+1,1))</f>
        <v>197.08445731383847</v>
      </c>
      <c r="FK87" s="62">
        <f t="shared" si="102"/>
        <v>157.12482557016511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818.37715982660688</v>
      </c>
      <c r="S88" s="62">
        <f ca="1">AVERAGE(OFFSET($R$3,0,0,'Données projet'!$E$9+1,1))-AVERAGE(OFFSET($H$3,0,0,'Données projet'!$E$9+1,1))</f>
        <v>428.8489304403459</v>
      </c>
      <c r="T88" s="62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2">
        <f t="shared" si="59"/>
        <v>880.22788412806244</v>
      </c>
      <c r="AN88" s="62">
        <f ca="1">AVERAGE(OFFSET($AM$3,0,0,'Données projet'!$E$10+1,1))-AVERAGE(OFFSET($H$3,0,0,'Données projet'!$E$10+1,1))</f>
        <v>475.47920969424894</v>
      </c>
      <c r="AO88" s="62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9.001923076923072</v>
      </c>
      <c r="BD88" s="13">
        <f>IF('Données projet'!$A$88&gt;35,BD87+BC88-BL87,IF(A88&lt;'Données projet'!$A$88,$BA$205^A88,IF(A88='Données projet'!$A$88,'Données projet'!$B$88,BD87+BC88-BL87)))</f>
        <v>365.13461538461536</v>
      </c>
      <c r="BE88" s="14">
        <f>BD88*VLOOKUP('Données projet'!$B$11,Paramètres!$A$1:$I$89,3,0)*VLOOKUP('Données projet'!$B$11,Paramètres!$A$1:$I$89,5,0)</f>
        <v>170.88299999999998</v>
      </c>
      <c r="BF88" s="14">
        <f t="shared" si="91"/>
        <v>43.287726543807658</v>
      </c>
      <c r="BG88" s="22">
        <f t="shared" si="61"/>
        <v>373.01401539713157</v>
      </c>
      <c r="BH88" s="62">
        <f t="shared" si="62"/>
        <v>666.34734873046489</v>
      </c>
      <c r="BI88" s="62">
        <f ca="1">AVERAGE(OFFSET($BH$3,0,0,'Données projet'!$E$11+1,1))-AVERAGE(OFFSET($H$3,0,0,'Données projet'!$E$11+1,1))</f>
        <v>246.73711856758143</v>
      </c>
      <c r="BJ88" s="62">
        <f t="shared" si="92"/>
        <v>145.54897745089966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6.3550942286383367E-14</v>
      </c>
      <c r="CA88" s="14">
        <f t="shared" si="93"/>
        <v>1.0064464192543978E-12</v>
      </c>
      <c r="CB88" s="22">
        <f t="shared" si="64"/>
        <v>1.8635787380168604E-12</v>
      </c>
      <c r="CC88" s="62">
        <f t="shared" si="65"/>
        <v>293.33333333333519</v>
      </c>
      <c r="CD88" s="62">
        <f ca="1">AVERAGE(OFFSET($CC$3,0,0,'Données projet'!$E$12+1,1))-AVERAGE(OFFSET($H$3,0,0,'Données projet'!$E$12+1,1))</f>
        <v>321.13335003345236</v>
      </c>
      <c r="CE88" s="62">
        <f t="shared" si="94"/>
        <v>301.26825075712128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4.4873070926347731</v>
      </c>
      <c r="CM88" s="23">
        <f>EXP(-LN(2)/2)*CM87+(1-EXP(-LN(2)/2))/(LN(2)/2)*CG88*CJ88*VLOOKUP('Données projet'!$B$12,Paramètres!$A$1:$I$89,3,0)*0.475*44/12</f>
        <v>5.1952216241656029E-8</v>
      </c>
      <c r="CN88" s="24">
        <f t="shared" si="66"/>
        <v>4.487307144586989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6.7984728957526396E-14</v>
      </c>
      <c r="CV88" s="14">
        <f t="shared" si="95"/>
        <v>1.0682447123141398E-12</v>
      </c>
      <c r="CW88" s="22">
        <f t="shared" si="67"/>
        <v>1.978932943548152E-12</v>
      </c>
      <c r="CX88" s="62">
        <f t="shared" si="68"/>
        <v>293.3333333333353</v>
      </c>
      <c r="CY88" s="62">
        <f ca="1">AVERAGE(OFFSET($CX$3,0,0,'Données projet'!$E$13+1,1))-AVERAGE(OFFSET($H$3,0,0,'Données projet'!$E$13+1,1))</f>
        <v>260.02504691866199</v>
      </c>
      <c r="CZ88" s="62">
        <f t="shared" si="96"/>
        <v>270.11268336406368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3.3675446933837945</v>
      </c>
      <c r="DG88" s="23">
        <f>EXP(-LN(2)/25)*DG87+(1-EXP(-LN(2)/25))/(LN(2)/25)*Calculateur!DB88*Calculateur!DD88*VLOOKUP('Données projet'!$B$13,Paramètres!$A$1:$I$89,3,0)*0.475*44/12</f>
        <v>3.5771004138545268</v>
      </c>
      <c r="DH88" s="23">
        <f>EXP(-LN(2)/2)*DH87+(1-EXP(-LN(2)/2))/(LN(2)/2)*DB88*DE88*VLOOKUP('Données projet'!$B$13,Paramètres!$A$1:$I$89,3,0)*0.475*44/12</f>
        <v>3.3401171694104584E-8</v>
      </c>
      <c r="DI88" s="24">
        <f t="shared" si="69"/>
        <v>6.9446451406394925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-1.7053025658242404E-13</v>
      </c>
      <c r="DP88" s="18">
        <f>DO88*VLOOKUP('Données projet'!$B$14,Paramètres!$A$1:$I$89,3,0)*VLOOKUP('Données projet'!$B$14,Paramètres!$A$1:$I$89,5,0)</f>
        <v>-1.3567387213697657E-13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312.53381881960331</v>
      </c>
      <c r="DU88" s="62">
        <f t="shared" si="98"/>
        <v>342.06887933351783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161</v>
      </c>
      <c r="EH88" s="13">
        <f>VLOOKUP(A88,'Données projet'!$A$191:$I$211,9,0)</f>
        <v>3</v>
      </c>
      <c r="EI88" s="13">
        <f t="array" ref="EI88">INDEX(EH:EH,MIN(IF(ISNUMBER(EH88:EH284),ROW(EH88:EH284),"")))</f>
        <v>3</v>
      </c>
      <c r="EJ88" s="13">
        <f>IF('Données projet'!$A$192&gt;35,EJ87+EI88-ER87,IF(A88&lt;'Données projet'!$A$192,$EG$205^A88,IF(A88='Données projet'!$A$192,'Données projet'!$B$192,EJ87+EI88-ER87)))</f>
        <v>161</v>
      </c>
      <c r="EK88" s="18">
        <f>EJ88*VLOOKUP('Données projet'!$B$15,Paramètres!$A$1:$I$89,3,0)*VLOOKUP('Données projet'!$B$15,Paramètres!$A$1:$I$89,5,0)</f>
        <v>155.7192</v>
      </c>
      <c r="EL88" s="14">
        <f t="shared" si="99"/>
        <v>39.875450340770094</v>
      </c>
      <c r="EM88" s="22">
        <f t="shared" si="73"/>
        <v>340.66068267684119</v>
      </c>
      <c r="EN88" s="62">
        <f t="shared" si="74"/>
        <v>633.99401601017451</v>
      </c>
      <c r="EO88" s="62">
        <f ca="1">AVERAGE(OFFSET($EN$3,0,0,'Données projet'!$E$15+1,1))-AVERAGE(OFFSET($H$3,0,0,'Données projet'!$E$15+1,1))</f>
        <v>255.59755832175625</v>
      </c>
      <c r="EP88" s="62">
        <f t="shared" si="100"/>
        <v>154.0840647586964</v>
      </c>
      <c r="EQ88" s="16">
        <f>IF(ISNA(VLOOKUP(A88,'Données projet'!$A$191:$I$211,3,0)),0,VLOOKUP(A88,'Données projet'!$A$191:$I$211,3,0))</f>
        <v>6</v>
      </c>
      <c r="ER88" s="16">
        <f>IF(ISNA(VLOOKUP(A88,'Données projet'!$A$191:$I$211,4,0)),0,VLOOKUP(A88,'Données projet'!$A$191:$I$211,4,0))</f>
        <v>18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6.25</v>
      </c>
      <c r="FE88" s="13">
        <f>IF('Données projet'!$A$218&gt;35,FE87+FD88-FM87,IF(A88&lt;'Données projet'!$A$218,$FB$205^A88,IF(A88='Données projet'!$A$218,'Données projet'!$B$218,FE87+FD88-FM87)))</f>
        <v>256</v>
      </c>
      <c r="FF88" s="18">
        <f>FE88*VLOOKUP('Données projet'!$B$16,Paramètres!$A$1:$I$89,3,0)*VLOOKUP('Données projet'!$B$16,Paramètres!$A$1:$I$89,5,0)</f>
        <v>153.08800000000002</v>
      </c>
      <c r="FG88" s="14">
        <f t="shared" si="101"/>
        <v>39.27951026543515</v>
      </c>
      <c r="FH88" s="22">
        <f t="shared" si="76"/>
        <v>335.04008037896625</v>
      </c>
      <c r="FI88" s="62">
        <f t="shared" si="77"/>
        <v>628.37341371229957</v>
      </c>
      <c r="FJ88" s="62">
        <f ca="1">AVERAGE(OFFSET($FI$3,0,0,'Données projet'!$E$16+1,1))-AVERAGE(OFFSET($H$3,0,0,'Données projet'!$E$16+1,1))</f>
        <v>197.08445731383847</v>
      </c>
      <c r="FK88" s="62">
        <f t="shared" si="102"/>
        <v>157.12482557016511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829.09611292828231</v>
      </c>
      <c r="S89" s="62">
        <f ca="1">AVERAGE(OFFSET($R$3,0,0,'Données projet'!$E$9+1,1))-AVERAGE(OFFSET($H$3,0,0,'Données projet'!$E$9+1,1))</f>
        <v>428.8489304403459</v>
      </c>
      <c r="T89" s="62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2">
        <f t="shared" si="59"/>
        <v>892.21253573041304</v>
      </c>
      <c r="AN89" s="62">
        <f ca="1">AVERAGE(OFFSET($AM$3,0,0,'Données projet'!$E$10+1,1))-AVERAGE(OFFSET($H$3,0,0,'Données projet'!$E$10+1,1))</f>
        <v>475.47920969424894</v>
      </c>
      <c r="AO89" s="62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9.001923076923072</v>
      </c>
      <c r="BD89" s="13">
        <f>IF('Données projet'!$A$88&gt;35,BD88+BC89-BL88,IF(A89&lt;'Données projet'!$A$88,$BA$205^A89,IF(A89='Données projet'!$A$88,'Données projet'!$B$88,BD88+BC89-BL88)))</f>
        <v>374.13653846153841</v>
      </c>
      <c r="BE89" s="14">
        <f>BD89*VLOOKUP('Données projet'!$B$11,Paramètres!$A$1:$I$89,3,0)*VLOOKUP('Données projet'!$B$11,Paramètres!$A$1:$I$89,5,0)</f>
        <v>175.09589999999997</v>
      </c>
      <c r="BF89" s="14">
        <f t="shared" si="91"/>
        <v>44.229366403274206</v>
      </c>
      <c r="BG89" s="22">
        <f t="shared" si="61"/>
        <v>381.9915056523692</v>
      </c>
      <c r="BH89" s="62">
        <f t="shared" si="62"/>
        <v>675.32483898570251</v>
      </c>
      <c r="BI89" s="62">
        <f ca="1">AVERAGE(OFFSET($BH$3,0,0,'Données projet'!$E$11+1,1))-AVERAGE(OFFSET($H$3,0,0,'Données projet'!$E$11+1,1))</f>
        <v>246.73711856758143</v>
      </c>
      <c r="BJ89" s="62">
        <f t="shared" si="92"/>
        <v>145.54897745089966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6.3550942286383367E-14</v>
      </c>
      <c r="CA89" s="14">
        <f t="shared" si="93"/>
        <v>1.0064464192543978E-12</v>
      </c>
      <c r="CB89" s="22">
        <f t="shared" si="64"/>
        <v>1.8635787380168604E-12</v>
      </c>
      <c r="CC89" s="62">
        <f t="shared" si="65"/>
        <v>293.33333333333519</v>
      </c>
      <c r="CD89" s="62">
        <f ca="1">AVERAGE(OFFSET($CC$3,0,0,'Données projet'!$E$12+1,1))-AVERAGE(OFFSET($H$3,0,0,'Données projet'!$E$12+1,1))</f>
        <v>321.13335003345236</v>
      </c>
      <c r="CE89" s="62">
        <f t="shared" si="94"/>
        <v>301.26825075712128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4.364601444209451</v>
      </c>
      <c r="CM89" s="23">
        <f>EXP(-LN(2)/2)*CM88+(1-EXP(-LN(2)/2))/(LN(2)/2)*CG89*CJ89*VLOOKUP('Données projet'!$B$12,Paramètres!$A$1:$I$89,3,0)*0.475*44/12</f>
        <v>3.6735764402144869E-8</v>
      </c>
      <c r="CN89" s="24">
        <f t="shared" si="66"/>
        <v>4.3646014809452156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6.7984728957526396E-14</v>
      </c>
      <c r="CV89" s="14">
        <f t="shared" si="95"/>
        <v>1.0682447123141398E-12</v>
      </c>
      <c r="CW89" s="22">
        <f t="shared" si="67"/>
        <v>1.978932943548152E-12</v>
      </c>
      <c r="CX89" s="62">
        <f t="shared" si="68"/>
        <v>293.3333333333353</v>
      </c>
      <c r="CY89" s="62">
        <f ca="1">AVERAGE(OFFSET($CX$3,0,0,'Données projet'!$E$13+1,1))-AVERAGE(OFFSET($H$3,0,0,'Données projet'!$E$13+1,1))</f>
        <v>260.02504691866199</v>
      </c>
      <c r="CZ89" s="62">
        <f t="shared" si="96"/>
        <v>270.11268336406368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3.3015091959459855</v>
      </c>
      <c r="DG89" s="23">
        <f>EXP(-LN(2)/25)*DG88+(1-EXP(-LN(2)/25))/(LN(2)/25)*Calculateur!DB89*Calculateur!DD89*VLOOKUP('Données projet'!$B$13,Paramètres!$A$1:$I$89,3,0)*0.475*44/12</f>
        <v>3.4792844149261395</v>
      </c>
      <c r="DH89" s="23">
        <f>EXP(-LN(2)/2)*DH88+(1-EXP(-LN(2)/2))/(LN(2)/2)*DB89*DE89*VLOOKUP('Données projet'!$B$13,Paramètres!$A$1:$I$89,3,0)*0.475*44/12</f>
        <v>2.3618195004477515E-8</v>
      </c>
      <c r="DI89" s="24">
        <f t="shared" si="69"/>
        <v>6.7807936344903208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-1.7053025658242404E-13</v>
      </c>
      <c r="DP89" s="18">
        <f>DO89*VLOOKUP('Données projet'!$B$14,Paramètres!$A$1:$I$89,3,0)*VLOOKUP('Données projet'!$B$14,Paramètres!$A$1:$I$89,5,0)</f>
        <v>-1.3567387213697657E-13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312.53381881960331</v>
      </c>
      <c r="DU89" s="62">
        <f t="shared" si="98"/>
        <v>342.06887933351783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3.2</v>
      </c>
      <c r="EJ89" s="13">
        <f>IF('Données projet'!$A$192&gt;35,EJ88+EI89-ER88,IF(A89&lt;'Données projet'!$A$192,$EG$205^A89,IF(A89='Données projet'!$A$192,'Données projet'!$B$192,EJ88+EI89-ER88)))</f>
        <v>146.19999999999999</v>
      </c>
      <c r="EK89" s="18">
        <f>EJ89*VLOOKUP('Données projet'!$B$15,Paramètres!$A$1:$I$89,3,0)*VLOOKUP('Données projet'!$B$15,Paramètres!$A$1:$I$89,5,0)</f>
        <v>141.40464</v>
      </c>
      <c r="EL89" s="14">
        <f t="shared" si="99"/>
        <v>36.618601593681802</v>
      </c>
      <c r="EM89" s="22">
        <f t="shared" si="73"/>
        <v>310.05714577566249</v>
      </c>
      <c r="EN89" s="62">
        <f t="shared" si="74"/>
        <v>603.39047910899581</v>
      </c>
      <c r="EO89" s="62">
        <f ca="1">AVERAGE(OFFSET($EN$3,0,0,'Données projet'!$E$15+1,1))-AVERAGE(OFFSET($H$3,0,0,'Données projet'!$E$15+1,1))</f>
        <v>255.59755832175625</v>
      </c>
      <c r="EP89" s="62">
        <f t="shared" si="100"/>
        <v>154.0840647586964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6.25</v>
      </c>
      <c r="FE89" s="13">
        <f>IF('Données projet'!$A$218&gt;35,FE88+FD89-FM88,IF(A89&lt;'Données projet'!$A$218,$FB$205^A89,IF(A89='Données projet'!$A$218,'Données projet'!$B$218,FE88+FD89-FM88)))</f>
        <v>262.25</v>
      </c>
      <c r="FF89" s="18">
        <f>FE89*VLOOKUP('Données projet'!$B$16,Paramètres!$A$1:$I$89,3,0)*VLOOKUP('Données projet'!$B$16,Paramètres!$A$1:$I$89,5,0)</f>
        <v>156.82550000000001</v>
      </c>
      <c r="FG89" s="14">
        <f t="shared" si="101"/>
        <v>40.12566509846944</v>
      </c>
      <c r="FH89" s="22">
        <f t="shared" si="76"/>
        <v>343.0232792131676</v>
      </c>
      <c r="FI89" s="62">
        <f t="shared" si="77"/>
        <v>636.35661254650086</v>
      </c>
      <c r="FJ89" s="62">
        <f ca="1">AVERAGE(OFFSET($FI$3,0,0,'Données projet'!$E$16+1,1))-AVERAGE(OFFSET($H$3,0,0,'Données projet'!$E$16+1,1))</f>
        <v>197.08445731383847</v>
      </c>
      <c r="FK89" s="62">
        <f t="shared" si="102"/>
        <v>157.12482557016511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839.81055837008694</v>
      </c>
      <c r="S90" s="62">
        <f ca="1">AVERAGE(OFFSET($R$3,0,0,'Données projet'!$E$9+1,1))-AVERAGE(OFFSET($H$3,0,0,'Données projet'!$E$9+1,1))</f>
        <v>428.8489304403459</v>
      </c>
      <c r="T90" s="62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2">
        <f t="shared" si="59"/>
        <v>904.19220220371358</v>
      </c>
      <c r="AN90" s="62">
        <f ca="1">AVERAGE(OFFSET($AM$3,0,0,'Données projet'!$E$10+1,1))-AVERAGE(OFFSET($H$3,0,0,'Données projet'!$E$10+1,1))</f>
        <v>475.47920969424894</v>
      </c>
      <c r="AO90" s="62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383.13846153846151</v>
      </c>
      <c r="BB90" s="13">
        <f>VLOOKUP(A90,'Données projet'!$A$87:$I$107,9,0)</f>
        <v>9.001923076923072</v>
      </c>
      <c r="BC90" s="13">
        <f t="array" ref="BC90">INDEX(BB:BB,MIN(IF(ISNUMBER(BB90:BB286),ROW(BB90:BB286),"")))</f>
        <v>9.001923076923072</v>
      </c>
      <c r="BD90" s="13">
        <f>IF('Données projet'!$A$88&gt;35,BD89+BC90-BL89,IF(A90&lt;'Données projet'!$A$88,$BA$205^A90,IF(A90='Données projet'!$A$88,'Données projet'!$B$88,BD89+BC90-BL89)))</f>
        <v>383.13846153846146</v>
      </c>
      <c r="BE90" s="14">
        <f>BD90*VLOOKUP('Données projet'!$B$11,Paramètres!$A$1:$I$89,3,0)*VLOOKUP('Données projet'!$B$11,Paramètres!$A$1:$I$89,5,0)</f>
        <v>179.30879999999996</v>
      </c>
      <c r="BF90" s="14">
        <f t="shared" si="91"/>
        <v>45.168372484136555</v>
      </c>
      <c r="BG90" s="22">
        <f t="shared" si="61"/>
        <v>390.9644087432045</v>
      </c>
      <c r="BH90" s="62">
        <f t="shared" si="62"/>
        <v>684.29774207653782</v>
      </c>
      <c r="BI90" s="62">
        <f ca="1">AVERAGE(OFFSET($BH$3,0,0,'Données projet'!$E$11+1,1))-AVERAGE(OFFSET($H$3,0,0,'Données projet'!$E$11+1,1))</f>
        <v>246.73711856758143</v>
      </c>
      <c r="BJ90" s="62">
        <f t="shared" si="92"/>
        <v>145.54897745089966</v>
      </c>
      <c r="BK90" s="16">
        <f>IF(ISNA(VLOOKUP(A90,'Données projet'!$A$87:$I$107,3,0)),0,VLOOKUP(A90,'Données projet'!$A$87:$I$107,3,0))</f>
        <v>4</v>
      </c>
      <c r="BL90" s="16">
        <f>IF(ISNA(VLOOKUP(A90,'Données projet'!$A$87:$I$107,4,0)),0,VLOOKUP(A90,'Données projet'!$A$87:$I$107,4,0))</f>
        <v>82.938461538461524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6.3550942286383367E-14</v>
      </c>
      <c r="CA90" s="14">
        <f t="shared" si="93"/>
        <v>1.0064464192543978E-12</v>
      </c>
      <c r="CB90" s="22">
        <f t="shared" si="64"/>
        <v>1.8635787380168604E-12</v>
      </c>
      <c r="CC90" s="62">
        <f t="shared" si="65"/>
        <v>293.33333333333519</v>
      </c>
      <c r="CD90" s="62">
        <f ca="1">AVERAGE(OFFSET($CC$3,0,0,'Données projet'!$E$12+1,1))-AVERAGE(OFFSET($H$3,0,0,'Données projet'!$E$12+1,1))</f>
        <v>321.13335003345236</v>
      </c>
      <c r="CE90" s="62">
        <f t="shared" si="94"/>
        <v>301.26825075712128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4.2452511881931292</v>
      </c>
      <c r="CM90" s="23">
        <f>EXP(-LN(2)/2)*CM89+(1-EXP(-LN(2)/2))/(LN(2)/2)*CG90*CJ90*VLOOKUP('Données projet'!$B$12,Paramètres!$A$1:$I$89,3,0)*0.475*44/12</f>
        <v>2.5976108120828014E-8</v>
      </c>
      <c r="CN90" s="24">
        <f t="shared" si="66"/>
        <v>4.2452512141692376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6.7984728957526396E-14</v>
      </c>
      <c r="CV90" s="14">
        <f t="shared" si="95"/>
        <v>1.0682447123141398E-12</v>
      </c>
      <c r="CW90" s="22">
        <f t="shared" si="67"/>
        <v>1.978932943548152E-12</v>
      </c>
      <c r="CX90" s="62">
        <f t="shared" si="68"/>
        <v>293.3333333333353</v>
      </c>
      <c r="CY90" s="62">
        <f ca="1">AVERAGE(OFFSET($CX$3,0,0,'Données projet'!$E$13+1,1))-AVERAGE(OFFSET($H$3,0,0,'Données projet'!$E$13+1,1))</f>
        <v>260.02504691866199</v>
      </c>
      <c r="CZ90" s="62">
        <f t="shared" si="96"/>
        <v>270.11268336406368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3.2367686143352556</v>
      </c>
      <c r="DG90" s="23">
        <f>EXP(-LN(2)/25)*DG89+(1-EXP(-LN(2)/25))/(LN(2)/25)*Calculateur!DB90*Calculateur!DD90*VLOOKUP('Données projet'!$B$13,Paramètres!$A$1:$I$89,3,0)*0.475*44/12</f>
        <v>3.3841431996323688</v>
      </c>
      <c r="DH90" s="23">
        <f>EXP(-LN(2)/2)*DH89+(1-EXP(-LN(2)/2))/(LN(2)/2)*DB90*DE90*VLOOKUP('Données projet'!$B$13,Paramètres!$A$1:$I$89,3,0)*0.475*44/12</f>
        <v>1.6700585847052292E-8</v>
      </c>
      <c r="DI90" s="24">
        <f t="shared" si="69"/>
        <v>6.6209118306682102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-1.7053025658242404E-13</v>
      </c>
      <c r="DP90" s="18">
        <f>DO90*VLOOKUP('Données projet'!$B$14,Paramètres!$A$1:$I$89,3,0)*VLOOKUP('Données projet'!$B$14,Paramètres!$A$1:$I$89,5,0)</f>
        <v>-1.3567387213697657E-13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312.53381881960331</v>
      </c>
      <c r="DU90" s="62">
        <f t="shared" si="98"/>
        <v>342.06887933351783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3.2</v>
      </c>
      <c r="EJ90" s="13">
        <f>IF('Données projet'!$A$192&gt;35,EJ89+EI90-ER89,IF(A90&lt;'Données projet'!$A$192,$EG$205^A90,IF(A90='Données projet'!$A$192,'Données projet'!$B$192,EJ89+EI90-ER89)))</f>
        <v>149.39999999999998</v>
      </c>
      <c r="EK90" s="18">
        <f>EJ90*VLOOKUP('Données projet'!$B$15,Paramètres!$A$1:$I$89,3,0)*VLOOKUP('Données projet'!$B$15,Paramètres!$A$1:$I$89,5,0)</f>
        <v>144.49967999999998</v>
      </c>
      <c r="EL90" s="14">
        <f t="shared" si="99"/>
        <v>37.325913454134138</v>
      </c>
      <c r="EM90" s="22">
        <f t="shared" si="73"/>
        <v>316.67957526595023</v>
      </c>
      <c r="EN90" s="62">
        <f t="shared" si="74"/>
        <v>610.01290859928349</v>
      </c>
      <c r="EO90" s="62">
        <f ca="1">AVERAGE(OFFSET($EN$3,0,0,'Données projet'!$E$15+1,1))-AVERAGE(OFFSET($H$3,0,0,'Données projet'!$E$15+1,1))</f>
        <v>255.59755832175625</v>
      </c>
      <c r="EP90" s="62">
        <f t="shared" si="100"/>
        <v>154.0840647586964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6.25</v>
      </c>
      <c r="FE90" s="13">
        <f>IF('Données projet'!$A$218&gt;35,FE89+FD90-FM89,IF(A90&lt;'Données projet'!$A$218,$FB$205^A90,IF(A90='Données projet'!$A$218,'Données projet'!$B$218,FE89+FD90-FM89)))</f>
        <v>268.5</v>
      </c>
      <c r="FF90" s="18">
        <f>FE90*VLOOKUP('Données projet'!$B$16,Paramètres!$A$1:$I$89,3,0)*VLOOKUP('Données projet'!$B$16,Paramètres!$A$1:$I$89,5,0)</f>
        <v>160.56300000000002</v>
      </c>
      <c r="FG90" s="14">
        <f t="shared" si="101"/>
        <v>40.969475656539245</v>
      </c>
      <c r="FH90" s="22">
        <f t="shared" si="76"/>
        <v>351.00239510180586</v>
      </c>
      <c r="FI90" s="62">
        <f t="shared" si="77"/>
        <v>644.33572843513912</v>
      </c>
      <c r="FJ90" s="62">
        <f ca="1">AVERAGE(OFFSET($FI$3,0,0,'Données projet'!$E$16+1,1))-AVERAGE(OFFSET($H$3,0,0,'Données projet'!$E$16+1,1))</f>
        <v>197.08445731383847</v>
      </c>
      <c r="FK90" s="62">
        <f t="shared" si="102"/>
        <v>157.12482557016511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850.52059698334892</v>
      </c>
      <c r="S91" s="62">
        <f ca="1">AVERAGE(OFFSET($R$3,0,0,'Données projet'!$E$9+1,1))-AVERAGE(OFFSET($H$3,0,0,'Données projet'!$E$9+1,1))</f>
        <v>428.8489304403459</v>
      </c>
      <c r="T91" s="62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2">
        <f t="shared" si="59"/>
        <v>916.16699505974566</v>
      </c>
      <c r="AN91" s="62">
        <f ca="1">AVERAGE(OFFSET($AM$3,0,0,'Données projet'!$E$10+1,1))-AVERAGE(OFFSET($H$3,0,0,'Données projet'!$E$10+1,1))</f>
        <v>475.47920969424894</v>
      </c>
      <c r="AO91" s="62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8.1391025641025667</v>
      </c>
      <c r="BD91" s="13">
        <f>IF('Données projet'!$A$88&gt;35,BD90+BC91-BL90,IF(A91&lt;'Données projet'!$A$88,$BA$205^A91,IF(A91='Données projet'!$A$88,'Données projet'!$B$88,BD90+BC91-BL90)))</f>
        <v>308.33910256410252</v>
      </c>
      <c r="BE91" s="14">
        <f>BD91*VLOOKUP('Données projet'!$B$11,Paramètres!$A$1:$I$89,3,0)*VLOOKUP('Données projet'!$B$11,Paramètres!$A$1:$I$89,5,0)</f>
        <v>144.30269999999999</v>
      </c>
      <c r="BF91" s="14">
        <f t="shared" si="91"/>
        <v>37.280950392910881</v>
      </c>
      <c r="BG91" s="22">
        <f t="shared" si="61"/>
        <v>316.25819110098644</v>
      </c>
      <c r="BH91" s="62">
        <f t="shared" si="62"/>
        <v>609.59152443431981</v>
      </c>
      <c r="BI91" s="62">
        <f ca="1">AVERAGE(OFFSET($BH$3,0,0,'Données projet'!$E$11+1,1))-AVERAGE(OFFSET($H$3,0,0,'Données projet'!$E$11+1,1))</f>
        <v>246.73711856758143</v>
      </c>
      <c r="BJ91" s="62">
        <f t="shared" si="92"/>
        <v>145.54897745089966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6.3550942286383367E-14</v>
      </c>
      <c r="CA91" s="14">
        <f t="shared" si="93"/>
        <v>1.0064464192543978E-12</v>
      </c>
      <c r="CB91" s="22">
        <f t="shared" si="64"/>
        <v>1.8635787380168604E-12</v>
      </c>
      <c r="CC91" s="62">
        <f t="shared" si="65"/>
        <v>293.33333333333519</v>
      </c>
      <c r="CD91" s="62">
        <f ca="1">AVERAGE(OFFSET($CC$3,0,0,'Données projet'!$E$12+1,1))-AVERAGE(OFFSET($H$3,0,0,'Données projet'!$E$12+1,1))</f>
        <v>321.13335003345236</v>
      </c>
      <c r="CE91" s="62">
        <f t="shared" si="94"/>
        <v>301.26825075712128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4.1291645712039307</v>
      </c>
      <c r="CM91" s="23">
        <f>EXP(-LN(2)/2)*CM90+(1-EXP(-LN(2)/2))/(LN(2)/2)*CG91*CJ91*VLOOKUP('Données projet'!$B$12,Paramètres!$A$1:$I$89,3,0)*0.475*44/12</f>
        <v>1.8367882201072435E-8</v>
      </c>
      <c r="CN91" s="24">
        <f t="shared" si="66"/>
        <v>4.129164589571813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6.7984728957526396E-14</v>
      </c>
      <c r="CV91" s="14">
        <f t="shared" si="95"/>
        <v>1.0682447123141398E-12</v>
      </c>
      <c r="CW91" s="22">
        <f t="shared" si="67"/>
        <v>1.978932943548152E-12</v>
      </c>
      <c r="CX91" s="62">
        <f t="shared" si="68"/>
        <v>293.3333333333353</v>
      </c>
      <c r="CY91" s="62">
        <f ca="1">AVERAGE(OFFSET($CX$3,0,0,'Données projet'!$E$13+1,1))-AVERAGE(OFFSET($H$3,0,0,'Données projet'!$E$13+1,1))</f>
        <v>260.02504691866199</v>
      </c>
      <c r="CZ91" s="62">
        <f t="shared" si="96"/>
        <v>270.11268336406368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3.1732975560420567</v>
      </c>
      <c r="DG91" s="23">
        <f>EXP(-LN(2)/25)*DG90+(1-EXP(-LN(2)/25))/(LN(2)/25)*Calculateur!DB91*Calculateur!DD91*VLOOKUP('Données projet'!$B$13,Paramètres!$A$1:$I$89,3,0)*0.475*44/12</f>
        <v>3.2916036258740653</v>
      </c>
      <c r="DH91" s="23">
        <f>EXP(-LN(2)/2)*DH90+(1-EXP(-LN(2)/2))/(LN(2)/2)*DB91*DE91*VLOOKUP('Données projet'!$B$13,Paramètres!$A$1:$I$89,3,0)*0.475*44/12</f>
        <v>1.1809097502238757E-8</v>
      </c>
      <c r="DI91" s="24">
        <f t="shared" si="69"/>
        <v>6.4649011937252201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-1.7053025658242404E-13</v>
      </c>
      <c r="DP91" s="18">
        <f>DO91*VLOOKUP('Données projet'!$B$14,Paramètres!$A$1:$I$89,3,0)*VLOOKUP('Données projet'!$B$14,Paramètres!$A$1:$I$89,5,0)</f>
        <v>-1.3567387213697657E-13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312.53381881960331</v>
      </c>
      <c r="DU91" s="62">
        <f t="shared" si="98"/>
        <v>342.06887933351783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3.2</v>
      </c>
      <c r="EJ91" s="13">
        <f>IF('Données projet'!$A$192&gt;35,EJ90+EI91-ER90,IF(A91&lt;'Données projet'!$A$192,$EG$205^A91,IF(A91='Données projet'!$A$192,'Données projet'!$B$192,EJ90+EI91-ER90)))</f>
        <v>152.59999999999997</v>
      </c>
      <c r="EK91" s="18">
        <f>EJ91*VLOOKUP('Données projet'!$B$15,Paramètres!$A$1:$I$89,3,0)*VLOOKUP('Données projet'!$B$15,Paramètres!$A$1:$I$89,5,0)</f>
        <v>147.59471999999997</v>
      </c>
      <c r="EL91" s="14">
        <f t="shared" si="99"/>
        <v>38.031463918082679</v>
      </c>
      <c r="EM91" s="22">
        <f t="shared" si="73"/>
        <v>323.29893699066059</v>
      </c>
      <c r="EN91" s="62">
        <f t="shared" si="74"/>
        <v>616.63227032399391</v>
      </c>
      <c r="EO91" s="62">
        <f ca="1">AVERAGE(OFFSET($EN$3,0,0,'Données projet'!$E$15+1,1))-AVERAGE(OFFSET($H$3,0,0,'Données projet'!$E$15+1,1))</f>
        <v>255.59755832175625</v>
      </c>
      <c r="EP91" s="62">
        <f t="shared" si="100"/>
        <v>154.0840647586964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6.25</v>
      </c>
      <c r="FE91" s="13">
        <f>IF('Données projet'!$A$218&gt;35,FE90+FD91-FM90,IF(A91&lt;'Données projet'!$A$218,$FB$205^A91,IF(A91='Données projet'!$A$218,'Données projet'!$B$218,FE90+FD91-FM90)))</f>
        <v>274.75</v>
      </c>
      <c r="FF91" s="18">
        <f>FE91*VLOOKUP('Données projet'!$B$16,Paramètres!$A$1:$I$89,3,0)*VLOOKUP('Données projet'!$B$16,Paramètres!$A$1:$I$89,5,0)</f>
        <v>164.3005</v>
      </c>
      <c r="FG91" s="14">
        <f t="shared" si="101"/>
        <v>41.811002788885126</v>
      </c>
      <c r="FH91" s="22">
        <f t="shared" si="76"/>
        <v>358.9775340239749</v>
      </c>
      <c r="FI91" s="62">
        <f t="shared" si="77"/>
        <v>652.31086735730821</v>
      </c>
      <c r="FJ91" s="62">
        <f ca="1">AVERAGE(OFFSET($FI$3,0,0,'Données projet'!$E$16+1,1))-AVERAGE(OFFSET($H$3,0,0,'Données projet'!$E$16+1,1))</f>
        <v>197.08445731383847</v>
      </c>
      <c r="FK91" s="62">
        <f t="shared" si="102"/>
        <v>157.12482557016511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861.22632540732775</v>
      </c>
      <c r="S92" s="62">
        <f ca="1">AVERAGE(OFFSET($R$3,0,0,'Données projet'!$E$9+1,1))-AVERAGE(OFFSET($H$3,0,0,'Données projet'!$E$9+1,1))</f>
        <v>428.8489304403459</v>
      </c>
      <c r="T92" s="62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2">
        <f t="shared" si="59"/>
        <v>928.13702117418165</v>
      </c>
      <c r="AN92" s="62">
        <f ca="1">AVERAGE(OFFSET($AM$3,0,0,'Données projet'!$E$10+1,1))-AVERAGE(OFFSET($H$3,0,0,'Données projet'!$E$10+1,1))</f>
        <v>475.47920969424894</v>
      </c>
      <c r="AO92" s="62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8.1391025641025667</v>
      </c>
      <c r="BD92" s="13">
        <f>IF('Données projet'!$A$88&gt;35,BD91+BC92-BL91,IF(A92&lt;'Données projet'!$A$88,$BA$205^A92,IF(A92='Données projet'!$A$88,'Données projet'!$B$88,BD91+BC92-BL91)))</f>
        <v>316.4782051282051</v>
      </c>
      <c r="BE92" s="14">
        <f>BD92*VLOOKUP('Données projet'!$B$11,Paramètres!$A$1:$I$89,3,0)*VLOOKUP('Données projet'!$B$11,Paramètres!$A$1:$I$89,5,0)</f>
        <v>148.11179999999999</v>
      </c>
      <c r="BF92" s="14">
        <f t="shared" si="91"/>
        <v>38.149169544694914</v>
      </c>
      <c r="BG92" s="22">
        <f t="shared" si="61"/>
        <v>324.40452195701022</v>
      </c>
      <c r="BH92" s="62">
        <f t="shared" si="62"/>
        <v>617.73785529034353</v>
      </c>
      <c r="BI92" s="62">
        <f ca="1">AVERAGE(OFFSET($BH$3,0,0,'Données projet'!$E$11+1,1))-AVERAGE(OFFSET($H$3,0,0,'Données projet'!$E$11+1,1))</f>
        <v>246.73711856758143</v>
      </c>
      <c r="BJ92" s="62">
        <f t="shared" si="92"/>
        <v>145.54897745089966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6.3550942286383367E-14</v>
      </c>
      <c r="CA92" s="14">
        <f t="shared" si="93"/>
        <v>1.0064464192543978E-12</v>
      </c>
      <c r="CB92" s="22">
        <f t="shared" si="64"/>
        <v>1.8635787380168604E-12</v>
      </c>
      <c r="CC92" s="62">
        <f t="shared" si="65"/>
        <v>293.33333333333519</v>
      </c>
      <c r="CD92" s="62">
        <f ca="1">AVERAGE(OFFSET($CC$3,0,0,'Données projet'!$E$12+1,1))-AVERAGE(OFFSET($H$3,0,0,'Données projet'!$E$12+1,1))</f>
        <v>321.13335003345236</v>
      </c>
      <c r="CE92" s="62">
        <f t="shared" si="94"/>
        <v>301.26825075712128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4.0162523488610313</v>
      </c>
      <c r="CM92" s="23">
        <f>EXP(-LN(2)/2)*CM91+(1-EXP(-LN(2)/2))/(LN(2)/2)*CG92*CJ92*VLOOKUP('Données projet'!$B$12,Paramètres!$A$1:$I$89,3,0)*0.475*44/12</f>
        <v>1.2988054060414007E-8</v>
      </c>
      <c r="CN92" s="24">
        <f t="shared" si="66"/>
        <v>4.0162523618490855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6.7984728957526396E-14</v>
      </c>
      <c r="CV92" s="14">
        <f t="shared" si="95"/>
        <v>1.0682447123141398E-12</v>
      </c>
      <c r="CW92" s="22">
        <f t="shared" si="67"/>
        <v>1.978932943548152E-12</v>
      </c>
      <c r="CX92" s="62">
        <f t="shared" si="68"/>
        <v>293.3333333333353</v>
      </c>
      <c r="CY92" s="62">
        <f ca="1">AVERAGE(OFFSET($CX$3,0,0,'Données projet'!$E$13+1,1))-AVERAGE(OFFSET($H$3,0,0,'Données projet'!$E$13+1,1))</f>
        <v>260.02504691866199</v>
      </c>
      <c r="CZ92" s="62">
        <f t="shared" si="96"/>
        <v>270.11268336406368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3.1110711264884645</v>
      </c>
      <c r="DG92" s="23">
        <f>EXP(-LN(2)/25)*DG91+(1-EXP(-LN(2)/25))/(LN(2)/25)*Calculateur!DB92*Calculateur!DD92*VLOOKUP('Données projet'!$B$13,Paramètres!$A$1:$I$89,3,0)*0.475*44/12</f>
        <v>3.2015945516266275</v>
      </c>
      <c r="DH92" s="23">
        <f>EXP(-LN(2)/2)*DH91+(1-EXP(-LN(2)/2))/(LN(2)/2)*DB92*DE92*VLOOKUP('Données projet'!$B$13,Paramètres!$A$1:$I$89,3,0)*0.475*44/12</f>
        <v>8.3502929235261459E-9</v>
      </c>
      <c r="DI92" s="24">
        <f t="shared" si="69"/>
        <v>6.312665686465385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-1.7053025658242404E-13</v>
      </c>
      <c r="DP92" s="18">
        <f>DO92*VLOOKUP('Données projet'!$B$14,Paramètres!$A$1:$I$89,3,0)*VLOOKUP('Données projet'!$B$14,Paramètres!$A$1:$I$89,5,0)</f>
        <v>-1.3567387213697657E-13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312.53381881960331</v>
      </c>
      <c r="DU92" s="62">
        <f t="shared" si="98"/>
        <v>342.06887933351783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3.2</v>
      </c>
      <c r="EJ92" s="13">
        <f>IF('Données projet'!$A$192&gt;35,EJ91+EI92-ER91,IF(A92&lt;'Données projet'!$A$192,$EG$205^A92,IF(A92='Données projet'!$A$192,'Données projet'!$B$192,EJ91+EI92-ER91)))</f>
        <v>155.79999999999995</v>
      </c>
      <c r="EK92" s="18">
        <f>EJ92*VLOOKUP('Données projet'!$B$15,Paramètres!$A$1:$I$89,3,0)*VLOOKUP('Données projet'!$B$15,Paramètres!$A$1:$I$89,5,0)</f>
        <v>150.68975999999998</v>
      </c>
      <c r="EL92" s="14">
        <f t="shared" si="99"/>
        <v>38.735294176946205</v>
      </c>
      <c r="EM92" s="22">
        <f t="shared" si="73"/>
        <v>329.91530269151457</v>
      </c>
      <c r="EN92" s="62">
        <f t="shared" si="74"/>
        <v>623.24863602484788</v>
      </c>
      <c r="EO92" s="62">
        <f ca="1">AVERAGE(OFFSET($EN$3,0,0,'Données projet'!$E$15+1,1))-AVERAGE(OFFSET($H$3,0,0,'Données projet'!$E$15+1,1))</f>
        <v>255.59755832175625</v>
      </c>
      <c r="EP92" s="62">
        <f t="shared" si="100"/>
        <v>154.0840647586964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>
        <f>VLOOKUP(A92,'Données projet'!$A$217:$I$237,2,0)</f>
        <v>281</v>
      </c>
      <c r="FC92" s="13">
        <f>VLOOKUP(A92,'Données projet'!$A$217:$I$237,9,0)</f>
        <v>6.25</v>
      </c>
      <c r="FD92" s="13">
        <f t="array" ref="FD92">INDEX(FC:FC,MIN(IF(ISNUMBER(FC92:FC288),ROW(FC92:FC288),"")))</f>
        <v>6.25</v>
      </c>
      <c r="FE92" s="13">
        <f>IF('Données projet'!$A$218&gt;35,FE91+FD92-FM91,IF(A92&lt;'Données projet'!$A$218,$FB$205^A92,IF(A92='Données projet'!$A$218,'Données projet'!$B$218,FE91+FD92-FM91)))</f>
        <v>281</v>
      </c>
      <c r="FF92" s="18">
        <f>FE92*VLOOKUP('Données projet'!$B$16,Paramètres!$A$1:$I$89,3,0)*VLOOKUP('Données projet'!$B$16,Paramètres!$A$1:$I$89,5,0)</f>
        <v>168.03800000000004</v>
      </c>
      <c r="FG92" s="14">
        <f t="shared" si="101"/>
        <v>42.650304418351887</v>
      </c>
      <c r="FH92" s="22">
        <f t="shared" si="76"/>
        <v>366.94879686196288</v>
      </c>
      <c r="FI92" s="62">
        <f t="shared" si="77"/>
        <v>660.28213019529619</v>
      </c>
      <c r="FJ92" s="62">
        <f ca="1">AVERAGE(OFFSET($FI$3,0,0,'Données projet'!$E$16+1,1))-AVERAGE(OFFSET($H$3,0,0,'Données projet'!$E$16+1,1))</f>
        <v>197.08445731383847</v>
      </c>
      <c r="FK92" s="62">
        <f t="shared" si="102"/>
        <v>157.12482557016511</v>
      </c>
      <c r="FL92" s="16">
        <f>IF(ISNA(VLOOKUP(A92,'Données projet'!$A$217:$I$237,3,0)),0,VLOOKUP(A92,'Données projet'!$A$217:$I$237,3,0))</f>
        <v>6</v>
      </c>
      <c r="FM92" s="16">
        <f>IF(ISNA(VLOOKUP(A92,'Données projet'!$A$217:$I$237,4,0)),0,VLOOKUP(A92,'Données projet'!$A$217:$I$237,4,0))</f>
        <v>281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428.8489304403459</v>
      </c>
      <c r="T93" s="62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2">
        <f t="shared" si="59"/>
        <v>940.10238306495398</v>
      </c>
      <c r="AN93" s="62">
        <f ca="1">AVERAGE(OFFSET($AM$3,0,0,'Données projet'!$E$10+1,1))-AVERAGE(OFFSET($H$3,0,0,'Données projet'!$E$10+1,1))</f>
        <v>475.47920969424894</v>
      </c>
      <c r="AO93" s="62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8.1391025641025667</v>
      </c>
      <c r="BD93" s="13">
        <f>IF('Données projet'!$A$88&gt;35,BD92+BC93-BL92,IF(A93&lt;'Données projet'!$A$88,$BA$205^A93,IF(A93='Données projet'!$A$88,'Données projet'!$B$88,BD92+BC93-BL92)))</f>
        <v>324.61730769230769</v>
      </c>
      <c r="BE93" s="14">
        <f>BD93*VLOOKUP('Données projet'!$B$11,Paramètres!$A$1:$I$89,3,0)*VLOOKUP('Données projet'!$B$11,Paramètres!$A$1:$I$89,5,0)</f>
        <v>151.92089999999999</v>
      </c>
      <c r="BF93" s="14">
        <f t="shared" si="91"/>
        <v>39.014793227910189</v>
      </c>
      <c r="BG93" s="22">
        <f t="shared" si="61"/>
        <v>332.54633237194355</v>
      </c>
      <c r="BH93" s="62">
        <f t="shared" si="62"/>
        <v>625.87966570527692</v>
      </c>
      <c r="BI93" s="62">
        <f ca="1">AVERAGE(OFFSET($BH$3,0,0,'Données projet'!$E$11+1,1))-AVERAGE(OFFSET($H$3,0,0,'Données projet'!$E$11+1,1))</f>
        <v>246.73711856758143</v>
      </c>
      <c r="BJ93" s="62">
        <f t="shared" si="92"/>
        <v>145.54897745089966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6.3550942286383367E-14</v>
      </c>
      <c r="CA93" s="14">
        <f t="shared" si="93"/>
        <v>1.0064464192543978E-12</v>
      </c>
      <c r="CB93" s="22">
        <f t="shared" si="64"/>
        <v>1.8635787380168604E-12</v>
      </c>
      <c r="CC93" s="62">
        <f t="shared" si="65"/>
        <v>293.33333333333519</v>
      </c>
      <c r="CD93" s="62">
        <f ca="1">AVERAGE(OFFSET($CC$3,0,0,'Données projet'!$E$12+1,1))-AVERAGE(OFFSET($H$3,0,0,'Données projet'!$E$12+1,1))</f>
        <v>321.13335003345236</v>
      </c>
      <c r="CE93" s="62">
        <f t="shared" si="94"/>
        <v>301.26825075712128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3.9064277171758945</v>
      </c>
      <c r="CM93" s="23">
        <f>EXP(-LN(2)/2)*CM92+(1-EXP(-LN(2)/2))/(LN(2)/2)*CG93*CJ93*VLOOKUP('Données projet'!$B$12,Paramètres!$A$1:$I$89,3,0)*0.475*44/12</f>
        <v>9.1839411005362173E-9</v>
      </c>
      <c r="CN93" s="24">
        <f t="shared" si="66"/>
        <v>3.9064277263598357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6.7984728957526396E-14</v>
      </c>
      <c r="CV93" s="14">
        <f t="shared" si="95"/>
        <v>1.0682447123141398E-12</v>
      </c>
      <c r="CW93" s="22">
        <f t="shared" si="67"/>
        <v>1.978932943548152E-12</v>
      </c>
      <c r="CX93" s="62">
        <f t="shared" si="68"/>
        <v>293.3333333333353</v>
      </c>
      <c r="CY93" s="62">
        <f ca="1">AVERAGE(OFFSET($CX$3,0,0,'Données projet'!$E$13+1,1))-AVERAGE(OFFSET($H$3,0,0,'Données projet'!$E$13+1,1))</f>
        <v>260.02504691866199</v>
      </c>
      <c r="CZ93" s="62">
        <f t="shared" si="96"/>
        <v>270.11268336406368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3.0500649192640439</v>
      </c>
      <c r="DG93" s="23">
        <f>EXP(-LN(2)/25)*DG92+(1-EXP(-LN(2)/25))/(LN(2)/25)*Calculateur!DB93*Calculateur!DD93*VLOOKUP('Données projet'!$B$13,Paramètres!$A$1:$I$89,3,0)*0.475*44/12</f>
        <v>3.1140467802478571</v>
      </c>
      <c r="DH93" s="23">
        <f>EXP(-LN(2)/2)*DH92+(1-EXP(-LN(2)/2))/(LN(2)/2)*DB93*DE93*VLOOKUP('Données projet'!$B$13,Paramètres!$A$1:$I$89,3,0)*0.475*44/12</f>
        <v>5.9045487511193787E-9</v>
      </c>
      <c r="DI93" s="24">
        <f t="shared" si="69"/>
        <v>6.1641117054164498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-1.7053025658242404E-13</v>
      </c>
      <c r="DP93" s="18">
        <f>DO93*VLOOKUP('Données projet'!$B$14,Paramètres!$A$1:$I$89,3,0)*VLOOKUP('Données projet'!$B$14,Paramètres!$A$1:$I$89,5,0)</f>
        <v>-1.3567387213697657E-13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312.53381881960331</v>
      </c>
      <c r="DU93" s="62">
        <f t="shared" si="98"/>
        <v>342.06887933351783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159</v>
      </c>
      <c r="EH93" s="13">
        <f>VLOOKUP(A93,'Données projet'!$A$191:$I$211,9,0)</f>
        <v>3.2</v>
      </c>
      <c r="EI93" s="13">
        <f t="array" ref="EI93">INDEX(EH:EH,MIN(IF(ISNUMBER(EH93:EH289),ROW(EH93:EH289),"")))</f>
        <v>3.2</v>
      </c>
      <c r="EJ93" s="13">
        <f>IF('Données projet'!$A$192&gt;35,EJ92+EI93-ER92,IF(A93&lt;'Données projet'!$A$192,$EG$205^A93,IF(A93='Données projet'!$A$192,'Données projet'!$B$192,EJ92+EI93-ER92)))</f>
        <v>158.99999999999994</v>
      </c>
      <c r="EK93" s="18">
        <f>EJ93*VLOOKUP('Données projet'!$B$15,Paramètres!$A$1:$I$89,3,0)*VLOOKUP('Données projet'!$B$15,Paramètres!$A$1:$I$89,5,0)</f>
        <v>153.78479999999996</v>
      </c>
      <c r="EL93" s="14">
        <f t="shared" si="99"/>
        <v>39.437443633352295</v>
      </c>
      <c r="EM93" s="22">
        <f t="shared" si="73"/>
        <v>336.5287409947552</v>
      </c>
      <c r="EN93" s="62">
        <f t="shared" si="74"/>
        <v>629.86207432808851</v>
      </c>
      <c r="EO93" s="62">
        <f ca="1">AVERAGE(OFFSET($EN$3,0,0,'Données projet'!$E$15+1,1))-AVERAGE(OFFSET($H$3,0,0,'Données projet'!$E$15+1,1))</f>
        <v>255.59755832175625</v>
      </c>
      <c r="EP93" s="62">
        <f t="shared" si="100"/>
        <v>154.0840647586964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>
        <f>FE93*VLOOKUP('Données projet'!$B$16,Paramètres!$A$1:$I$89,3,0)*VLOOKUP('Données projet'!$B$16,Paramètres!$A$1:$I$89,5,0)</f>
        <v>0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197.08445731383847</v>
      </c>
      <c r="FK93" s="62">
        <f t="shared" si="102"/>
        <v>157.12482557016511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800.94897376928998</v>
      </c>
      <c r="S94" s="62">
        <f ca="1">AVERAGE(OFFSET($R$3,0,0,'Données projet'!$E$9+1,1))-AVERAGE(OFFSET($H$3,0,0,'Données projet'!$E$9+1,1))</f>
        <v>428.8489304403459</v>
      </c>
      <c r="T94" s="62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2">
        <f t="shared" si="59"/>
        <v>860.74189070867442</v>
      </c>
      <c r="AN94" s="62">
        <f ca="1">AVERAGE(OFFSET($AM$3,0,0,'Données projet'!$E$10+1,1))-AVERAGE(OFFSET($H$3,0,0,'Données projet'!$E$10+1,1))</f>
        <v>475.47920969424894</v>
      </c>
      <c r="AO94" s="62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8.1391025641025667</v>
      </c>
      <c r="BD94" s="13">
        <f>IF('Données projet'!$A$88&gt;35,BD93+BC94-BL93,IF(A94&lt;'Données projet'!$A$88,$BA$205^A94,IF(A94='Données projet'!$A$88,'Données projet'!$B$88,BD93+BC94-BL93)))</f>
        <v>332.75641025641028</v>
      </c>
      <c r="BE94" s="14">
        <f>BD94*VLOOKUP('Données projet'!$B$11,Paramètres!$A$1:$I$89,3,0)*VLOOKUP('Données projet'!$B$11,Paramètres!$A$1:$I$89,5,0)</f>
        <v>155.73000000000002</v>
      </c>
      <c r="BF94" s="14">
        <f t="shared" si="91"/>
        <v>39.877894002833592</v>
      </c>
      <c r="BG94" s="22">
        <f t="shared" si="61"/>
        <v>340.68374872160183</v>
      </c>
      <c r="BH94" s="62">
        <f t="shared" si="62"/>
        <v>634.01708205493514</v>
      </c>
      <c r="BI94" s="62">
        <f ca="1">AVERAGE(OFFSET($BH$3,0,0,'Données projet'!$E$11+1,1))-AVERAGE(OFFSET($H$3,0,0,'Données projet'!$E$11+1,1))</f>
        <v>246.73711856758143</v>
      </c>
      <c r="BJ94" s="62">
        <f t="shared" si="92"/>
        <v>145.54897745089966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6.3550942286383367E-14</v>
      </c>
      <c r="CA94" s="14">
        <f t="shared" si="93"/>
        <v>1.0064464192543978E-12</v>
      </c>
      <c r="CB94" s="22">
        <f t="shared" si="64"/>
        <v>1.8635787380168604E-12</v>
      </c>
      <c r="CC94" s="62">
        <f t="shared" si="65"/>
        <v>293.33333333333519</v>
      </c>
      <c r="CD94" s="62">
        <f ca="1">AVERAGE(OFFSET($CC$3,0,0,'Données projet'!$E$12+1,1))-AVERAGE(OFFSET($H$3,0,0,'Données projet'!$E$12+1,1))</f>
        <v>321.13335003345236</v>
      </c>
      <c r="CE94" s="62">
        <f t="shared" si="94"/>
        <v>301.26825075712128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3.7996062458196143</v>
      </c>
      <c r="CM94" s="23">
        <f>EXP(-LN(2)/2)*CM93+(1-EXP(-LN(2)/2))/(LN(2)/2)*CG94*CJ94*VLOOKUP('Données projet'!$B$12,Paramètres!$A$1:$I$89,3,0)*0.475*44/12</f>
        <v>6.4940270302070036E-9</v>
      </c>
      <c r="CN94" s="24">
        <f t="shared" si="66"/>
        <v>3.7996062523136414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6.7984728957526396E-14</v>
      </c>
      <c r="CV94" s="14">
        <f t="shared" si="95"/>
        <v>1.0682447123141398E-12</v>
      </c>
      <c r="CW94" s="22">
        <f t="shared" si="67"/>
        <v>1.978932943548152E-12</v>
      </c>
      <c r="CX94" s="62">
        <f t="shared" si="68"/>
        <v>293.3333333333353</v>
      </c>
      <c r="CY94" s="62">
        <f ca="1">AVERAGE(OFFSET($CX$3,0,0,'Données projet'!$E$13+1,1))-AVERAGE(OFFSET($H$3,0,0,'Données projet'!$E$13+1,1))</f>
        <v>260.02504691866199</v>
      </c>
      <c r="CZ94" s="62">
        <f t="shared" si="96"/>
        <v>270.11268336406368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2.9902550065531819</v>
      </c>
      <c r="DG94" s="23">
        <f>EXP(-LN(2)/25)*DG93+(1-EXP(-LN(2)/25))/(LN(2)/25)*Calculateur!DB94*Calculateur!DD94*VLOOKUP('Données projet'!$B$13,Paramètres!$A$1:$I$89,3,0)*0.475*44/12</f>
        <v>3.0288930072813764</v>
      </c>
      <c r="DH94" s="23">
        <f>EXP(-LN(2)/2)*DH93+(1-EXP(-LN(2)/2))/(LN(2)/2)*DB94*DE94*VLOOKUP('Données projet'!$B$13,Paramètres!$A$1:$I$89,3,0)*0.475*44/12</f>
        <v>4.175146461763073E-9</v>
      </c>
      <c r="DI94" s="24">
        <f t="shared" si="69"/>
        <v>6.0191480180097043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-1.7053025658242404E-13</v>
      </c>
      <c r="DP94" s="18">
        <f>DO94*VLOOKUP('Données projet'!$B$14,Paramètres!$A$1:$I$89,3,0)*VLOOKUP('Données projet'!$B$14,Paramètres!$A$1:$I$89,5,0)</f>
        <v>-1.3567387213697657E-13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312.53381881960331</v>
      </c>
      <c r="DU94" s="62">
        <f t="shared" si="98"/>
        <v>342.06887933351783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2.8</v>
      </c>
      <c r="EJ94" s="13">
        <f>IF('Données projet'!$A$192&gt;35,EJ93+EI94-ER93,IF(A94&lt;'Données projet'!$A$192,$EG$205^A94,IF(A94='Données projet'!$A$192,'Données projet'!$B$192,EJ93+EI94-ER93)))</f>
        <v>161.79999999999995</v>
      </c>
      <c r="EK94" s="18">
        <f>EJ94*VLOOKUP('Données projet'!$B$15,Paramètres!$A$1:$I$89,3,0)*VLOOKUP('Données projet'!$B$15,Paramètres!$A$1:$I$89,5,0)</f>
        <v>156.49295999999995</v>
      </c>
      <c r="EL94" s="14">
        <f t="shared" si="99"/>
        <v>40.050475321231751</v>
      </c>
      <c r="EM94" s="22">
        <f t="shared" si="73"/>
        <v>342.31314985114523</v>
      </c>
      <c r="EN94" s="62">
        <f t="shared" si="74"/>
        <v>635.64648318447848</v>
      </c>
      <c r="EO94" s="62">
        <f ca="1">AVERAGE(OFFSET($EN$3,0,0,'Données projet'!$E$15+1,1))-AVERAGE(OFFSET($H$3,0,0,'Données projet'!$E$15+1,1))</f>
        <v>255.59755832175625</v>
      </c>
      <c r="EP94" s="62">
        <f t="shared" si="100"/>
        <v>154.0840647586964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>
        <f>FE94*VLOOKUP('Données projet'!$B$16,Paramètres!$A$1:$I$89,3,0)*VLOOKUP('Données projet'!$B$16,Paramètres!$A$1:$I$89,5,0)</f>
        <v>0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197.08445731383847</v>
      </c>
      <c r="FK94" s="62">
        <f t="shared" si="102"/>
        <v>157.12482557016511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810.33492368208931</v>
      </c>
      <c r="S95" s="62">
        <f ca="1">AVERAGE(OFFSET($R$3,0,0,'Données projet'!$E$9+1,1))-AVERAGE(OFFSET($H$3,0,0,'Données projet'!$E$9+1,1))</f>
        <v>428.8489304403459</v>
      </c>
      <c r="T95" s="62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2">
        <f t="shared" si="59"/>
        <v>871.23605407804735</v>
      </c>
      <c r="AN95" s="62">
        <f ca="1">AVERAGE(OFFSET($AM$3,0,0,'Données projet'!$E$10+1,1))-AVERAGE(OFFSET($H$3,0,0,'Données projet'!$E$10+1,1))</f>
        <v>475.47920969424894</v>
      </c>
      <c r="AO95" s="62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8.1391025641025667</v>
      </c>
      <c r="BD95" s="13">
        <f>IF('Données projet'!$A$88&gt;35,BD94+BC95-BL94,IF(A95&lt;'Données projet'!$A$88,$BA$205^A95,IF(A95='Données projet'!$A$88,'Données projet'!$B$88,BD94+BC95-BL94)))</f>
        <v>340.89551282051286</v>
      </c>
      <c r="BE95" s="14">
        <f>BD95*VLOOKUP('Données projet'!$B$11,Paramètres!$A$1:$I$89,3,0)*VLOOKUP('Données projet'!$B$11,Paramètres!$A$1:$I$89,5,0)</f>
        <v>159.53910000000002</v>
      </c>
      <c r="BF95" s="14">
        <f t="shared" si="91"/>
        <v>40.738540677773415</v>
      </c>
      <c r="BG95" s="22">
        <f t="shared" si="61"/>
        <v>348.81689084712207</v>
      </c>
      <c r="BH95" s="62">
        <f t="shared" si="62"/>
        <v>642.15022418045533</v>
      </c>
      <c r="BI95" s="62">
        <f ca="1">AVERAGE(OFFSET($BH$3,0,0,'Données projet'!$E$11+1,1))-AVERAGE(OFFSET($H$3,0,0,'Données projet'!$E$11+1,1))</f>
        <v>246.73711856758143</v>
      </c>
      <c r="BJ95" s="62">
        <f t="shared" si="92"/>
        <v>145.54897745089966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6.3550942286383367E-14</v>
      </c>
      <c r="CA95" s="14">
        <f t="shared" si="93"/>
        <v>1.0064464192543978E-12</v>
      </c>
      <c r="CB95" s="22">
        <f t="shared" si="64"/>
        <v>1.8635787380168604E-12</v>
      </c>
      <c r="CC95" s="62">
        <f t="shared" si="65"/>
        <v>293.33333333333519</v>
      </c>
      <c r="CD95" s="62">
        <f ca="1">AVERAGE(OFFSET($CC$3,0,0,'Données projet'!$E$12+1,1))-AVERAGE(OFFSET($H$3,0,0,'Données projet'!$E$12+1,1))</f>
        <v>321.13335003345236</v>
      </c>
      <c r="CE95" s="62">
        <f t="shared" si="94"/>
        <v>301.26825075712128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3.6957058132150684</v>
      </c>
      <c r="CM95" s="23">
        <f>EXP(-LN(2)/2)*CM94+(1-EXP(-LN(2)/2))/(LN(2)/2)*CG95*CJ95*VLOOKUP('Données projet'!$B$12,Paramètres!$A$1:$I$89,3,0)*0.475*44/12</f>
        <v>4.5919705502681087E-9</v>
      </c>
      <c r="CN95" s="24">
        <f t="shared" si="66"/>
        <v>3.6957058178070388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6.7984728957526396E-14</v>
      </c>
      <c r="CV95" s="14">
        <f t="shared" si="95"/>
        <v>1.0682447123141398E-12</v>
      </c>
      <c r="CW95" s="22">
        <f t="shared" si="67"/>
        <v>1.978932943548152E-12</v>
      </c>
      <c r="CX95" s="62">
        <f t="shared" si="68"/>
        <v>293.3333333333353</v>
      </c>
      <c r="CY95" s="62">
        <f ca="1">AVERAGE(OFFSET($CX$3,0,0,'Données projet'!$E$13+1,1))-AVERAGE(OFFSET($H$3,0,0,'Données projet'!$E$13+1,1))</f>
        <v>260.02504691866199</v>
      </c>
      <c r="CZ95" s="62">
        <f t="shared" si="96"/>
        <v>270.11268336406368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2.9316179297501352</v>
      </c>
      <c r="DG95" s="23">
        <f>EXP(-LN(2)/25)*DG94+(1-EXP(-LN(2)/25))/(LN(2)/25)*Calculateur!DB95*Calculateur!DD95*VLOOKUP('Données projet'!$B$13,Paramètres!$A$1:$I$89,3,0)*0.475*44/12</f>
        <v>2.9460677687147068</v>
      </c>
      <c r="DH95" s="23">
        <f>EXP(-LN(2)/2)*DH94+(1-EXP(-LN(2)/2))/(LN(2)/2)*DB95*DE95*VLOOKUP('Données projet'!$B$13,Paramètres!$A$1:$I$89,3,0)*0.475*44/12</f>
        <v>2.9522743755596894E-9</v>
      </c>
      <c r="DI95" s="24">
        <f t="shared" si="69"/>
        <v>5.877685701417116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-1.7053025658242404E-13</v>
      </c>
      <c r="DP95" s="18">
        <f>DO95*VLOOKUP('Données projet'!$B$14,Paramètres!$A$1:$I$89,3,0)*VLOOKUP('Données projet'!$B$14,Paramètres!$A$1:$I$89,5,0)</f>
        <v>-1.3567387213697657E-13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312.53381881960331</v>
      </c>
      <c r="DU95" s="62">
        <f t="shared" si="98"/>
        <v>342.06887933351783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2.8</v>
      </c>
      <c r="EJ95" s="13">
        <f>IF('Données projet'!$A$192&gt;35,EJ94+EI95-ER94,IF(A95&lt;'Données projet'!$A$192,$EG$205^A95,IF(A95='Données projet'!$A$192,'Données projet'!$B$192,EJ94+EI95-ER94)))</f>
        <v>164.59999999999997</v>
      </c>
      <c r="EK95" s="18">
        <f>EJ95*VLOOKUP('Données projet'!$B$15,Paramètres!$A$1:$I$89,3,0)*VLOOKUP('Données projet'!$B$15,Paramètres!$A$1:$I$89,5,0)</f>
        <v>159.20111999999997</v>
      </c>
      <c r="EL95" s="14">
        <f t="shared" si="99"/>
        <v>40.662273333437703</v>
      </c>
      <c r="EM95" s="22">
        <f t="shared" si="73"/>
        <v>348.09541005573732</v>
      </c>
      <c r="EN95" s="62">
        <f t="shared" si="74"/>
        <v>641.42874338907063</v>
      </c>
      <c r="EO95" s="62">
        <f ca="1">AVERAGE(OFFSET($EN$3,0,0,'Données projet'!$E$15+1,1))-AVERAGE(OFFSET($H$3,0,0,'Données projet'!$E$15+1,1))</f>
        <v>255.59755832175625</v>
      </c>
      <c r="EP95" s="62">
        <f t="shared" si="100"/>
        <v>154.0840647586964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>
        <f>FE95*VLOOKUP('Données projet'!$B$16,Paramètres!$A$1:$I$89,3,0)*VLOOKUP('Données projet'!$B$16,Paramètres!$A$1:$I$89,5,0)</f>
        <v>0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197.08445731383847</v>
      </c>
      <c r="FK95" s="62">
        <f t="shared" si="102"/>
        <v>157.12482557016511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819.71727903145597</v>
      </c>
      <c r="S96" s="62">
        <f ca="1">AVERAGE(OFFSET($R$3,0,0,'Données projet'!$E$9+1,1))-AVERAGE(OFFSET($H$3,0,0,'Données projet'!$E$9+1,1))</f>
        <v>428.8489304403459</v>
      </c>
      <c r="T96" s="62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2">
        <f t="shared" si="59"/>
        <v>881.72624213359745</v>
      </c>
      <c r="AN96" s="62">
        <f ca="1">AVERAGE(OFFSET($AM$3,0,0,'Données projet'!$E$10+1,1))-AVERAGE(OFFSET($H$3,0,0,'Données projet'!$E$10+1,1))</f>
        <v>475.47920969424894</v>
      </c>
      <c r="AO96" s="62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8.1391025641025667</v>
      </c>
      <c r="BD96" s="13">
        <f>IF('Données projet'!$A$88&gt;35,BD95+BC96-BL95,IF(A96&lt;'Données projet'!$A$88,$BA$205^A96,IF(A96='Données projet'!$A$88,'Données projet'!$B$88,BD95+BC96-BL95)))</f>
        <v>349.03461538461545</v>
      </c>
      <c r="BE96" s="14">
        <f>BD96*VLOOKUP('Données projet'!$B$11,Paramètres!$A$1:$I$89,3,0)*VLOOKUP('Données projet'!$B$11,Paramètres!$A$1:$I$89,5,0)</f>
        <v>163.34820000000002</v>
      </c>
      <c r="BF96" s="14">
        <f t="shared" si="91"/>
        <v>41.596798587958055</v>
      </c>
      <c r="BG96" s="22">
        <f t="shared" si="61"/>
        <v>356.94587254069364</v>
      </c>
      <c r="BH96" s="62">
        <f t="shared" si="62"/>
        <v>650.27920587402696</v>
      </c>
      <c r="BI96" s="62">
        <f ca="1">AVERAGE(OFFSET($BH$3,0,0,'Données projet'!$E$11+1,1))-AVERAGE(OFFSET($H$3,0,0,'Données projet'!$E$11+1,1))</f>
        <v>246.73711856758143</v>
      </c>
      <c r="BJ96" s="62">
        <f t="shared" si="92"/>
        <v>145.54897745089966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6.3550942286383367E-14</v>
      </c>
      <c r="CA96" s="14">
        <f t="shared" si="93"/>
        <v>1.0064464192543978E-12</v>
      </c>
      <c r="CB96" s="22">
        <f t="shared" si="64"/>
        <v>1.8635787380168604E-12</v>
      </c>
      <c r="CC96" s="62">
        <f t="shared" si="65"/>
        <v>293.33333333333519</v>
      </c>
      <c r="CD96" s="62">
        <f ca="1">AVERAGE(OFFSET($CC$3,0,0,'Données projet'!$E$12+1,1))-AVERAGE(OFFSET($H$3,0,0,'Données projet'!$E$12+1,1))</f>
        <v>321.13335003345236</v>
      </c>
      <c r="CE96" s="62">
        <f t="shared" si="94"/>
        <v>301.26825075712128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3.5946465434039805</v>
      </c>
      <c r="CM96" s="23">
        <f>EXP(-LN(2)/2)*CM95+(1-EXP(-LN(2)/2))/(LN(2)/2)*CG96*CJ96*VLOOKUP('Données projet'!$B$12,Paramètres!$A$1:$I$89,3,0)*0.475*44/12</f>
        <v>3.2470135151035018E-9</v>
      </c>
      <c r="CN96" s="24">
        <f t="shared" si="66"/>
        <v>3.5946465466509938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6.7984728957526396E-14</v>
      </c>
      <c r="CV96" s="14">
        <f t="shared" si="95"/>
        <v>1.0682447123141398E-12</v>
      </c>
      <c r="CW96" s="22">
        <f t="shared" si="67"/>
        <v>1.978932943548152E-12</v>
      </c>
      <c r="CX96" s="62">
        <f t="shared" si="68"/>
        <v>293.3333333333353</v>
      </c>
      <c r="CY96" s="62">
        <f ca="1">AVERAGE(OFFSET($CX$3,0,0,'Données projet'!$E$13+1,1))-AVERAGE(OFFSET($H$3,0,0,'Données projet'!$E$13+1,1))</f>
        <v>260.02504691866199</v>
      </c>
      <c r="CZ96" s="62">
        <f t="shared" si="96"/>
        <v>270.11268336406368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2.8741306902581112</v>
      </c>
      <c r="DG96" s="23">
        <f>EXP(-LN(2)/25)*DG95+(1-EXP(-LN(2)/25))/(LN(2)/25)*Calculateur!DB96*Calculateur!DD96*VLOOKUP('Données projet'!$B$13,Paramètres!$A$1:$I$89,3,0)*0.475*44/12</f>
        <v>2.8655073906522324</v>
      </c>
      <c r="DH96" s="23">
        <f>EXP(-LN(2)/2)*DH95+(1-EXP(-LN(2)/2))/(LN(2)/2)*DB96*DE96*VLOOKUP('Données projet'!$B$13,Paramètres!$A$1:$I$89,3,0)*0.475*44/12</f>
        <v>2.0875732308815365E-9</v>
      </c>
      <c r="DI96" s="24">
        <f t="shared" si="69"/>
        <v>5.7396380829979172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-1.7053025658242404E-13</v>
      </c>
      <c r="DP96" s="18">
        <f>DO96*VLOOKUP('Données projet'!$B$14,Paramètres!$A$1:$I$89,3,0)*VLOOKUP('Données projet'!$B$14,Paramètres!$A$1:$I$89,5,0)</f>
        <v>-1.3567387213697657E-13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312.53381881960331</v>
      </c>
      <c r="DU96" s="62">
        <f t="shared" si="98"/>
        <v>342.06887933351783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2.8</v>
      </c>
      <c r="EJ96" s="13">
        <f>IF('Données projet'!$A$192&gt;35,EJ95+EI96-ER95,IF(A96&lt;'Données projet'!$A$192,$EG$205^A96,IF(A96='Données projet'!$A$192,'Données projet'!$B$192,EJ95+EI96-ER95)))</f>
        <v>167.39999999999998</v>
      </c>
      <c r="EK96" s="18">
        <f>EJ96*VLOOKUP('Données projet'!$B$15,Paramètres!$A$1:$I$89,3,0)*VLOOKUP('Données projet'!$B$15,Paramètres!$A$1:$I$89,5,0)</f>
        <v>161.90927999999997</v>
      </c>
      <c r="EL96" s="14">
        <f t="shared" si="99"/>
        <v>41.272861077810653</v>
      </c>
      <c r="EM96" s="22">
        <f t="shared" si="73"/>
        <v>353.87556237718678</v>
      </c>
      <c r="EN96" s="62">
        <f t="shared" si="74"/>
        <v>647.2088957105201</v>
      </c>
      <c r="EO96" s="62">
        <f ca="1">AVERAGE(OFFSET($EN$3,0,0,'Données projet'!$E$15+1,1))-AVERAGE(OFFSET($H$3,0,0,'Données projet'!$E$15+1,1))</f>
        <v>255.59755832175625</v>
      </c>
      <c r="EP96" s="62">
        <f t="shared" si="100"/>
        <v>154.0840647586964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>
        <f>FE96*VLOOKUP('Données projet'!$B$16,Paramètres!$A$1:$I$89,3,0)*VLOOKUP('Données projet'!$B$16,Paramètres!$A$1:$I$89,5,0)</f>
        <v>0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197.08445731383847</v>
      </c>
      <c r="FK96" s="62">
        <f t="shared" si="102"/>
        <v>157.12482557016511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829.09611292828231</v>
      </c>
      <c r="S97" s="62">
        <f ca="1">AVERAGE(OFFSET($R$3,0,0,'Données projet'!$E$9+1,1))-AVERAGE(OFFSET($H$3,0,0,'Données projet'!$E$9+1,1))</f>
        <v>428.8489304403459</v>
      </c>
      <c r="T97" s="62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2">
        <f t="shared" si="59"/>
        <v>892.21253573041304</v>
      </c>
      <c r="AN97" s="62">
        <f ca="1">AVERAGE(OFFSET($AM$3,0,0,'Données projet'!$E$10+1,1))-AVERAGE(OFFSET($H$3,0,0,'Données projet'!$E$10+1,1))</f>
        <v>475.47920969424894</v>
      </c>
      <c r="AO97" s="62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8.1391025641025667</v>
      </c>
      <c r="BD97" s="13">
        <f>IF('Données projet'!$A$88&gt;35,BD96+BC97-BL96,IF(A97&lt;'Données projet'!$A$88,$BA$205^A97,IF(A97='Données projet'!$A$88,'Données projet'!$B$88,BD96+BC97-BL96)))</f>
        <v>357.17371794871804</v>
      </c>
      <c r="BE97" s="14">
        <f>BD97*VLOOKUP('Données projet'!$B$11,Paramètres!$A$1:$I$89,3,0)*VLOOKUP('Données projet'!$B$11,Paramètres!$A$1:$I$89,5,0)</f>
        <v>167.15730000000005</v>
      </c>
      <c r="BF97" s="14">
        <f t="shared" si="91"/>
        <v>42.452729847677645</v>
      </c>
      <c r="BG97" s="22">
        <f t="shared" si="61"/>
        <v>365.07080198470538</v>
      </c>
      <c r="BH97" s="62">
        <f t="shared" si="62"/>
        <v>658.4041353180387</v>
      </c>
      <c r="BI97" s="62">
        <f ca="1">AVERAGE(OFFSET($BH$3,0,0,'Données projet'!$E$11+1,1))-AVERAGE(OFFSET($H$3,0,0,'Données projet'!$E$11+1,1))</f>
        <v>246.73711856758143</v>
      </c>
      <c r="BJ97" s="62">
        <f t="shared" si="92"/>
        <v>145.54897745089966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6.3550942286383367E-14</v>
      </c>
      <c r="CA97" s="14">
        <f t="shared" si="93"/>
        <v>1.0064464192543978E-12</v>
      </c>
      <c r="CB97" s="22">
        <f t="shared" si="64"/>
        <v>1.8635787380168604E-12</v>
      </c>
      <c r="CC97" s="62">
        <f t="shared" si="65"/>
        <v>293.33333333333519</v>
      </c>
      <c r="CD97" s="62">
        <f ca="1">AVERAGE(OFFSET($CC$3,0,0,'Données projet'!$E$12+1,1))-AVERAGE(OFFSET($H$3,0,0,'Données projet'!$E$12+1,1))</f>
        <v>321.13335003345236</v>
      </c>
      <c r="CE97" s="62">
        <f t="shared" si="94"/>
        <v>301.26825075712128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3.4963507446403526</v>
      </c>
      <c r="CM97" s="23">
        <f>EXP(-LN(2)/2)*CM96+(1-EXP(-LN(2)/2))/(LN(2)/2)*CG97*CJ97*VLOOKUP('Données projet'!$B$12,Paramètres!$A$1:$I$89,3,0)*0.475*44/12</f>
        <v>2.2959852751340543E-9</v>
      </c>
      <c r="CN97" s="24">
        <f t="shared" si="66"/>
        <v>3.4963507469363377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6.7984728957526396E-14</v>
      </c>
      <c r="CV97" s="14">
        <f t="shared" si="95"/>
        <v>1.0682447123141398E-12</v>
      </c>
      <c r="CW97" s="22">
        <f t="shared" si="67"/>
        <v>1.978932943548152E-12</v>
      </c>
      <c r="CX97" s="62">
        <f t="shared" si="68"/>
        <v>293.3333333333353</v>
      </c>
      <c r="CY97" s="62">
        <f ca="1">AVERAGE(OFFSET($CX$3,0,0,'Données projet'!$E$13+1,1))-AVERAGE(OFFSET($H$3,0,0,'Données projet'!$E$13+1,1))</f>
        <v>260.02504691866199</v>
      </c>
      <c r="CZ97" s="62">
        <f t="shared" si="96"/>
        <v>270.11268336406368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2.8177707404687715</v>
      </c>
      <c r="DG97" s="23">
        <f>EXP(-LN(2)/25)*DG96+(1-EXP(-LN(2)/25))/(LN(2)/25)*Calculateur!DB97*Calculateur!DD97*VLOOKUP('Données projet'!$B$13,Paramètres!$A$1:$I$89,3,0)*0.475*44/12</f>
        <v>2.7871499403643627</v>
      </c>
      <c r="DH97" s="23">
        <f>EXP(-LN(2)/2)*DH96+(1-EXP(-LN(2)/2))/(LN(2)/2)*DB97*DE97*VLOOKUP('Données projet'!$B$13,Paramètres!$A$1:$I$89,3,0)*0.475*44/12</f>
        <v>1.4761371877798447E-9</v>
      </c>
      <c r="DI97" s="24">
        <f t="shared" si="69"/>
        <v>5.6049206823092712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-1.7053025658242404E-13</v>
      </c>
      <c r="DP97" s="18">
        <f>DO97*VLOOKUP('Données projet'!$B$14,Paramètres!$A$1:$I$89,3,0)*VLOOKUP('Données projet'!$B$14,Paramètres!$A$1:$I$89,5,0)</f>
        <v>-1.3567387213697657E-13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312.53381881960331</v>
      </c>
      <c r="DU97" s="62">
        <f t="shared" si="98"/>
        <v>342.06887933351783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2.8</v>
      </c>
      <c r="EJ97" s="13">
        <f>IF('Données projet'!$A$192&gt;35,EJ96+EI97-ER96,IF(A97&lt;'Données projet'!$A$192,$EG$205^A97,IF(A97='Données projet'!$A$192,'Données projet'!$B$192,EJ96+EI97-ER96)))</f>
        <v>170.2</v>
      </c>
      <c r="EK97" s="18">
        <f>EJ97*VLOOKUP('Données projet'!$B$15,Paramètres!$A$1:$I$89,3,0)*VLOOKUP('Données projet'!$B$15,Paramètres!$A$1:$I$89,5,0)</f>
        <v>164.61743999999999</v>
      </c>
      <c r="EL97" s="14">
        <f t="shared" si="99"/>
        <v>41.882261134249809</v>
      </c>
      <c r="EM97" s="22">
        <f t="shared" si="73"/>
        <v>359.65364614215167</v>
      </c>
      <c r="EN97" s="62">
        <f t="shared" si="74"/>
        <v>652.98697947548499</v>
      </c>
      <c r="EO97" s="62">
        <f ca="1">AVERAGE(OFFSET($EN$3,0,0,'Données projet'!$E$15+1,1))-AVERAGE(OFFSET($H$3,0,0,'Données projet'!$E$15+1,1))</f>
        <v>255.59755832175625</v>
      </c>
      <c r="EP97" s="62">
        <f t="shared" si="100"/>
        <v>154.0840647586964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>
        <f>FE97*VLOOKUP('Données projet'!$B$16,Paramètres!$A$1:$I$89,3,0)*VLOOKUP('Données projet'!$B$16,Paramètres!$A$1:$I$89,5,0)</f>
        <v>0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197.08445731383847</v>
      </c>
      <c r="FK97" s="62">
        <f t="shared" si="102"/>
        <v>157.12482557016511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838.4714957147562</v>
      </c>
      <c r="S98" s="62">
        <f ca="1">AVERAGE(OFFSET($R$3,0,0,'Données projet'!$E$9+1,1))-AVERAGE(OFFSET($H$3,0,0,'Données projet'!$E$9+1,1))</f>
        <v>428.8489304403459</v>
      </c>
      <c r="T98" s="62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2">
        <f t="shared" si="59"/>
        <v>902.69501266160501</v>
      </c>
      <c r="AN98" s="62">
        <f ca="1">AVERAGE(OFFSET($AM$3,0,0,'Données projet'!$E$10+1,1))-AVERAGE(OFFSET($H$3,0,0,'Données projet'!$E$10+1,1))</f>
        <v>475.47920969424894</v>
      </c>
      <c r="AO98" s="62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8.1391025641025667</v>
      </c>
      <c r="BD98" s="13">
        <f>IF('Données projet'!$A$88&gt;35,BD97+BC98-BL97,IF(A98&lt;'Données projet'!$A$88,$BA$205^A98,IF(A98='Données projet'!$A$88,'Données projet'!$B$88,BD97+BC98-BL97)))</f>
        <v>365.31282051282062</v>
      </c>
      <c r="BE98" s="14">
        <f>BD98*VLOOKUP('Données projet'!$B$11,Paramètres!$A$1:$I$89,3,0)*VLOOKUP('Données projet'!$B$11,Paramètres!$A$1:$I$89,5,0)</f>
        <v>170.96640000000008</v>
      </c>
      <c r="BF98" s="14">
        <f t="shared" si="91"/>
        <v>43.306393578795642</v>
      </c>
      <c r="BG98" s="22">
        <f t="shared" si="61"/>
        <v>373.1917821497359</v>
      </c>
      <c r="BH98" s="62">
        <f t="shared" si="62"/>
        <v>666.52511548306916</v>
      </c>
      <c r="BI98" s="62">
        <f ca="1">AVERAGE(OFFSET($BH$3,0,0,'Données projet'!$E$11+1,1))-AVERAGE(OFFSET($H$3,0,0,'Données projet'!$E$11+1,1))</f>
        <v>246.73711856758143</v>
      </c>
      <c r="BJ98" s="62">
        <f t="shared" si="92"/>
        <v>145.54897745089966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6.3550942286383367E-14</v>
      </c>
      <c r="CA98" s="14">
        <f t="shared" si="93"/>
        <v>1.0064464192543978E-12</v>
      </c>
      <c r="CB98" s="22">
        <f t="shared" si="64"/>
        <v>1.8635787380168604E-12</v>
      </c>
      <c r="CC98" s="62">
        <f t="shared" si="65"/>
        <v>293.33333333333519</v>
      </c>
      <c r="CD98" s="62">
        <f ca="1">AVERAGE(OFFSET($CC$3,0,0,'Données projet'!$E$12+1,1))-AVERAGE(OFFSET($H$3,0,0,'Données projet'!$E$12+1,1))</f>
        <v>321.13335003345236</v>
      </c>
      <c r="CE98" s="62">
        <f t="shared" si="94"/>
        <v>301.26825075712128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3.4007428496630676</v>
      </c>
      <c r="CM98" s="23">
        <f>EXP(-LN(2)/2)*CM97+(1-EXP(-LN(2)/2))/(LN(2)/2)*CG98*CJ98*VLOOKUP('Données projet'!$B$12,Paramètres!$A$1:$I$89,3,0)*0.475*44/12</f>
        <v>1.6235067575517509E-9</v>
      </c>
      <c r="CN98" s="24">
        <f t="shared" si="66"/>
        <v>3.4007428512865743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6.7984728957526396E-14</v>
      </c>
      <c r="CV98" s="14">
        <f t="shared" si="95"/>
        <v>1.0682447123141398E-12</v>
      </c>
      <c r="CW98" s="22">
        <f t="shared" si="67"/>
        <v>1.978932943548152E-12</v>
      </c>
      <c r="CX98" s="62">
        <f t="shared" si="68"/>
        <v>293.3333333333353</v>
      </c>
      <c r="CY98" s="62">
        <f ca="1">AVERAGE(OFFSET($CX$3,0,0,'Données projet'!$E$13+1,1))-AVERAGE(OFFSET($H$3,0,0,'Données projet'!$E$13+1,1))</f>
        <v>260.02504691866199</v>
      </c>
      <c r="CZ98" s="62">
        <f t="shared" si="96"/>
        <v>270.11268336406368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2.7625159749186259</v>
      </c>
      <c r="DG98" s="23">
        <f>EXP(-LN(2)/25)*DG97+(1-EXP(-LN(2)/25))/(LN(2)/25)*Calculateur!DB98*Calculateur!DD98*VLOOKUP('Données projet'!$B$13,Paramètres!$A$1:$I$89,3,0)*0.475*44/12</f>
        <v>2.7109351786752538</v>
      </c>
      <c r="DH98" s="23">
        <f>EXP(-LN(2)/2)*DH97+(1-EXP(-LN(2)/2))/(LN(2)/2)*DB98*DE98*VLOOKUP('Données projet'!$B$13,Paramètres!$A$1:$I$89,3,0)*0.475*44/12</f>
        <v>1.0437866154407682E-9</v>
      </c>
      <c r="DI98" s="24">
        <f t="shared" si="69"/>
        <v>5.4734511546376661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-1.7053025658242404E-13</v>
      </c>
      <c r="DP98" s="18">
        <f>DO98*VLOOKUP('Données projet'!$B$14,Paramètres!$A$1:$I$89,3,0)*VLOOKUP('Données projet'!$B$14,Paramètres!$A$1:$I$89,5,0)</f>
        <v>-1.3567387213697657E-13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312.53381881960331</v>
      </c>
      <c r="DU98" s="62">
        <f t="shared" si="98"/>
        <v>342.06887933351783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173</v>
      </c>
      <c r="EH98" s="13">
        <f>VLOOKUP(A98,'Données projet'!$A$191:$I$211,9,0)</f>
        <v>2.8</v>
      </c>
      <c r="EI98" s="13">
        <f t="array" ref="EI98">INDEX(EH:EH,MIN(IF(ISNUMBER(EH98:EH294),ROW(EH98:EH294),"")))</f>
        <v>2.8</v>
      </c>
      <c r="EJ98" s="13">
        <f>IF('Données projet'!$A$192&gt;35,EJ97+EI98-ER97,IF(A98&lt;'Données projet'!$A$192,$EG$205^A98,IF(A98='Données projet'!$A$192,'Données projet'!$B$192,EJ97+EI98-ER97)))</f>
        <v>173</v>
      </c>
      <c r="EK98" s="18">
        <f>EJ98*VLOOKUP('Données projet'!$B$15,Paramètres!$A$1:$I$89,3,0)*VLOOKUP('Données projet'!$B$15,Paramètres!$A$1:$I$89,5,0)</f>
        <v>167.32560000000001</v>
      </c>
      <c r="EL98" s="14">
        <f t="shared" si="99"/>
        <v>42.490495297127609</v>
      </c>
      <c r="EM98" s="22">
        <f t="shared" si="73"/>
        <v>365.42969930916388</v>
      </c>
      <c r="EN98" s="62">
        <f t="shared" si="74"/>
        <v>658.76303264249714</v>
      </c>
      <c r="EO98" s="62">
        <f ca="1">AVERAGE(OFFSET($EN$3,0,0,'Données projet'!$E$15+1,1))-AVERAGE(OFFSET($H$3,0,0,'Données projet'!$E$15+1,1))</f>
        <v>255.59755832175625</v>
      </c>
      <c r="EP98" s="62">
        <f t="shared" si="100"/>
        <v>154.0840647586964</v>
      </c>
      <c r="EQ98" s="16">
        <f>IF(ISNA(VLOOKUP(A98,'Données projet'!$A$191:$I$211,3,0)),0,VLOOKUP(A98,'Données projet'!$A$191:$I$211,3,0))</f>
        <v>7</v>
      </c>
      <c r="ER98" s="16">
        <f>IF(ISNA(VLOOKUP(A98,'Données projet'!$A$191:$I$211,4,0)),0,VLOOKUP(A98,'Données projet'!$A$191:$I$211,4,0))</f>
        <v>18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>
        <f>FE98*VLOOKUP('Données projet'!$B$16,Paramètres!$A$1:$I$89,3,0)*VLOOKUP('Données projet'!$B$16,Paramètres!$A$1:$I$89,5,0)</f>
        <v>0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197.08445731383847</v>
      </c>
      <c r="FK98" s="62">
        <f t="shared" si="102"/>
        <v>157.12482557016511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847.84349511604591</v>
      </c>
      <c r="S99" s="62">
        <f ca="1">AVERAGE(OFFSET($R$3,0,0,'Données projet'!$E$9+1,1))-AVERAGE(OFFSET($H$3,0,0,'Données projet'!$E$9+1,1))</f>
        <v>428.8489304403459</v>
      </c>
      <c r="T99" s="62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2">
        <f t="shared" si="59"/>
        <v>913.17374782605907</v>
      </c>
      <c r="AN99" s="62">
        <f ca="1">AVERAGE(OFFSET($AM$3,0,0,'Données projet'!$E$10+1,1))-AVERAGE(OFFSET($H$3,0,0,'Données projet'!$E$10+1,1))</f>
        <v>475.47920969424894</v>
      </c>
      <c r="AO99" s="62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8.1391025641025667</v>
      </c>
      <c r="BD99" s="13">
        <f>IF('Données projet'!$A$88&gt;35,BD98+BC99-BL98,IF(A99&lt;'Données projet'!$A$88,$BA$205^A99,IF(A99='Données projet'!$A$88,'Données projet'!$B$88,BD98+BC99-BL98)))</f>
        <v>373.45192307692321</v>
      </c>
      <c r="BE99" s="14">
        <f>BD99*VLOOKUP('Données projet'!$B$11,Paramètres!$A$1:$I$89,3,0)*VLOOKUP('Données projet'!$B$11,Paramètres!$A$1:$I$89,5,0)</f>
        <v>174.77550000000005</v>
      </c>
      <c r="BF99" s="14">
        <f t="shared" si="91"/>
        <v>44.157846118321089</v>
      </c>
      <c r="BG99" s="22">
        <f t="shared" si="61"/>
        <v>381.30891115607596</v>
      </c>
      <c r="BH99" s="62">
        <f t="shared" si="62"/>
        <v>674.64224448940922</v>
      </c>
      <c r="BI99" s="62">
        <f ca="1">AVERAGE(OFFSET($BH$3,0,0,'Données projet'!$E$11+1,1))-AVERAGE(OFFSET($H$3,0,0,'Données projet'!$E$11+1,1))</f>
        <v>246.73711856758143</v>
      </c>
      <c r="BJ99" s="62">
        <f t="shared" si="92"/>
        <v>145.54897745089966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6.3550942286383367E-14</v>
      </c>
      <c r="CA99" s="14">
        <f t="shared" si="93"/>
        <v>1.0064464192543978E-12</v>
      </c>
      <c r="CB99" s="22">
        <f t="shared" si="64"/>
        <v>1.8635787380168604E-12</v>
      </c>
      <c r="CC99" s="62">
        <f t="shared" si="65"/>
        <v>293.33333333333519</v>
      </c>
      <c r="CD99" s="62">
        <f ca="1">AVERAGE(OFFSET($CC$3,0,0,'Données projet'!$E$12+1,1))-AVERAGE(OFFSET($H$3,0,0,'Données projet'!$E$12+1,1))</f>
        <v>321.13335003345236</v>
      </c>
      <c r="CE99" s="62">
        <f t="shared" si="94"/>
        <v>301.26825075712128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3.3077493576017369</v>
      </c>
      <c r="CM99" s="23">
        <f>EXP(-LN(2)/2)*CM98+(1-EXP(-LN(2)/2))/(LN(2)/2)*CG99*CJ99*VLOOKUP('Données projet'!$B$12,Paramètres!$A$1:$I$89,3,0)*0.475*44/12</f>
        <v>1.1479926375670272E-9</v>
      </c>
      <c r="CN99" s="24">
        <f t="shared" si="66"/>
        <v>3.3077493587497298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6.7984728957526396E-14</v>
      </c>
      <c r="CV99" s="14">
        <f t="shared" si="95"/>
        <v>1.0682447123141398E-12</v>
      </c>
      <c r="CW99" s="22">
        <f t="shared" si="67"/>
        <v>1.978932943548152E-12</v>
      </c>
      <c r="CX99" s="62">
        <f t="shared" si="68"/>
        <v>293.3333333333353</v>
      </c>
      <c r="CY99" s="62">
        <f ca="1">AVERAGE(OFFSET($CX$3,0,0,'Données projet'!$E$13+1,1))-AVERAGE(OFFSET($H$3,0,0,'Données projet'!$E$13+1,1))</f>
        <v>260.02504691866199</v>
      </c>
      <c r="CZ99" s="62">
        <f t="shared" si="96"/>
        <v>270.11268336406368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2.7083447216188397</v>
      </c>
      <c r="DG99" s="23">
        <f>EXP(-LN(2)/25)*DG98+(1-EXP(-LN(2)/25))/(LN(2)/25)*Calculateur!DB99*Calculateur!DD99*VLOOKUP('Données projet'!$B$13,Paramètres!$A$1:$I$89,3,0)*0.475*44/12</f>
        <v>2.636804513652494</v>
      </c>
      <c r="DH99" s="23">
        <f>EXP(-LN(2)/2)*DH98+(1-EXP(-LN(2)/2))/(LN(2)/2)*DB99*DE99*VLOOKUP('Données projet'!$B$13,Paramètres!$A$1:$I$89,3,0)*0.475*44/12</f>
        <v>7.3806859388992234E-10</v>
      </c>
      <c r="DI99" s="24">
        <f t="shared" si="69"/>
        <v>5.3451492360094024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-1.7053025658242404E-13</v>
      </c>
      <c r="DP99" s="18">
        <f>DO99*VLOOKUP('Données projet'!$B$14,Paramètres!$A$1:$I$89,3,0)*VLOOKUP('Données projet'!$B$14,Paramètres!$A$1:$I$89,5,0)</f>
        <v>-1.3567387213697657E-13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312.53381881960331</v>
      </c>
      <c r="DU99" s="62">
        <f t="shared" si="98"/>
        <v>342.06887933351783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</v>
      </c>
      <c r="EJ99" s="13">
        <f>IF('Données projet'!$A$192&gt;35,EJ98+EI99-ER98,IF(A99&lt;'Données projet'!$A$192,$EG$205^A99,IF(A99='Données projet'!$A$192,'Données projet'!$B$192,EJ98+EI99-ER98)))</f>
        <v>158</v>
      </c>
      <c r="EK99" s="18">
        <f>EJ99*VLOOKUP('Données projet'!$B$15,Paramètres!$A$1:$I$89,3,0)*VLOOKUP('Données projet'!$B$15,Paramètres!$A$1:$I$89,5,0)</f>
        <v>152.8176</v>
      </c>
      <c r="EL99" s="14">
        <f t="shared" si="99"/>
        <v>39.218200171484227</v>
      </c>
      <c r="EM99" s="22">
        <f t="shared" si="73"/>
        <v>334.46235196533502</v>
      </c>
      <c r="EN99" s="62">
        <f t="shared" si="74"/>
        <v>627.79568529866833</v>
      </c>
      <c r="EO99" s="62">
        <f ca="1">AVERAGE(OFFSET($EN$3,0,0,'Données projet'!$E$15+1,1))-AVERAGE(OFFSET($H$3,0,0,'Données projet'!$E$15+1,1))</f>
        <v>255.59755832175625</v>
      </c>
      <c r="EP99" s="62">
        <f t="shared" si="100"/>
        <v>154.0840647586964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>
        <f>FE99*VLOOKUP('Données projet'!$B$16,Paramètres!$A$1:$I$89,3,0)*VLOOKUP('Données projet'!$B$16,Paramètres!$A$1:$I$89,5,0)</f>
        <v>0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197.08445731383847</v>
      </c>
      <c r="FK99" s="62">
        <f t="shared" si="102"/>
        <v>157.12482557016511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857.21217638119901</v>
      </c>
      <c r="S100" s="62">
        <f ca="1">AVERAGE(OFFSET($R$3,0,0,'Données projet'!$E$9+1,1))-AVERAGE(OFFSET($H$3,0,0,'Données projet'!$E$9+1,1))</f>
        <v>428.8489304403459</v>
      </c>
      <c r="T100" s="62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2">
        <f t="shared" si="59"/>
        <v>923.64881338426039</v>
      </c>
      <c r="AN100" s="62">
        <f ca="1">AVERAGE(OFFSET($AM$3,0,0,'Données projet'!$E$10+1,1))-AVERAGE(OFFSET($H$3,0,0,'Données projet'!$E$10+1,1))</f>
        <v>475.47920969424894</v>
      </c>
      <c r="AO100" s="62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8.1391025641025667</v>
      </c>
      <c r="BD100" s="13">
        <f>IF('Données projet'!$A$88&gt;35,BD99+BC100-BL99,IF(A100&lt;'Données projet'!$A$88,$BA$205^A100,IF(A100='Données projet'!$A$88,'Données projet'!$B$88,BD99+BC100-BL99)))</f>
        <v>381.59102564102579</v>
      </c>
      <c r="BE100" s="14">
        <f>BD100*VLOOKUP('Données projet'!$B$11,Paramètres!$A$1:$I$89,3,0)*VLOOKUP('Données projet'!$B$11,Paramètres!$A$1:$I$89,5,0)</f>
        <v>178.58460000000008</v>
      </c>
      <c r="BF100" s="14">
        <f t="shared" si="91"/>
        <v>45.007141207375248</v>
      </c>
      <c r="BG100" s="22">
        <f t="shared" si="61"/>
        <v>389.42228260284531</v>
      </c>
      <c r="BH100" s="62">
        <f t="shared" si="62"/>
        <v>682.75561593617863</v>
      </c>
      <c r="BI100" s="62">
        <f ca="1">AVERAGE(OFFSET($BH$3,0,0,'Données projet'!$E$11+1,1))-AVERAGE(OFFSET($H$3,0,0,'Données projet'!$E$11+1,1))</f>
        <v>246.73711856758143</v>
      </c>
      <c r="BJ100" s="62">
        <f t="shared" si="92"/>
        <v>145.54897745089966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6.3550942286383367E-14</v>
      </c>
      <c r="CA100" s="14">
        <f t="shared" si="93"/>
        <v>1.0064464192543978E-12</v>
      </c>
      <c r="CB100" s="22">
        <f t="shared" si="64"/>
        <v>1.8635787380168604E-12</v>
      </c>
      <c r="CC100" s="62">
        <f t="shared" si="65"/>
        <v>293.33333333333519</v>
      </c>
      <c r="CD100" s="62">
        <f ca="1">AVERAGE(OFFSET($CC$3,0,0,'Données projet'!$E$12+1,1))-AVERAGE(OFFSET($H$3,0,0,'Données projet'!$E$12+1,1))</f>
        <v>321.13335003345236</v>
      </c>
      <c r="CE100" s="62">
        <f t="shared" si="94"/>
        <v>301.26825075712128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3.2172987774711386</v>
      </c>
      <c r="CM100" s="23">
        <f>EXP(-LN(2)/2)*CM99+(1-EXP(-LN(2)/2))/(LN(2)/2)*CG100*CJ100*VLOOKUP('Données projet'!$B$12,Paramètres!$A$1:$I$89,3,0)*0.475*44/12</f>
        <v>8.1175337877587545E-10</v>
      </c>
      <c r="CN100" s="24">
        <f t="shared" si="66"/>
        <v>3.2172987782828919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6.7984728957526396E-14</v>
      </c>
      <c r="CV100" s="14">
        <f t="shared" si="95"/>
        <v>1.0682447123141398E-12</v>
      </c>
      <c r="CW100" s="22">
        <f t="shared" si="67"/>
        <v>1.978932943548152E-12</v>
      </c>
      <c r="CX100" s="62">
        <f t="shared" si="68"/>
        <v>293.3333333333353</v>
      </c>
      <c r="CY100" s="62">
        <f ca="1">AVERAGE(OFFSET($CX$3,0,0,'Données projet'!$E$13+1,1))-AVERAGE(OFFSET($H$3,0,0,'Données projet'!$E$13+1,1))</f>
        <v>260.02504691866199</v>
      </c>
      <c r="CZ100" s="62">
        <f t="shared" si="96"/>
        <v>270.11268336406368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2.65523573355506</v>
      </c>
      <c r="DG100" s="23">
        <f>EXP(-LN(2)/25)*DG99+(1-EXP(-LN(2)/25))/(LN(2)/25)*Calculateur!DB100*Calculateur!DD100*VLOOKUP('Données projet'!$B$13,Paramètres!$A$1:$I$89,3,0)*0.475*44/12</f>
        <v>2.5647009555631435</v>
      </c>
      <c r="DH100" s="23">
        <f>EXP(-LN(2)/2)*DH99+(1-EXP(-LN(2)/2))/(LN(2)/2)*DB100*DE100*VLOOKUP('Données projet'!$B$13,Paramètres!$A$1:$I$89,3,0)*0.475*44/12</f>
        <v>5.2189330772038412E-10</v>
      </c>
      <c r="DI100" s="24">
        <f t="shared" si="69"/>
        <v>5.2199366896400967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-1.7053025658242404E-13</v>
      </c>
      <c r="DP100" s="18">
        <f>DO100*VLOOKUP('Données projet'!$B$14,Paramètres!$A$1:$I$89,3,0)*VLOOKUP('Données projet'!$B$14,Paramètres!$A$1:$I$89,5,0)</f>
        <v>-1.3567387213697657E-13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312.53381881960331</v>
      </c>
      <c r="DU100" s="62">
        <f t="shared" si="98"/>
        <v>342.06887933351783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</v>
      </c>
      <c r="EJ100" s="13">
        <f>IF('Données projet'!$A$192&gt;35,EJ99+EI100-ER99,IF(A100&lt;'Données projet'!$A$192,$EG$205^A100,IF(A100='Données projet'!$A$192,'Données projet'!$B$192,EJ99+EI100-ER99)))</f>
        <v>161</v>
      </c>
      <c r="EK100" s="18">
        <f>EJ100*VLOOKUP('Données projet'!$B$15,Paramètres!$A$1:$I$89,3,0)*VLOOKUP('Données projet'!$B$15,Paramètres!$A$1:$I$89,5,0)</f>
        <v>155.7192</v>
      </c>
      <c r="EL100" s="14">
        <f t="shared" si="99"/>
        <v>39.875450340770094</v>
      </c>
      <c r="EM100" s="22">
        <f t="shared" si="73"/>
        <v>340.66068267684119</v>
      </c>
      <c r="EN100" s="62">
        <f t="shared" si="74"/>
        <v>633.99401601017451</v>
      </c>
      <c r="EO100" s="62">
        <f ca="1">AVERAGE(OFFSET($EN$3,0,0,'Données projet'!$E$15+1,1))-AVERAGE(OFFSET($H$3,0,0,'Données projet'!$E$15+1,1))</f>
        <v>255.59755832175625</v>
      </c>
      <c r="EP100" s="62">
        <f t="shared" si="100"/>
        <v>154.0840647586964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>
        <f>FE100*VLOOKUP('Données projet'!$B$16,Paramètres!$A$1:$I$89,3,0)*VLOOKUP('Données projet'!$B$16,Paramètres!$A$1:$I$89,5,0)</f>
        <v>0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197.08445731383847</v>
      </c>
      <c r="FK100" s="62">
        <f t="shared" si="102"/>
        <v>157.12482557016511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866.57760241418919</v>
      </c>
      <c r="S101" s="62">
        <f ca="1">AVERAGE(OFFSET($R$3,0,0,'Données projet'!$E$9+1,1))-AVERAGE(OFFSET($H$3,0,0,'Données projet'!$E$9+1,1))</f>
        <v>428.8489304403459</v>
      </c>
      <c r="T101" s="62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2">
        <f t="shared" si="59"/>
        <v>934.12027890322065</v>
      </c>
      <c r="AN101" s="62">
        <f ca="1">AVERAGE(OFFSET($AM$3,0,0,'Données projet'!$E$10+1,1))-AVERAGE(OFFSET($H$3,0,0,'Données projet'!$E$10+1,1))</f>
        <v>475.47920969424894</v>
      </c>
      <c r="AO101" s="62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8.1391025641025667</v>
      </c>
      <c r="BD101" s="13">
        <f>IF('Données projet'!$A$88&gt;35,BD100+BC101-BL100,IF(A101&lt;'Données projet'!$A$88,$BA$205^A101,IF(A101='Données projet'!$A$88,'Données projet'!$B$88,BD100+BC101-BL100)))</f>
        <v>389.73012820512838</v>
      </c>
      <c r="BE101" s="14">
        <f>BD101*VLOOKUP('Données projet'!$B$11,Paramètres!$A$1:$I$89,3,0)*VLOOKUP('Données projet'!$B$11,Paramètres!$A$1:$I$89,5,0)</f>
        <v>182.39370000000008</v>
      </c>
      <c r="BF101" s="14">
        <f t="shared" si="91"/>
        <v>45.854330163580777</v>
      </c>
      <c r="BG101" s="22">
        <f t="shared" si="61"/>
        <v>397.53198586823669</v>
      </c>
      <c r="BH101" s="62">
        <f t="shared" si="62"/>
        <v>690.86531920156995</v>
      </c>
      <c r="BI101" s="62">
        <f ca="1">AVERAGE(OFFSET($BH$3,0,0,'Données projet'!$E$11+1,1))-AVERAGE(OFFSET($H$3,0,0,'Données projet'!$E$11+1,1))</f>
        <v>246.73711856758143</v>
      </c>
      <c r="BJ101" s="62">
        <f t="shared" si="92"/>
        <v>145.54897745089966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6.3550942286383367E-14</v>
      </c>
      <c r="CA101" s="14">
        <f t="shared" si="93"/>
        <v>1.0064464192543978E-12</v>
      </c>
      <c r="CB101" s="22">
        <f t="shared" si="64"/>
        <v>1.8635787380168604E-12</v>
      </c>
      <c r="CC101" s="62">
        <f t="shared" si="65"/>
        <v>293.33333333333519</v>
      </c>
      <c r="CD101" s="62">
        <f ca="1">AVERAGE(OFFSET($CC$3,0,0,'Données projet'!$E$12+1,1))-AVERAGE(OFFSET($H$3,0,0,'Données projet'!$E$12+1,1))</f>
        <v>321.13335003345236</v>
      </c>
      <c r="CE101" s="62">
        <f t="shared" si="94"/>
        <v>301.26825075712128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3.1293215732108006</v>
      </c>
      <c r="CM101" s="23">
        <f>EXP(-LN(2)/2)*CM100+(1-EXP(-LN(2)/2))/(LN(2)/2)*CG101*CJ101*VLOOKUP('Données projet'!$B$12,Paramètres!$A$1:$I$89,3,0)*0.475*44/12</f>
        <v>5.7399631878351358E-10</v>
      </c>
      <c r="CN101" s="24">
        <f t="shared" si="66"/>
        <v>3.129321573784797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6.7984728957526396E-14</v>
      </c>
      <c r="CV101" s="14">
        <f t="shared" si="95"/>
        <v>1.0682447123141398E-12</v>
      </c>
      <c r="CW101" s="22">
        <f t="shared" si="67"/>
        <v>1.978932943548152E-12</v>
      </c>
      <c r="CX101" s="62">
        <f t="shared" si="68"/>
        <v>293.3333333333353</v>
      </c>
      <c r="CY101" s="62">
        <f ca="1">AVERAGE(OFFSET($CX$3,0,0,'Données projet'!$E$13+1,1))-AVERAGE(OFFSET($H$3,0,0,'Données projet'!$E$13+1,1))</f>
        <v>260.02504691866199</v>
      </c>
      <c r="CZ101" s="62">
        <f t="shared" si="96"/>
        <v>270.11268336406368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2.6031681803539271</v>
      </c>
      <c r="DG101" s="23">
        <f>EXP(-LN(2)/25)*DG100+(1-EXP(-LN(2)/25))/(LN(2)/25)*Calculateur!DB101*Calculateur!DD101*VLOOKUP('Données projet'!$B$13,Paramètres!$A$1:$I$89,3,0)*0.475*44/12</f>
        <v>2.4945690730615078</v>
      </c>
      <c r="DH101" s="23">
        <f>EXP(-LN(2)/2)*DH100+(1-EXP(-LN(2)/2))/(LN(2)/2)*DB101*DE101*VLOOKUP('Données projet'!$B$13,Paramètres!$A$1:$I$89,3,0)*0.475*44/12</f>
        <v>3.6903429694496117E-10</v>
      </c>
      <c r="DI101" s="24">
        <f t="shared" si="69"/>
        <v>5.0977372537844694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-1.7053025658242404E-13</v>
      </c>
      <c r="DP101" s="18">
        <f>DO101*VLOOKUP('Données projet'!$B$14,Paramètres!$A$1:$I$89,3,0)*VLOOKUP('Données projet'!$B$14,Paramètres!$A$1:$I$89,5,0)</f>
        <v>-1.3567387213697657E-13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312.53381881960331</v>
      </c>
      <c r="DU101" s="62">
        <f t="shared" si="98"/>
        <v>342.06887933351783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</v>
      </c>
      <c r="EJ101" s="13">
        <f>IF('Données projet'!$A$192&gt;35,EJ100+EI101-ER100,IF(A101&lt;'Données projet'!$A$192,$EG$205^A101,IF(A101='Données projet'!$A$192,'Données projet'!$B$192,EJ100+EI101-ER100)))</f>
        <v>164</v>
      </c>
      <c r="EK101" s="18">
        <f>EJ101*VLOOKUP('Données projet'!$B$15,Paramètres!$A$1:$I$89,3,0)*VLOOKUP('Données projet'!$B$15,Paramètres!$A$1:$I$89,5,0)</f>
        <v>158.6208</v>
      </c>
      <c r="EL101" s="14">
        <f t="shared" si="99"/>
        <v>40.531276428901542</v>
      </c>
      <c r="EM101" s="22">
        <f t="shared" si="73"/>
        <v>346.8565331136702</v>
      </c>
      <c r="EN101" s="62">
        <f t="shared" si="74"/>
        <v>640.18986644700351</v>
      </c>
      <c r="EO101" s="62">
        <f ca="1">AVERAGE(OFFSET($EN$3,0,0,'Données projet'!$E$15+1,1))-AVERAGE(OFFSET($H$3,0,0,'Données projet'!$E$15+1,1))</f>
        <v>255.59755832175625</v>
      </c>
      <c r="EP101" s="62">
        <f t="shared" si="100"/>
        <v>154.0840647586964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>
        <f>FE101*VLOOKUP('Données projet'!$B$16,Paramètres!$A$1:$I$89,3,0)*VLOOKUP('Données projet'!$B$16,Paramètres!$A$1:$I$89,5,0)</f>
        <v>0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197.08445731383847</v>
      </c>
      <c r="FK101" s="62">
        <f t="shared" si="102"/>
        <v>157.12482557016511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875.93983389595746</v>
      </c>
      <c r="S102" s="62">
        <f ca="1">AVERAGE(OFFSET($R$3,0,0,'Données projet'!$E$9+1,1))-AVERAGE(OFFSET($H$3,0,0,'Données projet'!$E$9+1,1))</f>
        <v>428.8489304403459</v>
      </c>
      <c r="T102" s="62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2">
        <f t="shared" si="59"/>
        <v>944.58821149144683</v>
      </c>
      <c r="AN102" s="62">
        <f ca="1">AVERAGE(OFFSET($AM$3,0,0,'Données projet'!$E$10+1,1))-AVERAGE(OFFSET($H$3,0,0,'Données projet'!$E$10+1,1))</f>
        <v>475.47920969424894</v>
      </c>
      <c r="AO102" s="62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397.8692307692308</v>
      </c>
      <c r="BB102" s="13">
        <f>VLOOKUP(A102,'Données projet'!$A$87:$I$107,9,0)</f>
        <v>8.1391025641025667</v>
      </c>
      <c r="BC102" s="13">
        <f t="array" ref="BC102">INDEX(BB:BB,MIN(IF(ISNUMBER(BB102:BB298),ROW(BB102:BB298),"")))</f>
        <v>8.1391025641025667</v>
      </c>
      <c r="BD102" s="13">
        <f>IF('Données projet'!$A$88&gt;35,BD101+BC102-BL101,IF(A102&lt;'Données projet'!$A$88,$BA$205^A102,IF(A102='Données projet'!$A$88,'Données projet'!$B$88,BD101+BC102-BL101)))</f>
        <v>397.86923076923097</v>
      </c>
      <c r="BE102" s="14">
        <f>BD102*VLOOKUP('Données projet'!$B$11,Paramètres!$A$1:$I$89,3,0)*VLOOKUP('Données projet'!$B$11,Paramètres!$A$1:$I$89,5,0)</f>
        <v>186.20280000000008</v>
      </c>
      <c r="BF102" s="14">
        <f t="shared" si="91"/>
        <v>46.699462038644185</v>
      </c>
      <c r="BG102" s="22">
        <f t="shared" si="61"/>
        <v>405.63810638397212</v>
      </c>
      <c r="BH102" s="62">
        <f t="shared" si="62"/>
        <v>698.97143971730543</v>
      </c>
      <c r="BI102" s="62">
        <f ca="1">AVERAGE(OFFSET($BH$3,0,0,'Données projet'!$E$11+1,1))-AVERAGE(OFFSET($H$3,0,0,'Données projet'!$E$11+1,1))</f>
        <v>246.73711856758143</v>
      </c>
      <c r="BJ102" s="62">
        <f t="shared" si="92"/>
        <v>145.54897745089966</v>
      </c>
      <c r="BK102" s="16">
        <f>IF(ISNA(VLOOKUP(A102,'Données projet'!$A$87:$I$107,3,0)),0,VLOOKUP(A102,'Données projet'!$A$87:$I$107,3,0))</f>
        <v>5</v>
      </c>
      <c r="BL102" s="16">
        <f>IF(ISNA(VLOOKUP(A102,'Données projet'!$A$87:$I$107,4,0)),0,VLOOKUP(A102,'Données projet'!$A$87:$I$107,4,0))</f>
        <v>198.32307692307691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6.3550942286383367E-14</v>
      </c>
      <c r="CA102" s="14">
        <f t="shared" si="93"/>
        <v>1.0064464192543978E-12</v>
      </c>
      <c r="CB102" s="22">
        <f t="shared" si="64"/>
        <v>1.8635787380168604E-12</v>
      </c>
      <c r="CC102" s="62">
        <f t="shared" si="65"/>
        <v>293.33333333333519</v>
      </c>
      <c r="CD102" s="62">
        <f ca="1">AVERAGE(OFFSET($CC$3,0,0,'Données projet'!$E$12+1,1))-AVERAGE(OFFSET($H$3,0,0,'Données projet'!$E$12+1,1))</f>
        <v>321.13335003345236</v>
      </c>
      <c r="CE102" s="62">
        <f t="shared" si="94"/>
        <v>301.26825075712128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3.043750110227482</v>
      </c>
      <c r="CM102" s="23">
        <f>EXP(-LN(2)/2)*CM101+(1-EXP(-LN(2)/2))/(LN(2)/2)*CG102*CJ102*VLOOKUP('Données projet'!$B$12,Paramètres!$A$1:$I$89,3,0)*0.475*44/12</f>
        <v>4.0587668938793772E-10</v>
      </c>
      <c r="CN102" s="24">
        <f t="shared" si="66"/>
        <v>3.0437501106333587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6.7984728957526396E-14</v>
      </c>
      <c r="CV102" s="14">
        <f t="shared" si="95"/>
        <v>1.0682447123141398E-12</v>
      </c>
      <c r="CW102" s="22">
        <f t="shared" si="67"/>
        <v>1.978932943548152E-12</v>
      </c>
      <c r="CX102" s="62">
        <f t="shared" si="68"/>
        <v>293.3333333333353</v>
      </c>
      <c r="CY102" s="62">
        <f ca="1">AVERAGE(OFFSET($CX$3,0,0,'Données projet'!$E$13+1,1))-AVERAGE(OFFSET($H$3,0,0,'Données projet'!$E$13+1,1))</f>
        <v>260.02504691866199</v>
      </c>
      <c r="CZ102" s="62">
        <f t="shared" si="96"/>
        <v>270.11268336406368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2.5521216401129969</v>
      </c>
      <c r="DG102" s="23">
        <f>EXP(-LN(2)/25)*DG101+(1-EXP(-LN(2)/25))/(LN(2)/25)*Calculateur!DB102*Calculateur!DD102*VLOOKUP('Données projet'!$B$13,Paramètres!$A$1:$I$89,3,0)*0.475*44/12</f>
        <v>2.4263549505749546</v>
      </c>
      <c r="DH102" s="23">
        <f>EXP(-LN(2)/2)*DH101+(1-EXP(-LN(2)/2))/(LN(2)/2)*DB102*DE102*VLOOKUP('Données projet'!$B$13,Paramètres!$A$1:$I$89,3,0)*0.475*44/12</f>
        <v>2.6094665386019206E-10</v>
      </c>
      <c r="DI102" s="24">
        <f t="shared" si="69"/>
        <v>4.9784765909488984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-1.7053025658242404E-13</v>
      </c>
      <c r="DP102" s="18">
        <f>DO102*VLOOKUP('Données projet'!$B$14,Paramètres!$A$1:$I$89,3,0)*VLOOKUP('Données projet'!$B$14,Paramètres!$A$1:$I$89,5,0)</f>
        <v>-1.3567387213697657E-13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312.53381881960331</v>
      </c>
      <c r="DU102" s="62">
        <f t="shared" si="98"/>
        <v>342.06887933351783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</v>
      </c>
      <c r="EJ102" s="13">
        <f>IF('Données projet'!$A$192&gt;35,EJ101+EI102-ER101,IF(A102&lt;'Données projet'!$A$192,$EG$205^A102,IF(A102='Données projet'!$A$192,'Données projet'!$B$192,EJ101+EI102-ER101)))</f>
        <v>167</v>
      </c>
      <c r="EK102" s="18">
        <f>EJ102*VLOOKUP('Données projet'!$B$15,Paramètres!$A$1:$I$89,3,0)*VLOOKUP('Données projet'!$B$15,Paramètres!$A$1:$I$89,5,0)</f>
        <v>161.5224</v>
      </c>
      <c r="EL102" s="14">
        <f t="shared" si="99"/>
        <v>41.185707490721896</v>
      </c>
      <c r="EM102" s="22">
        <f t="shared" si="73"/>
        <v>353.04995387967392</v>
      </c>
      <c r="EN102" s="62">
        <f t="shared" si="74"/>
        <v>646.38328721300718</v>
      </c>
      <c r="EO102" s="62">
        <f ca="1">AVERAGE(OFFSET($EN$3,0,0,'Données projet'!$E$15+1,1))-AVERAGE(OFFSET($H$3,0,0,'Données projet'!$E$15+1,1))</f>
        <v>255.59755832175625</v>
      </c>
      <c r="EP102" s="62">
        <f t="shared" si="100"/>
        <v>154.0840647586964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>
        <f>FE102*VLOOKUP('Données projet'!$B$16,Paramètres!$A$1:$I$89,3,0)*VLOOKUP('Données projet'!$B$16,Paramètres!$A$1:$I$89,5,0)</f>
        <v>0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197.08445731383847</v>
      </c>
      <c r="FK102" s="62">
        <f t="shared" si="102"/>
        <v>157.12482557016511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885.29892939819797</v>
      </c>
      <c r="S103" s="62">
        <f ca="1">AVERAGE(OFFSET($R$3,0,0,'Données projet'!$E$9+1,1))-AVERAGE(OFFSET($H$3,0,0,'Données projet'!$E$9+1,1))</f>
        <v>428.8489304403459</v>
      </c>
      <c r="T103" s="62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2">
        <f t="shared" si="59"/>
        <v>955.05267592477821</v>
      </c>
      <c r="AN103" s="62">
        <f ca="1">AVERAGE(OFFSET($AM$3,0,0,'Données projet'!$E$10+1,1))-AVERAGE(OFFSET($H$3,0,0,'Données projet'!$E$10+1,1))</f>
        <v>475.47920969424894</v>
      </c>
      <c r="AO103" s="62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5.6546153846153828</v>
      </c>
      <c r="BD103" s="13">
        <f>IF('Données projet'!$A$88&gt;35,BD102+BC103-BL102,IF(A103&lt;'Données projet'!$A$88,$BA$205^A103,IF(A103='Données projet'!$A$88,'Données projet'!$B$88,BD102+BC103-BL102)))</f>
        <v>205.20076923076945</v>
      </c>
      <c r="BE103" s="14">
        <f>BD103*VLOOKUP('Données projet'!$B$11,Paramètres!$A$1:$I$89,3,0)*VLOOKUP('Données projet'!$B$11,Paramètres!$A$1:$I$89,5,0)</f>
        <v>96.033960000000093</v>
      </c>
      <c r="BF103" s="14">
        <f t="shared" si="91"/>
        <v>26.014929381475927</v>
      </c>
      <c r="BG103" s="22">
        <f t="shared" si="61"/>
        <v>212.56848233940408</v>
      </c>
      <c r="BH103" s="62">
        <f t="shared" si="62"/>
        <v>505.90181567273737</v>
      </c>
      <c r="BI103" s="62">
        <f ca="1">AVERAGE(OFFSET($BH$3,0,0,'Données projet'!$E$11+1,1))-AVERAGE(OFFSET($H$3,0,0,'Données projet'!$E$11+1,1))</f>
        <v>246.73711856758143</v>
      </c>
      <c r="BJ103" s="62">
        <f t="shared" si="92"/>
        <v>145.54897745089966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6.3550942286383367E-14</v>
      </c>
      <c r="CA103" s="14">
        <f t="shared" si="93"/>
        <v>1.0064464192543978E-12</v>
      </c>
      <c r="CB103" s="22">
        <f t="shared" si="64"/>
        <v>1.8635787380168604E-12</v>
      </c>
      <c r="CC103" s="62">
        <f t="shared" si="65"/>
        <v>293.33333333333519</v>
      </c>
      <c r="CD103" s="62">
        <f ca="1">AVERAGE(OFFSET($CC$3,0,0,'Données projet'!$E$12+1,1))-AVERAGE(OFFSET($H$3,0,0,'Données projet'!$E$12+1,1))</f>
        <v>321.13335003345236</v>
      </c>
      <c r="CE103" s="62">
        <f t="shared" si="94"/>
        <v>301.26825075712128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2.9605186033994499</v>
      </c>
      <c r="CM103" s="23">
        <f>EXP(-LN(2)/2)*CM102+(1-EXP(-LN(2)/2))/(LN(2)/2)*CG103*CJ103*VLOOKUP('Données projet'!$B$12,Paramètres!$A$1:$I$89,3,0)*0.475*44/12</f>
        <v>2.8699815939175679E-10</v>
      </c>
      <c r="CN103" s="24">
        <f t="shared" si="66"/>
        <v>2.9605186036864479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6.7984728957526396E-14</v>
      </c>
      <c r="CV103" s="14">
        <f t="shared" si="95"/>
        <v>1.0682447123141398E-12</v>
      </c>
      <c r="CW103" s="22">
        <f t="shared" si="67"/>
        <v>1.978932943548152E-12</v>
      </c>
      <c r="CX103" s="62">
        <f t="shared" si="68"/>
        <v>293.3333333333353</v>
      </c>
      <c r="CY103" s="62">
        <f ca="1">AVERAGE(OFFSET($CX$3,0,0,'Données projet'!$E$13+1,1))-AVERAGE(OFFSET($H$3,0,0,'Données projet'!$E$13+1,1))</f>
        <v>260.02504691866199</v>
      </c>
      <c r="CZ103" s="62">
        <f t="shared" si="96"/>
        <v>270.11268336406368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2.5020760913908759</v>
      </c>
      <c r="DG103" s="23">
        <f>EXP(-LN(2)/25)*DG102+(1-EXP(-LN(2)/25))/(LN(2)/25)*Calculateur!DB103*Calculateur!DD103*VLOOKUP('Données projet'!$B$13,Paramètres!$A$1:$I$89,3,0)*0.475*44/12</f>
        <v>2.3600061468550213</v>
      </c>
      <c r="DH103" s="23">
        <f>EXP(-LN(2)/2)*DH102+(1-EXP(-LN(2)/2))/(LN(2)/2)*DB103*DE103*VLOOKUP('Données projet'!$B$13,Paramètres!$A$1:$I$89,3,0)*0.475*44/12</f>
        <v>1.8451714847248058E-10</v>
      </c>
      <c r="DI103" s="24">
        <f t="shared" si="69"/>
        <v>4.8620822384304141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-1.7053025658242404E-13</v>
      </c>
      <c r="DP103" s="18">
        <f>DO103*VLOOKUP('Données projet'!$B$14,Paramètres!$A$1:$I$89,3,0)*VLOOKUP('Données projet'!$B$14,Paramètres!$A$1:$I$89,5,0)</f>
        <v>-1.3567387213697657E-13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312.53381881960331</v>
      </c>
      <c r="DU103" s="62">
        <f t="shared" si="98"/>
        <v>342.06887933351783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170</v>
      </c>
      <c r="EH103" s="13">
        <f>VLOOKUP(A103,'Données projet'!$A$191:$I$211,9,0)</f>
        <v>3</v>
      </c>
      <c r="EI103" s="13">
        <f t="array" ref="EI103">INDEX(EH:EH,MIN(IF(ISNUMBER(EH103:EH299),ROW(EH103:EH299),"")))</f>
        <v>3</v>
      </c>
      <c r="EJ103" s="13">
        <f>IF('Données projet'!$A$192&gt;35,EJ102+EI103-ER102,IF(A103&lt;'Données projet'!$A$192,$EG$205^A103,IF(A103='Données projet'!$A$192,'Données projet'!$B$192,EJ102+EI103-ER102)))</f>
        <v>170</v>
      </c>
      <c r="EK103" s="18">
        <f>EJ103*VLOOKUP('Données projet'!$B$15,Paramètres!$A$1:$I$89,3,0)*VLOOKUP('Données projet'!$B$15,Paramètres!$A$1:$I$89,5,0)</f>
        <v>164.42400000000001</v>
      </c>
      <c r="EL103" s="14">
        <f t="shared" si="99"/>
        <v>41.838771477410226</v>
      </c>
      <c r="EM103" s="22">
        <f t="shared" si="73"/>
        <v>359.24099365648948</v>
      </c>
      <c r="EN103" s="62">
        <f t="shared" si="74"/>
        <v>652.57432698982279</v>
      </c>
      <c r="EO103" s="62">
        <f ca="1">AVERAGE(OFFSET($EN$3,0,0,'Données projet'!$E$15+1,1))-AVERAGE(OFFSET($H$3,0,0,'Données projet'!$E$15+1,1))</f>
        <v>255.59755832175625</v>
      </c>
      <c r="EP103" s="62">
        <f t="shared" si="100"/>
        <v>154.0840647586964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>
        <f>FE103*VLOOKUP('Données projet'!$B$16,Paramètres!$A$1:$I$89,3,0)*VLOOKUP('Données projet'!$B$16,Paramètres!$A$1:$I$89,5,0)</f>
        <v>0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197.08445731383847</v>
      </c>
      <c r="FK103" s="62">
        <f t="shared" si="102"/>
        <v>157.12482557016511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813.3989415432759</v>
      </c>
      <c r="S104" s="62">
        <f ca="1">AVERAGE(OFFSET($R$3,0,0,'Données projet'!$E$9+1,1))-AVERAGE(OFFSET($H$3,0,0,'Données projet'!$E$9+1,1))</f>
        <v>428.8489304403459</v>
      </c>
      <c r="T104" s="62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2">
        <f t="shared" si="59"/>
        <v>874.66185471348285</v>
      </c>
      <c r="AN104" s="62">
        <f ca="1">AVERAGE(OFFSET($AM$3,0,0,'Données projet'!$E$10+1,1))-AVERAGE(OFFSET($H$3,0,0,'Données projet'!$E$10+1,1))</f>
        <v>475.47920969424894</v>
      </c>
      <c r="AO104" s="62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5.6546153846153828</v>
      </c>
      <c r="BD104" s="13">
        <f>IF('Données projet'!$A$88&gt;35,BD103+BC104-BL103,IF(A104&lt;'Données projet'!$A$88,$BA$205^A104,IF(A104='Données projet'!$A$88,'Données projet'!$B$88,BD103+BC104-BL103)))</f>
        <v>210.85538461538482</v>
      </c>
      <c r="BE104" s="14">
        <f>BD104*VLOOKUP('Données projet'!$B$11,Paramètres!$A$1:$I$89,3,0)*VLOOKUP('Données projet'!$B$11,Paramètres!$A$1:$I$89,5,0)</f>
        <v>98.680320000000094</v>
      </c>
      <c r="BF104" s="14">
        <f t="shared" si="91"/>
        <v>26.647359319385718</v>
      </c>
      <c r="BG104" s="22">
        <f t="shared" si="61"/>
        <v>218.27904148126359</v>
      </c>
      <c r="BH104" s="62">
        <f t="shared" si="62"/>
        <v>511.61237481459693</v>
      </c>
      <c r="BI104" s="62">
        <f ca="1">AVERAGE(OFFSET($BH$3,0,0,'Données projet'!$E$11+1,1))-AVERAGE(OFFSET($H$3,0,0,'Données projet'!$E$11+1,1))</f>
        <v>246.73711856758143</v>
      </c>
      <c r="BJ104" s="62">
        <f t="shared" si="92"/>
        <v>145.54897745089966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6.3550942286383367E-14</v>
      </c>
      <c r="CA104" s="14">
        <f t="shared" si="93"/>
        <v>1.0064464192543978E-12</v>
      </c>
      <c r="CB104" s="22">
        <f t="shared" si="64"/>
        <v>1.8635787380168604E-12</v>
      </c>
      <c r="CC104" s="62">
        <f t="shared" si="65"/>
        <v>293.33333333333519</v>
      </c>
      <c r="CD104" s="62">
        <f ca="1">AVERAGE(OFFSET($CC$3,0,0,'Données projet'!$E$12+1,1))-AVERAGE(OFFSET($H$3,0,0,'Données projet'!$E$12+1,1))</f>
        <v>321.13335003345236</v>
      </c>
      <c r="CE104" s="62">
        <f t="shared" si="94"/>
        <v>301.26825075712128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2.8795630665025849</v>
      </c>
      <c r="CM104" s="23">
        <f>EXP(-LN(2)/2)*CM103+(1-EXP(-LN(2)/2))/(LN(2)/2)*CG104*CJ104*VLOOKUP('Données projet'!$B$12,Paramètres!$A$1:$I$89,3,0)*0.475*44/12</f>
        <v>2.0293834469396886E-10</v>
      </c>
      <c r="CN104" s="24">
        <f t="shared" si="66"/>
        <v>2.8795630667055234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6.7984728957526396E-14</v>
      </c>
      <c r="CV104" s="14">
        <f t="shared" si="95"/>
        <v>1.0682447123141398E-12</v>
      </c>
      <c r="CW104" s="22">
        <f t="shared" si="67"/>
        <v>1.978932943548152E-12</v>
      </c>
      <c r="CX104" s="62">
        <f t="shared" si="68"/>
        <v>293.3333333333353</v>
      </c>
      <c r="CY104" s="62">
        <f ca="1">AVERAGE(OFFSET($CX$3,0,0,'Données projet'!$E$13+1,1))-AVERAGE(OFFSET($H$3,0,0,'Données projet'!$E$13+1,1))</f>
        <v>260.02504691866199</v>
      </c>
      <c r="CZ104" s="62">
        <f t="shared" si="96"/>
        <v>270.11268336406368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2.4530119053544253</v>
      </c>
      <c r="DG104" s="23">
        <f>EXP(-LN(2)/25)*DG103+(1-EXP(-LN(2)/25))/(LN(2)/25)*Calculateur!DB104*Calculateur!DD104*VLOOKUP('Données projet'!$B$13,Paramètres!$A$1:$I$89,3,0)*0.475*44/12</f>
        <v>2.2954716546619411</v>
      </c>
      <c r="DH104" s="23">
        <f>EXP(-LN(2)/2)*DH103+(1-EXP(-LN(2)/2))/(LN(2)/2)*DB104*DE104*VLOOKUP('Données projet'!$B$13,Paramètres!$A$1:$I$89,3,0)*0.475*44/12</f>
        <v>1.3047332693009603E-10</v>
      </c>
      <c r="DI104" s="24">
        <f t="shared" si="69"/>
        <v>4.7484835601468394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-1.7053025658242404E-13</v>
      </c>
      <c r="DP104" s="18">
        <f>DO104*VLOOKUP('Données projet'!$B$14,Paramètres!$A$1:$I$89,3,0)*VLOOKUP('Données projet'!$B$14,Paramètres!$A$1:$I$89,5,0)</f>
        <v>-1.3567387213697657E-13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312.53381881960331</v>
      </c>
      <c r="DU104" s="62">
        <f t="shared" si="98"/>
        <v>342.06887933351783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2.8</v>
      </c>
      <c r="EJ104" s="13">
        <f>IF('Données projet'!$A$192&gt;35,EJ103+EI104-ER103,IF(A104&lt;'Données projet'!$A$192,$EG$205^A104,IF(A104='Données projet'!$A$192,'Données projet'!$B$192,EJ103+EI104-ER103)))</f>
        <v>172.8</v>
      </c>
      <c r="EK104" s="18">
        <f>EJ104*VLOOKUP('Données projet'!$B$15,Paramètres!$A$1:$I$89,3,0)*VLOOKUP('Données projet'!$B$15,Paramètres!$A$1:$I$89,5,0)</f>
        <v>167.13216000000003</v>
      </c>
      <c r="EL104" s="14">
        <f t="shared" si="99"/>
        <v>42.447088211746923</v>
      </c>
      <c r="EM104" s="22">
        <f t="shared" si="73"/>
        <v>365.01719063545926</v>
      </c>
      <c r="EN104" s="62">
        <f t="shared" si="74"/>
        <v>658.35052396879257</v>
      </c>
      <c r="EO104" s="62">
        <f ca="1">AVERAGE(OFFSET($EN$3,0,0,'Données projet'!$E$15+1,1))-AVERAGE(OFFSET($H$3,0,0,'Données projet'!$E$15+1,1))</f>
        <v>255.59755832175625</v>
      </c>
      <c r="EP104" s="62">
        <f t="shared" si="100"/>
        <v>154.0840647586964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>
        <f>FE104*VLOOKUP('Données projet'!$B$16,Paramètres!$A$1:$I$89,3,0)*VLOOKUP('Données projet'!$B$16,Paramètres!$A$1:$I$89,5,0)</f>
        <v>0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197.08445731383847</v>
      </c>
      <c r="FK104" s="62">
        <f t="shared" si="102"/>
        <v>157.12482557016511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821.82303552922986</v>
      </c>
      <c r="S105" s="62">
        <f ca="1">AVERAGE(OFFSET($R$3,0,0,'Données projet'!$E$9+1,1))-AVERAGE(OFFSET($H$3,0,0,'Données projet'!$E$9+1,1))</f>
        <v>428.8489304403459</v>
      </c>
      <c r="T105" s="62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2">
        <f t="shared" si="59"/>
        <v>884.08064423326846</v>
      </c>
      <c r="AN105" s="62">
        <f ca="1">AVERAGE(OFFSET($AM$3,0,0,'Données projet'!$E$10+1,1))-AVERAGE(OFFSET($H$3,0,0,'Données projet'!$E$10+1,1))</f>
        <v>475.47920969424894</v>
      </c>
      <c r="AO105" s="62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5.6546153846153828</v>
      </c>
      <c r="BD105" s="13">
        <f>IF('Données projet'!$A$88&gt;35,BD104+BC105-BL104,IF(A105&lt;'Données projet'!$A$88,$BA$205^A105,IF(A105='Données projet'!$A$88,'Données projet'!$B$88,BD104+BC105-BL104)))</f>
        <v>216.51000000000022</v>
      </c>
      <c r="BE105" s="14">
        <f>BD105*VLOOKUP('Données projet'!$B$11,Paramètres!$A$1:$I$89,3,0)*VLOOKUP('Données projet'!$B$11,Paramètres!$A$1:$I$89,5,0)</f>
        <v>101.3266800000001</v>
      </c>
      <c r="BF105" s="14">
        <f t="shared" si="91"/>
        <v>27.277817919146408</v>
      </c>
      <c r="BG105" s="22">
        <f t="shared" si="61"/>
        <v>223.98616720918014</v>
      </c>
      <c r="BH105" s="62">
        <f t="shared" si="62"/>
        <v>517.31950054251342</v>
      </c>
      <c r="BI105" s="62">
        <f ca="1">AVERAGE(OFFSET($BH$3,0,0,'Données projet'!$E$11+1,1))-AVERAGE(OFFSET($H$3,0,0,'Données projet'!$E$11+1,1))</f>
        <v>246.73711856758143</v>
      </c>
      <c r="BJ105" s="62">
        <f t="shared" si="92"/>
        <v>145.54897745089966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6.3550942286383367E-14</v>
      </c>
      <c r="CA105" s="14">
        <f t="shared" si="93"/>
        <v>1.0064464192543978E-12</v>
      </c>
      <c r="CB105" s="22">
        <f t="shared" si="64"/>
        <v>1.8635787380168604E-12</v>
      </c>
      <c r="CC105" s="62">
        <f t="shared" si="65"/>
        <v>293.33333333333519</v>
      </c>
      <c r="CD105" s="62">
        <f ca="1">AVERAGE(OFFSET($CC$3,0,0,'Données projet'!$E$12+1,1))-AVERAGE(OFFSET($H$3,0,0,'Données projet'!$E$12+1,1))</f>
        <v>321.13335003345236</v>
      </c>
      <c r="CE105" s="62">
        <f t="shared" si="94"/>
        <v>301.26825075712128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2.8008212630194311</v>
      </c>
      <c r="CM105" s="23">
        <f>EXP(-LN(2)/2)*CM104+(1-EXP(-LN(2)/2))/(LN(2)/2)*CG105*CJ105*VLOOKUP('Données projet'!$B$12,Paramètres!$A$1:$I$89,3,0)*0.475*44/12</f>
        <v>1.434990796958784E-10</v>
      </c>
      <c r="CN105" s="24">
        <f t="shared" si="66"/>
        <v>2.8008212631629301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6.7984728957526396E-14</v>
      </c>
      <c r="CV105" s="14">
        <f t="shared" si="95"/>
        <v>1.0682447123141398E-12</v>
      </c>
      <c r="CW105" s="22">
        <f t="shared" si="67"/>
        <v>1.978932943548152E-12</v>
      </c>
      <c r="CX105" s="62">
        <f t="shared" si="68"/>
        <v>293.3333333333353</v>
      </c>
      <c r="CY105" s="62">
        <f ca="1">AVERAGE(OFFSET($CX$3,0,0,'Données projet'!$E$13+1,1))-AVERAGE(OFFSET($H$3,0,0,'Données projet'!$E$13+1,1))</f>
        <v>260.02504691866199</v>
      </c>
      <c r="CZ105" s="62">
        <f t="shared" si="96"/>
        <v>270.11268336406368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2.4049098380799507</v>
      </c>
      <c r="DG105" s="23">
        <f>EXP(-LN(2)/25)*DG104+(1-EXP(-LN(2)/25))/(LN(2)/25)*Calculateur!DB105*Calculateur!DD105*VLOOKUP('Données projet'!$B$13,Paramètres!$A$1:$I$89,3,0)*0.475*44/12</f>
        <v>2.2327018615516026</v>
      </c>
      <c r="DH105" s="23">
        <f>EXP(-LN(2)/2)*DH104+(1-EXP(-LN(2)/2))/(LN(2)/2)*DB105*DE105*VLOOKUP('Données projet'!$B$13,Paramètres!$A$1:$I$89,3,0)*0.475*44/12</f>
        <v>9.2258574236240292E-11</v>
      </c>
      <c r="DI105" s="24">
        <f t="shared" si="69"/>
        <v>4.6376116997238119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-1.7053025658242404E-13</v>
      </c>
      <c r="DP105" s="18">
        <f>DO105*VLOOKUP('Données projet'!$B$14,Paramètres!$A$1:$I$89,3,0)*VLOOKUP('Données projet'!$B$14,Paramètres!$A$1:$I$89,5,0)</f>
        <v>-1.3567387213697657E-13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312.53381881960331</v>
      </c>
      <c r="DU105" s="62">
        <f t="shared" si="98"/>
        <v>342.06887933351783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2.8</v>
      </c>
      <c r="EJ105" s="13">
        <f>IF('Données projet'!$A$192&gt;35,EJ104+EI105-ER104,IF(A105&lt;'Données projet'!$A$192,$EG$205^A105,IF(A105='Données projet'!$A$192,'Données projet'!$B$192,EJ104+EI105-ER104)))</f>
        <v>175.60000000000002</v>
      </c>
      <c r="EK105" s="18">
        <f>EJ105*VLOOKUP('Données projet'!$B$15,Paramètres!$A$1:$I$89,3,0)*VLOOKUP('Données projet'!$B$15,Paramètres!$A$1:$I$89,5,0)</f>
        <v>169.84032000000002</v>
      </c>
      <c r="EL105" s="14">
        <f t="shared" si="99"/>
        <v>43.054258621433533</v>
      </c>
      <c r="EM105" s="22">
        <f t="shared" si="73"/>
        <v>370.79139109899671</v>
      </c>
      <c r="EN105" s="62">
        <f t="shared" si="74"/>
        <v>664.12472443233003</v>
      </c>
      <c r="EO105" s="62">
        <f ca="1">AVERAGE(OFFSET($EN$3,0,0,'Données projet'!$E$15+1,1))-AVERAGE(OFFSET($H$3,0,0,'Données projet'!$E$15+1,1))</f>
        <v>255.59755832175625</v>
      </c>
      <c r="EP105" s="62">
        <f t="shared" si="100"/>
        <v>154.0840647586964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>
        <f>FE105*VLOOKUP('Données projet'!$B$16,Paramètres!$A$1:$I$89,3,0)*VLOOKUP('Données projet'!$B$16,Paramètres!$A$1:$I$89,5,0)</f>
        <v>0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197.08445731383847</v>
      </c>
      <c r="FK105" s="62">
        <f t="shared" si="102"/>
        <v>157.12482557016511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830.24430301815983</v>
      </c>
      <c r="S106" s="62">
        <f ca="1">AVERAGE(OFFSET($R$3,0,0,'Données projet'!$E$9+1,1))-AVERAGE(OFFSET($H$3,0,0,'Données projet'!$E$9+1,1))</f>
        <v>428.8489304403459</v>
      </c>
      <c r="T106" s="62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2">
        <f t="shared" si="59"/>
        <v>893.49630786227453</v>
      </c>
      <c r="AN106" s="62">
        <f ca="1">AVERAGE(OFFSET($AM$3,0,0,'Données projet'!$E$10+1,1))-AVERAGE(OFFSET($H$3,0,0,'Données projet'!$E$10+1,1))</f>
        <v>475.47920969424894</v>
      </c>
      <c r="AO106" s="62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5.6546153846153828</v>
      </c>
      <c r="BD106" s="13">
        <f>IF('Données projet'!$A$88&gt;35,BD105+BC106-BL105,IF(A106&lt;'Données projet'!$A$88,$BA$205^A106,IF(A106='Données projet'!$A$88,'Données projet'!$B$88,BD105+BC106-BL105)))</f>
        <v>222.16461538461562</v>
      </c>
      <c r="BE106" s="14">
        <f>BD106*VLOOKUP('Données projet'!$B$11,Paramètres!$A$1:$I$89,3,0)*VLOOKUP('Données projet'!$B$11,Paramètres!$A$1:$I$89,5,0)</f>
        <v>103.9730400000001</v>
      </c>
      <c r="BF106" s="14">
        <f t="shared" si="91"/>
        <v>27.906362585271854</v>
      </c>
      <c r="BG106" s="22">
        <f t="shared" si="61"/>
        <v>229.68995950268194</v>
      </c>
      <c r="BH106" s="62">
        <f t="shared" si="62"/>
        <v>523.02329283601523</v>
      </c>
      <c r="BI106" s="62">
        <f ca="1">AVERAGE(OFFSET($BH$3,0,0,'Données projet'!$E$11+1,1))-AVERAGE(OFFSET($H$3,0,0,'Données projet'!$E$11+1,1))</f>
        <v>246.73711856758143</v>
      </c>
      <c r="BJ106" s="62">
        <f t="shared" si="92"/>
        <v>145.54897745089966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6.3550942286383367E-14</v>
      </c>
      <c r="CA106" s="14">
        <f t="shared" si="93"/>
        <v>1.0064464192543978E-12</v>
      </c>
      <c r="CB106" s="22">
        <f t="shared" si="64"/>
        <v>1.8635787380168604E-12</v>
      </c>
      <c r="CC106" s="62">
        <f t="shared" si="65"/>
        <v>293.33333333333519</v>
      </c>
      <c r="CD106" s="62">
        <f ca="1">AVERAGE(OFFSET($CC$3,0,0,'Données projet'!$E$12+1,1))-AVERAGE(OFFSET($H$3,0,0,'Données projet'!$E$12+1,1))</f>
        <v>321.13335003345236</v>
      </c>
      <c r="CE106" s="62">
        <f t="shared" si="94"/>
        <v>301.26825075712128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2.724232658293376</v>
      </c>
      <c r="CM106" s="23">
        <f>EXP(-LN(2)/2)*CM105+(1-EXP(-LN(2)/2))/(LN(2)/2)*CG106*CJ106*VLOOKUP('Données projet'!$B$12,Paramètres!$A$1:$I$89,3,0)*0.475*44/12</f>
        <v>1.0146917234698443E-10</v>
      </c>
      <c r="CN106" s="24">
        <f t="shared" si="66"/>
        <v>2.7242326583948451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6.7984728957526396E-14</v>
      </c>
      <c r="CV106" s="14">
        <f t="shared" si="95"/>
        <v>1.0682447123141398E-12</v>
      </c>
      <c r="CW106" s="22">
        <f t="shared" si="67"/>
        <v>1.978932943548152E-12</v>
      </c>
      <c r="CX106" s="62">
        <f t="shared" si="68"/>
        <v>293.3333333333353</v>
      </c>
      <c r="CY106" s="62">
        <f ca="1">AVERAGE(OFFSET($CX$3,0,0,'Données projet'!$E$13+1,1))-AVERAGE(OFFSET($H$3,0,0,'Données projet'!$E$13+1,1))</f>
        <v>260.02504691866199</v>
      </c>
      <c r="CZ106" s="62">
        <f t="shared" si="96"/>
        <v>270.11268336406368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2.3577510230053647</v>
      </c>
      <c r="DG106" s="23">
        <f>EXP(-LN(2)/25)*DG105+(1-EXP(-LN(2)/25))/(LN(2)/25)*Calculateur!DB106*Calculateur!DD106*VLOOKUP('Données projet'!$B$13,Paramètres!$A$1:$I$89,3,0)*0.475*44/12</f>
        <v>2.1716485117347859</v>
      </c>
      <c r="DH106" s="23">
        <f>EXP(-LN(2)/2)*DH105+(1-EXP(-LN(2)/2))/(LN(2)/2)*DB106*DE106*VLOOKUP('Données projet'!$B$13,Paramètres!$A$1:$I$89,3,0)*0.475*44/12</f>
        <v>6.5236663465048015E-11</v>
      </c>
      <c r="DI106" s="24">
        <f t="shared" si="69"/>
        <v>4.5293995348053873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-1.7053025658242404E-13</v>
      </c>
      <c r="DP106" s="18">
        <f>DO106*VLOOKUP('Données projet'!$B$14,Paramètres!$A$1:$I$89,3,0)*VLOOKUP('Données projet'!$B$14,Paramètres!$A$1:$I$89,5,0)</f>
        <v>-1.3567387213697657E-13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312.53381881960331</v>
      </c>
      <c r="DU106" s="62">
        <f t="shared" si="98"/>
        <v>342.06887933351783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2.8</v>
      </c>
      <c r="EJ106" s="13">
        <f>IF('Données projet'!$A$192&gt;35,EJ105+EI106-ER105,IF(A106&lt;'Données projet'!$A$192,$EG$205^A106,IF(A106='Données projet'!$A$192,'Données projet'!$B$192,EJ105+EI106-ER105)))</f>
        <v>178.40000000000003</v>
      </c>
      <c r="EK106" s="18">
        <f>EJ106*VLOOKUP('Données projet'!$B$15,Paramètres!$A$1:$I$89,3,0)*VLOOKUP('Données projet'!$B$15,Paramètres!$A$1:$I$89,5,0)</f>
        <v>172.54848000000004</v>
      </c>
      <c r="EL106" s="14">
        <f t="shared" si="99"/>
        <v>43.6603030954305</v>
      </c>
      <c r="EM106" s="22">
        <f t="shared" si="73"/>
        <v>376.56363055787483</v>
      </c>
      <c r="EN106" s="62">
        <f t="shared" si="74"/>
        <v>669.89696389120809</v>
      </c>
      <c r="EO106" s="62">
        <f ca="1">AVERAGE(OFFSET($EN$3,0,0,'Données projet'!$E$15+1,1))-AVERAGE(OFFSET($H$3,0,0,'Données projet'!$E$15+1,1))</f>
        <v>255.59755832175625</v>
      </c>
      <c r="EP106" s="62">
        <f t="shared" si="100"/>
        <v>154.0840647586964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>
        <f>FE106*VLOOKUP('Données projet'!$B$16,Paramètres!$A$1:$I$89,3,0)*VLOOKUP('Données projet'!$B$16,Paramètres!$A$1:$I$89,5,0)</f>
        <v>0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197.08445731383847</v>
      </c>
      <c r="FK106" s="62">
        <f t="shared" si="102"/>
        <v>157.12482557016511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838.6627946025028</v>
      </c>
      <c r="S107" s="62">
        <f ca="1">AVERAGE(OFFSET($R$3,0,0,'Données projet'!$E$9+1,1))-AVERAGE(OFFSET($H$3,0,0,'Données projet'!$E$9+1,1))</f>
        <v>428.8489304403459</v>
      </c>
      <c r="T107" s="62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2">
        <f t="shared" si="59"/>
        <v>902.90890155189049</v>
      </c>
      <c r="AN107" s="62">
        <f ca="1">AVERAGE(OFFSET($AM$3,0,0,'Données projet'!$E$10+1,1))-AVERAGE(OFFSET($H$3,0,0,'Données projet'!$E$10+1,1))</f>
        <v>475.47920969424894</v>
      </c>
      <c r="AO107" s="62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5.6546153846153828</v>
      </c>
      <c r="BD107" s="13">
        <f>IF('Données projet'!$A$88&gt;35,BD106+BC107-BL106,IF(A107&lt;'Données projet'!$A$88,$BA$205^A107,IF(A107='Données projet'!$A$88,'Données projet'!$B$88,BD106+BC107-BL106)))</f>
        <v>227.81923076923101</v>
      </c>
      <c r="BE107" s="14">
        <f>BD107*VLOOKUP('Données projet'!$B$11,Paramètres!$A$1:$I$89,3,0)*VLOOKUP('Données projet'!$B$11,Paramètres!$A$1:$I$89,5,0)</f>
        <v>106.61940000000013</v>
      </c>
      <c r="BF107" s="14">
        <f t="shared" si="91"/>
        <v>28.533047633614807</v>
      </c>
      <c r="BG107" s="22">
        <f t="shared" si="61"/>
        <v>235.39051296187935</v>
      </c>
      <c r="BH107" s="62">
        <f t="shared" si="62"/>
        <v>528.72384629521264</v>
      </c>
      <c r="BI107" s="62">
        <f ca="1">AVERAGE(OFFSET($BH$3,0,0,'Données projet'!$E$11+1,1))-AVERAGE(OFFSET($H$3,0,0,'Données projet'!$E$11+1,1))</f>
        <v>246.73711856758143</v>
      </c>
      <c r="BJ107" s="62">
        <f t="shared" si="92"/>
        <v>145.54897745089966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6.3550942286383367E-14</v>
      </c>
      <c r="CA107" s="14">
        <f t="shared" si="93"/>
        <v>1.0064464192543978E-12</v>
      </c>
      <c r="CB107" s="22">
        <f t="shared" si="64"/>
        <v>1.8635787380168604E-12</v>
      </c>
      <c r="CC107" s="62">
        <f t="shared" si="65"/>
        <v>293.33333333333519</v>
      </c>
      <c r="CD107" s="62">
        <f ca="1">AVERAGE(OFFSET($CC$3,0,0,'Données projet'!$E$12+1,1))-AVERAGE(OFFSET($H$3,0,0,'Données projet'!$E$12+1,1))</f>
        <v>321.13335003345236</v>
      </c>
      <c r="CE107" s="62">
        <f t="shared" si="94"/>
        <v>301.26825075712128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2.6497383729911745</v>
      </c>
      <c r="CM107" s="23">
        <f>EXP(-LN(2)/2)*CM106+(1-EXP(-LN(2)/2))/(LN(2)/2)*CG107*CJ107*VLOOKUP('Données projet'!$B$12,Paramètres!$A$1:$I$89,3,0)*0.475*44/12</f>
        <v>7.1749539847939198E-11</v>
      </c>
      <c r="CN107" s="24">
        <f t="shared" si="66"/>
        <v>2.6497383730629243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6.7984728957526396E-14</v>
      </c>
      <c r="CV107" s="14">
        <f t="shared" si="95"/>
        <v>1.0682447123141398E-12</v>
      </c>
      <c r="CW107" s="22">
        <f t="shared" si="67"/>
        <v>1.978932943548152E-12</v>
      </c>
      <c r="CX107" s="62">
        <f t="shared" si="68"/>
        <v>293.3333333333353</v>
      </c>
      <c r="CY107" s="62">
        <f ca="1">AVERAGE(OFFSET($CX$3,0,0,'Données projet'!$E$13+1,1))-AVERAGE(OFFSET($H$3,0,0,'Données projet'!$E$13+1,1))</f>
        <v>260.02504691866199</v>
      </c>
      <c r="CZ107" s="62">
        <f t="shared" si="96"/>
        <v>270.11268336406368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2.3115169635303543</v>
      </c>
      <c r="DG107" s="23">
        <f>EXP(-LN(2)/25)*DG106+(1-EXP(-LN(2)/25))/(LN(2)/25)*Calculateur!DB107*Calculateur!DD107*VLOOKUP('Données projet'!$B$13,Paramètres!$A$1:$I$89,3,0)*0.475*44/12</f>
        <v>2.1122646689793663</v>
      </c>
      <c r="DH107" s="23">
        <f>EXP(-LN(2)/2)*DH106+(1-EXP(-LN(2)/2))/(LN(2)/2)*DB107*DE107*VLOOKUP('Données projet'!$B$13,Paramètres!$A$1:$I$89,3,0)*0.475*44/12</f>
        <v>4.6129287118120146E-11</v>
      </c>
      <c r="DI107" s="24">
        <f t="shared" si="69"/>
        <v>4.4237816325558503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-1.7053025658242404E-13</v>
      </c>
      <c r="DP107" s="18">
        <f>DO107*VLOOKUP('Données projet'!$B$14,Paramètres!$A$1:$I$89,3,0)*VLOOKUP('Données projet'!$B$14,Paramètres!$A$1:$I$89,5,0)</f>
        <v>-1.3567387213697657E-13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312.53381881960331</v>
      </c>
      <c r="DU107" s="62">
        <f t="shared" si="98"/>
        <v>342.06887933351783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2.8</v>
      </c>
      <c r="EJ107" s="13">
        <f>IF('Données projet'!$A$192&gt;35,EJ106+EI107-ER106,IF(A107&lt;'Données projet'!$A$192,$EG$205^A107,IF(A107='Données projet'!$A$192,'Données projet'!$B$192,EJ106+EI107-ER106)))</f>
        <v>181.20000000000005</v>
      </c>
      <c r="EK107" s="18">
        <f>EJ107*VLOOKUP('Données projet'!$B$15,Paramètres!$A$1:$I$89,3,0)*VLOOKUP('Données projet'!$B$15,Paramètres!$A$1:$I$89,5,0)</f>
        <v>175.25664000000003</v>
      </c>
      <c r="EL107" s="14">
        <f t="shared" si="99"/>
        <v>44.265241345972555</v>
      </c>
      <c r="EM107" s="22">
        <f t="shared" si="73"/>
        <v>382.33394334423559</v>
      </c>
      <c r="EN107" s="62">
        <f t="shared" si="74"/>
        <v>675.66727667756891</v>
      </c>
      <c r="EO107" s="62">
        <f ca="1">AVERAGE(OFFSET($EN$3,0,0,'Données projet'!$E$15+1,1))-AVERAGE(OFFSET($H$3,0,0,'Données projet'!$E$15+1,1))</f>
        <v>255.59755832175625</v>
      </c>
      <c r="EP107" s="62">
        <f t="shared" si="100"/>
        <v>154.0840647586964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>
        <f>FE107*VLOOKUP('Données projet'!$B$16,Paramètres!$A$1:$I$89,3,0)*VLOOKUP('Données projet'!$B$16,Paramètres!$A$1:$I$89,5,0)</f>
        <v>0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197.08445731383847</v>
      </c>
      <c r="FK107" s="62">
        <f t="shared" si="102"/>
        <v>157.12482557016511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847.07855918499604</v>
      </c>
      <c r="S108" s="62">
        <f ca="1">AVERAGE(OFFSET($R$3,0,0,'Données projet'!$E$9+1,1))-AVERAGE(OFFSET($H$3,0,0,'Données projet'!$E$9+1,1))</f>
        <v>428.8489304403459</v>
      </c>
      <c r="T108" s="62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2">
        <f t="shared" si="59"/>
        <v>912.31847938482474</v>
      </c>
      <c r="AN108" s="62">
        <f ca="1">AVERAGE(OFFSET($AM$3,0,0,'Données projet'!$E$10+1,1))-AVERAGE(OFFSET($H$3,0,0,'Données projet'!$E$10+1,1))</f>
        <v>475.47920969424894</v>
      </c>
      <c r="AO108" s="62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5.6546153846153828</v>
      </c>
      <c r="BD108" s="13">
        <f>IF('Données projet'!$A$88&gt;35,BD107+BC108-BL107,IF(A108&lt;'Données projet'!$A$88,$BA$205^A108,IF(A108='Données projet'!$A$88,'Données projet'!$B$88,BD107+BC108-BL107)))</f>
        <v>233.47384615384641</v>
      </c>
      <c r="BE108" s="14">
        <f>BD108*VLOOKUP('Données projet'!$B$11,Paramètres!$A$1:$I$89,3,0)*VLOOKUP('Données projet'!$B$11,Paramètres!$A$1:$I$89,5,0)</f>
        <v>109.26576000000013</v>
      </c>
      <c r="BF108" s="14">
        <f t="shared" si="91"/>
        <v>29.157924530031956</v>
      </c>
      <c r="BG108" s="22">
        <f t="shared" si="61"/>
        <v>241.08791722313921</v>
      </c>
      <c r="BH108" s="62">
        <f t="shared" si="62"/>
        <v>534.4212505564725</v>
      </c>
      <c r="BI108" s="62">
        <f ca="1">AVERAGE(OFFSET($BH$3,0,0,'Données projet'!$E$11+1,1))-AVERAGE(OFFSET($H$3,0,0,'Données projet'!$E$11+1,1))</f>
        <v>246.73711856758143</v>
      </c>
      <c r="BJ108" s="62">
        <f t="shared" si="92"/>
        <v>145.54897745089966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6.3550942286383367E-14</v>
      </c>
      <c r="CA108" s="14">
        <f t="shared" si="93"/>
        <v>1.0064464192543978E-12</v>
      </c>
      <c r="CB108" s="22">
        <f t="shared" si="64"/>
        <v>1.8635787380168604E-12</v>
      </c>
      <c r="CC108" s="62">
        <f t="shared" si="65"/>
        <v>293.33333333333519</v>
      </c>
      <c r="CD108" s="62">
        <f ca="1">AVERAGE(OFFSET($CC$3,0,0,'Données projet'!$E$12+1,1))-AVERAGE(OFFSET($H$3,0,0,'Données projet'!$E$12+1,1))</f>
        <v>321.13335003345236</v>
      </c>
      <c r="CE108" s="62">
        <f t="shared" si="94"/>
        <v>301.26825075712128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2.577281137838046</v>
      </c>
      <c r="CM108" s="23">
        <f>EXP(-LN(2)/2)*CM107+(1-EXP(-LN(2)/2))/(LN(2)/2)*CG108*CJ108*VLOOKUP('Données projet'!$B$12,Paramètres!$A$1:$I$89,3,0)*0.475*44/12</f>
        <v>5.0734586173492215E-11</v>
      </c>
      <c r="CN108" s="24">
        <f t="shared" si="66"/>
        <v>2.5772811378887805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6.7984728957526396E-14</v>
      </c>
      <c r="CV108" s="14">
        <f t="shared" si="95"/>
        <v>1.0682447123141398E-12</v>
      </c>
      <c r="CW108" s="22">
        <f t="shared" si="67"/>
        <v>1.978932943548152E-12</v>
      </c>
      <c r="CX108" s="62">
        <f t="shared" si="68"/>
        <v>293.3333333333353</v>
      </c>
      <c r="CY108" s="62">
        <f ca="1">AVERAGE(OFFSET($CX$3,0,0,'Données projet'!$E$13+1,1))-AVERAGE(OFFSET($H$3,0,0,'Données projet'!$E$13+1,1))</f>
        <v>260.02504691866199</v>
      </c>
      <c r="CZ108" s="62">
        <f t="shared" si="96"/>
        <v>270.11268336406368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2.2661895257616571</v>
      </c>
      <c r="DG108" s="23">
        <f>EXP(-LN(2)/25)*DG107+(1-EXP(-LN(2)/25))/(LN(2)/25)*Calculateur!DB108*Calculateur!DD108*VLOOKUP('Données projet'!$B$13,Paramètres!$A$1:$I$89,3,0)*0.475*44/12</f>
        <v>2.054504680526954</v>
      </c>
      <c r="DH108" s="23">
        <f>EXP(-LN(2)/2)*DH107+(1-EXP(-LN(2)/2))/(LN(2)/2)*DB108*DE108*VLOOKUP('Données projet'!$B$13,Paramètres!$A$1:$I$89,3,0)*0.475*44/12</f>
        <v>3.2618331732524008E-11</v>
      </c>
      <c r="DI108" s="24">
        <f t="shared" si="69"/>
        <v>4.320694206321229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-1.7053025658242404E-13</v>
      </c>
      <c r="DP108" s="18">
        <f>DO108*VLOOKUP('Données projet'!$B$14,Paramètres!$A$1:$I$89,3,0)*VLOOKUP('Données projet'!$B$14,Paramètres!$A$1:$I$89,5,0)</f>
        <v>-1.3567387213697657E-13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312.53381881960331</v>
      </c>
      <c r="DU108" s="62">
        <f t="shared" si="98"/>
        <v>342.06887933351783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184</v>
      </c>
      <c r="EH108" s="13">
        <f>VLOOKUP(A108,'Données projet'!$A$191:$I$211,9,0)</f>
        <v>2.8</v>
      </c>
      <c r="EI108" s="13">
        <f t="array" ref="EI108">INDEX(EH:EH,MIN(IF(ISNUMBER(EH108:EH304),ROW(EH108:EH304),"")))</f>
        <v>2.8</v>
      </c>
      <c r="EJ108" s="13">
        <f>IF('Données projet'!$A$192&gt;35,EJ107+EI108-ER107,IF(A108&lt;'Données projet'!$A$192,$EG$205^A108,IF(A108='Données projet'!$A$192,'Données projet'!$B$192,EJ107+EI108-ER107)))</f>
        <v>184.00000000000006</v>
      </c>
      <c r="EK108" s="18">
        <f>EJ108*VLOOKUP('Données projet'!$B$15,Paramètres!$A$1:$I$89,3,0)*VLOOKUP('Données projet'!$B$15,Paramètres!$A$1:$I$89,5,0)</f>
        <v>177.96480000000008</v>
      </c>
      <c r="EL108" s="14">
        <f t="shared" si="99"/>
        <v>44.869092441133326</v>
      </c>
      <c r="EM108" s="22">
        <f t="shared" si="73"/>
        <v>388.10236266830731</v>
      </c>
      <c r="EN108" s="62">
        <f t="shared" si="74"/>
        <v>681.43569600164062</v>
      </c>
      <c r="EO108" s="62">
        <f ca="1">AVERAGE(OFFSET($EN$3,0,0,'Données projet'!$E$15+1,1))-AVERAGE(OFFSET($H$3,0,0,'Données projet'!$E$15+1,1))</f>
        <v>255.59755832175625</v>
      </c>
      <c r="EP108" s="62">
        <f t="shared" si="100"/>
        <v>154.0840647586964</v>
      </c>
      <c r="EQ108" s="16">
        <f>IF(ISNA(VLOOKUP(A108,'Données projet'!$A$191:$I$211,3,0)),0,VLOOKUP(A108,'Données projet'!$A$191:$I$211,3,0))</f>
        <v>8</v>
      </c>
      <c r="ER108" s="16">
        <f>IF(ISNA(VLOOKUP(A108,'Données projet'!$A$191:$I$211,4,0)),0,VLOOKUP(A108,'Données projet'!$A$191:$I$211,4,0))</f>
        <v>18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>
        <f>FE108*VLOOKUP('Données projet'!$B$16,Paramètres!$A$1:$I$89,3,0)*VLOOKUP('Données projet'!$B$16,Paramètres!$A$1:$I$89,5,0)</f>
        <v>0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197.08445731383847</v>
      </c>
      <c r="FK108" s="62">
        <f t="shared" si="102"/>
        <v>157.12482557016511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855.49164406048612</v>
      </c>
      <c r="S109" s="62">
        <f ca="1">AVERAGE(OFFSET($R$3,0,0,'Données projet'!$E$9+1,1))-AVERAGE(OFFSET($H$3,0,0,'Données projet'!$E$9+1,1))</f>
        <v>428.8489304403459</v>
      </c>
      <c r="T109" s="62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2">
        <f t="shared" si="59"/>
        <v>921.72509366558074</v>
      </c>
      <c r="AN109" s="62">
        <f ca="1">AVERAGE(OFFSET($AM$3,0,0,'Données projet'!$E$10+1,1))-AVERAGE(OFFSET($H$3,0,0,'Données projet'!$E$10+1,1))</f>
        <v>475.47920969424894</v>
      </c>
      <c r="AO109" s="62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5.6546153846153828</v>
      </c>
      <c r="BD109" s="13">
        <f>IF('Données projet'!$A$88&gt;35,BD108+BC109-BL108,IF(A109&lt;'Données projet'!$A$88,$BA$205^A109,IF(A109='Données projet'!$A$88,'Données projet'!$B$88,BD108+BC109-BL108)))</f>
        <v>239.12846153846181</v>
      </c>
      <c r="BE109" s="14">
        <f>BD109*VLOOKUP('Données projet'!$B$11,Paramètres!$A$1:$I$89,3,0)*VLOOKUP('Données projet'!$B$11,Paramètres!$A$1:$I$89,5,0)</f>
        <v>111.91212000000013</v>
      </c>
      <c r="BF109" s="14">
        <f t="shared" si="91"/>
        <v>29.781042105276487</v>
      </c>
      <c r="BG109" s="22">
        <f t="shared" si="61"/>
        <v>246.7822573333568</v>
      </c>
      <c r="BH109" s="62">
        <f t="shared" si="62"/>
        <v>540.11559066669008</v>
      </c>
      <c r="BI109" s="62">
        <f ca="1">AVERAGE(OFFSET($BH$3,0,0,'Données projet'!$E$11+1,1))-AVERAGE(OFFSET($H$3,0,0,'Données projet'!$E$11+1,1))</f>
        <v>246.73711856758143</v>
      </c>
      <c r="BJ109" s="62">
        <f t="shared" si="92"/>
        <v>145.54897745089966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6.3550942286383367E-14</v>
      </c>
      <c r="CA109" s="14">
        <f t="shared" si="93"/>
        <v>1.0064464192543978E-12</v>
      </c>
      <c r="CB109" s="22">
        <f t="shared" si="64"/>
        <v>1.8635787380168604E-12</v>
      </c>
      <c r="CC109" s="62">
        <f t="shared" si="65"/>
        <v>293.33333333333519</v>
      </c>
      <c r="CD109" s="62">
        <f ca="1">AVERAGE(OFFSET($CC$3,0,0,'Données projet'!$E$12+1,1))-AVERAGE(OFFSET($H$3,0,0,'Données projet'!$E$12+1,1))</f>
        <v>321.13335003345236</v>
      </c>
      <c r="CE109" s="62">
        <f t="shared" si="94"/>
        <v>301.26825075712128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2.5068052495905402</v>
      </c>
      <c r="CM109" s="23">
        <f>EXP(-LN(2)/2)*CM108+(1-EXP(-LN(2)/2))/(LN(2)/2)*CG109*CJ109*VLOOKUP('Données projet'!$B$12,Paramètres!$A$1:$I$89,3,0)*0.475*44/12</f>
        <v>3.5874769923969599E-11</v>
      </c>
      <c r="CN109" s="24">
        <f t="shared" si="66"/>
        <v>2.506805249626415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6.7984728957526396E-14</v>
      </c>
      <c r="CV109" s="14">
        <f t="shared" si="95"/>
        <v>1.0682447123141398E-12</v>
      </c>
      <c r="CW109" s="22">
        <f t="shared" si="67"/>
        <v>1.978932943548152E-12</v>
      </c>
      <c r="CX109" s="62">
        <f t="shared" si="68"/>
        <v>293.3333333333353</v>
      </c>
      <c r="CY109" s="62">
        <f ca="1">AVERAGE(OFFSET($CX$3,0,0,'Données projet'!$E$13+1,1))-AVERAGE(OFFSET($H$3,0,0,'Données projet'!$E$13+1,1))</f>
        <v>260.02504691866199</v>
      </c>
      <c r="CZ109" s="62">
        <f t="shared" si="96"/>
        <v>270.11268336406368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2.2217509314005968</v>
      </c>
      <c r="DG109" s="23">
        <f>EXP(-LN(2)/25)*DG108+(1-EXP(-LN(2)/25))/(LN(2)/25)*Calculateur!DB109*Calculateur!DD109*VLOOKUP('Données projet'!$B$13,Paramètres!$A$1:$I$89,3,0)*0.475*44/12</f>
        <v>1.998324141996239</v>
      </c>
      <c r="DH109" s="23">
        <f>EXP(-LN(2)/2)*DH108+(1-EXP(-LN(2)/2))/(LN(2)/2)*DB109*DE109*VLOOKUP('Données projet'!$B$13,Paramètres!$A$1:$I$89,3,0)*0.475*44/12</f>
        <v>2.3064643559060073E-11</v>
      </c>
      <c r="DI109" s="24">
        <f t="shared" si="69"/>
        <v>4.2200750734199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-1.7053025658242404E-13</v>
      </c>
      <c r="DP109" s="18">
        <f>DO109*VLOOKUP('Données projet'!$B$14,Paramètres!$A$1:$I$89,3,0)*VLOOKUP('Données projet'!$B$14,Paramètres!$A$1:$I$89,5,0)</f>
        <v>-1.3567387213697657E-13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312.53381881960331</v>
      </c>
      <c r="DU109" s="62">
        <f t="shared" si="98"/>
        <v>342.06887933351783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</v>
      </c>
      <c r="EJ109" s="13">
        <f>IF('Données projet'!$A$192&gt;35,EJ108+EI109-ER108,IF(A109&lt;'Données projet'!$A$192,$EG$205^A109,IF(A109='Données projet'!$A$192,'Données projet'!$B$192,EJ108+EI109-ER108)))</f>
        <v>169.00000000000006</v>
      </c>
      <c r="EK109" s="18">
        <f>EJ109*VLOOKUP('Données projet'!$B$15,Paramètres!$A$1:$I$89,3,0)*VLOOKUP('Données projet'!$B$15,Paramètres!$A$1:$I$89,5,0)</f>
        <v>163.45680000000004</v>
      </c>
      <c r="EL109" s="14">
        <f t="shared" si="99"/>
        <v>41.621233697261097</v>
      </c>
      <c r="EM109" s="22">
        <f t="shared" si="73"/>
        <v>357.17757535606319</v>
      </c>
      <c r="EN109" s="62">
        <f t="shared" si="74"/>
        <v>650.5109086893965</v>
      </c>
      <c r="EO109" s="62">
        <f ca="1">AVERAGE(OFFSET($EN$3,0,0,'Données projet'!$E$15+1,1))-AVERAGE(OFFSET($H$3,0,0,'Données projet'!$E$15+1,1))</f>
        <v>255.59755832175625</v>
      </c>
      <c r="EP109" s="62">
        <f t="shared" si="100"/>
        <v>154.0840647586964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>
        <f>FE109*VLOOKUP('Données projet'!$B$16,Paramètres!$A$1:$I$89,3,0)*VLOOKUP('Données projet'!$B$16,Paramètres!$A$1:$I$89,5,0)</f>
        <v>0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197.08445731383847</v>
      </c>
      <c r="FK109" s="62">
        <f t="shared" si="102"/>
        <v>157.12482557016511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863.9020949925864</v>
      </c>
      <c r="S110" s="62">
        <f ca="1">AVERAGE(OFFSET($R$3,0,0,'Données projet'!$E$9+1,1))-AVERAGE(OFFSET($H$3,0,0,'Données projet'!$E$9+1,1))</f>
        <v>428.8489304403459</v>
      </c>
      <c r="T110" s="62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2">
        <f t="shared" si="59"/>
        <v>931.12879500523582</v>
      </c>
      <c r="AN110" s="62">
        <f ca="1">AVERAGE(OFFSET($AM$3,0,0,'Données projet'!$E$10+1,1))-AVERAGE(OFFSET($H$3,0,0,'Données projet'!$E$10+1,1))</f>
        <v>475.47920969424894</v>
      </c>
      <c r="AO110" s="62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5.6546153846153828</v>
      </c>
      <c r="BD110" s="13">
        <f>IF('Données projet'!$A$88&gt;35,BD109+BC110-BL109,IF(A110&lt;'Données projet'!$A$88,$BA$205^A110,IF(A110='Données projet'!$A$88,'Données projet'!$B$88,BD109+BC110-BL109)))</f>
        <v>244.7830769230772</v>
      </c>
      <c r="BE110" s="14">
        <f>BD110*VLOOKUP('Données projet'!$B$11,Paramètres!$A$1:$I$89,3,0)*VLOOKUP('Données projet'!$B$11,Paramètres!$A$1:$I$89,5,0)</f>
        <v>114.55848000000013</v>
      </c>
      <c r="BF110" s="14">
        <f t="shared" si="91"/>
        <v>30.402446748991927</v>
      </c>
      <c r="BG110" s="22">
        <f t="shared" si="61"/>
        <v>252.47361408782783</v>
      </c>
      <c r="BH110" s="62">
        <f t="shared" si="62"/>
        <v>545.80694742116111</v>
      </c>
      <c r="BI110" s="62">
        <f ca="1">AVERAGE(OFFSET($BH$3,0,0,'Données projet'!$E$11+1,1))-AVERAGE(OFFSET($H$3,0,0,'Données projet'!$E$11+1,1))</f>
        <v>246.73711856758143</v>
      </c>
      <c r="BJ110" s="62">
        <f t="shared" si="92"/>
        <v>145.54897745089966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6.3550942286383367E-14</v>
      </c>
      <c r="CA110" s="14">
        <f t="shared" si="93"/>
        <v>1.0064464192543978E-12</v>
      </c>
      <c r="CB110" s="22">
        <f t="shared" si="64"/>
        <v>1.8635787380168604E-12</v>
      </c>
      <c r="CC110" s="62">
        <f t="shared" si="65"/>
        <v>293.33333333333519</v>
      </c>
      <c r="CD110" s="62">
        <f ca="1">AVERAGE(OFFSET($CC$3,0,0,'Données projet'!$E$12+1,1))-AVERAGE(OFFSET($H$3,0,0,'Données projet'!$E$12+1,1))</f>
        <v>321.13335003345236</v>
      </c>
      <c r="CE110" s="62">
        <f t="shared" si="94"/>
        <v>301.26825075712128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2.4382565282133282</v>
      </c>
      <c r="CM110" s="23">
        <f>EXP(-LN(2)/2)*CM109+(1-EXP(-LN(2)/2))/(LN(2)/2)*CG110*CJ110*VLOOKUP('Données projet'!$B$12,Paramètres!$A$1:$I$89,3,0)*0.475*44/12</f>
        <v>2.5367293086746108E-11</v>
      </c>
      <c r="CN110" s="24">
        <f t="shared" si="66"/>
        <v>2.4382565282386954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6.7984728957526396E-14</v>
      </c>
      <c r="CV110" s="14">
        <f t="shared" si="95"/>
        <v>1.0682447123141398E-12</v>
      </c>
      <c r="CW110" s="22">
        <f t="shared" si="67"/>
        <v>1.978932943548152E-12</v>
      </c>
      <c r="CX110" s="62">
        <f t="shared" si="68"/>
        <v>293.3333333333353</v>
      </c>
      <c r="CY110" s="62">
        <f ca="1">AVERAGE(OFFSET($CX$3,0,0,'Données projet'!$E$13+1,1))-AVERAGE(OFFSET($H$3,0,0,'Données projet'!$E$13+1,1))</f>
        <v>260.02504691866199</v>
      </c>
      <c r="CZ110" s="62">
        <f t="shared" si="96"/>
        <v>270.11268336406368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2.1781837507700907</v>
      </c>
      <c r="DG110" s="23">
        <f>EXP(-LN(2)/25)*DG109+(1-EXP(-LN(2)/25))/(LN(2)/25)*Calculateur!DB110*Calculateur!DD110*VLOOKUP('Données projet'!$B$13,Paramètres!$A$1:$I$89,3,0)*0.475*44/12</f>
        <v>1.9436798632460524</v>
      </c>
      <c r="DH110" s="23">
        <f>EXP(-LN(2)/2)*DH109+(1-EXP(-LN(2)/2))/(LN(2)/2)*DB110*DE110*VLOOKUP('Données projet'!$B$13,Paramètres!$A$1:$I$89,3,0)*0.475*44/12</f>
        <v>1.6309165866262004E-11</v>
      </c>
      <c r="DI110" s="24">
        <f t="shared" si="69"/>
        <v>4.1218636140324518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-1.7053025658242404E-13</v>
      </c>
      <c r="DP110" s="18">
        <f>DO110*VLOOKUP('Données projet'!$B$14,Paramètres!$A$1:$I$89,3,0)*VLOOKUP('Données projet'!$B$14,Paramètres!$A$1:$I$89,5,0)</f>
        <v>-1.3567387213697657E-13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312.53381881960331</v>
      </c>
      <c r="DU110" s="62">
        <f t="shared" si="98"/>
        <v>342.06887933351783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</v>
      </c>
      <c r="EJ110" s="13">
        <f>IF('Données projet'!$A$192&gt;35,EJ109+EI110-ER109,IF(A110&lt;'Données projet'!$A$192,$EG$205^A110,IF(A110='Données projet'!$A$192,'Données projet'!$B$192,EJ109+EI110-ER109)))</f>
        <v>172.00000000000006</v>
      </c>
      <c r="EK110" s="18">
        <f>EJ110*VLOOKUP('Données projet'!$B$15,Paramètres!$A$1:$I$89,3,0)*VLOOKUP('Données projet'!$B$15,Paramètres!$A$1:$I$89,5,0)</f>
        <v>166.35840000000005</v>
      </c>
      <c r="EL110" s="14">
        <f t="shared" si="99"/>
        <v>42.27340131152765</v>
      </c>
      <c r="EM110" s="22">
        <f t="shared" si="73"/>
        <v>363.3670539509107</v>
      </c>
      <c r="EN110" s="62">
        <f t="shared" si="74"/>
        <v>656.70038728424402</v>
      </c>
      <c r="EO110" s="62">
        <f ca="1">AVERAGE(OFFSET($EN$3,0,0,'Données projet'!$E$15+1,1))-AVERAGE(OFFSET($H$3,0,0,'Données projet'!$E$15+1,1))</f>
        <v>255.59755832175625</v>
      </c>
      <c r="EP110" s="62">
        <f t="shared" si="100"/>
        <v>154.0840647586964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>
        <f>FE110*VLOOKUP('Données projet'!$B$16,Paramètres!$A$1:$I$89,3,0)*VLOOKUP('Données projet'!$B$16,Paramètres!$A$1:$I$89,5,0)</f>
        <v>0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197.08445731383847</v>
      </c>
      <c r="FK110" s="62">
        <f t="shared" si="102"/>
        <v>157.12482557016511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872.30995628558094</v>
      </c>
      <c r="S111" s="62">
        <f ca="1">AVERAGE(OFFSET($R$3,0,0,'Données projet'!$E$9+1,1))-AVERAGE(OFFSET($H$3,0,0,'Données projet'!$E$9+1,1))</f>
        <v>428.8489304403459</v>
      </c>
      <c r="T111" s="62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2">
        <f t="shared" si="59"/>
        <v>940.52963240095801</v>
      </c>
      <c r="AN111" s="62">
        <f ca="1">AVERAGE(OFFSET($AM$3,0,0,'Données projet'!$E$10+1,1))-AVERAGE(OFFSET($H$3,0,0,'Données projet'!$E$10+1,1))</f>
        <v>475.47920969424894</v>
      </c>
      <c r="AO111" s="62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5.6546153846153828</v>
      </c>
      <c r="BD111" s="13">
        <f>IF('Données projet'!$A$88&gt;35,BD110+BC111-BL110,IF(A111&lt;'Données projet'!$A$88,$BA$205^A111,IF(A111='Données projet'!$A$88,'Données projet'!$B$88,BD110+BC111-BL110)))</f>
        <v>250.4376923076926</v>
      </c>
      <c r="BE111" s="14">
        <f>BD111*VLOOKUP('Données projet'!$B$11,Paramètres!$A$1:$I$89,3,0)*VLOOKUP('Données projet'!$B$11,Paramètres!$A$1:$I$89,5,0)</f>
        <v>117.20484000000013</v>
      </c>
      <c r="BF111" s="14">
        <f t="shared" si="91"/>
        <v>31.022182585275505</v>
      </c>
      <c r="BG111" s="22">
        <f t="shared" si="61"/>
        <v>258.16206433602173</v>
      </c>
      <c r="BH111" s="62">
        <f t="shared" si="62"/>
        <v>551.49539766935504</v>
      </c>
      <c r="BI111" s="62">
        <f ca="1">AVERAGE(OFFSET($BH$3,0,0,'Données projet'!$E$11+1,1))-AVERAGE(OFFSET($H$3,0,0,'Données projet'!$E$11+1,1))</f>
        <v>246.73711856758143</v>
      </c>
      <c r="BJ111" s="62">
        <f t="shared" si="92"/>
        <v>145.54897745089966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6.3550942286383367E-14</v>
      </c>
      <c r="CA111" s="14">
        <f t="shared" si="93"/>
        <v>1.0064464192543978E-12</v>
      </c>
      <c r="CB111" s="22">
        <f t="shared" si="64"/>
        <v>1.8635787380168604E-12</v>
      </c>
      <c r="CC111" s="62">
        <f t="shared" si="65"/>
        <v>293.33333333333519</v>
      </c>
      <c r="CD111" s="62">
        <f ca="1">AVERAGE(OFFSET($CC$3,0,0,'Données projet'!$E$12+1,1))-AVERAGE(OFFSET($H$3,0,0,'Données projet'!$E$12+1,1))</f>
        <v>321.13335003345236</v>
      </c>
      <c r="CE111" s="62">
        <f t="shared" si="94"/>
        <v>301.26825075712128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2.3715822752269964</v>
      </c>
      <c r="CM111" s="23">
        <f>EXP(-LN(2)/2)*CM110+(1-EXP(-LN(2)/2))/(LN(2)/2)*CG111*CJ111*VLOOKUP('Données projet'!$B$12,Paramètres!$A$1:$I$89,3,0)*0.475*44/12</f>
        <v>1.7937384961984799E-11</v>
      </c>
      <c r="CN111" s="24">
        <f t="shared" si="66"/>
        <v>2.3715822752449336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6.7984728957526396E-14</v>
      </c>
      <c r="CV111" s="14">
        <f t="shared" si="95"/>
        <v>1.0682447123141398E-12</v>
      </c>
      <c r="CW111" s="22">
        <f t="shared" si="67"/>
        <v>1.978932943548152E-12</v>
      </c>
      <c r="CX111" s="62">
        <f t="shared" si="68"/>
        <v>293.3333333333353</v>
      </c>
      <c r="CY111" s="62">
        <f ca="1">AVERAGE(OFFSET($CX$3,0,0,'Données projet'!$E$13+1,1))-AVERAGE(OFFSET($H$3,0,0,'Données projet'!$E$13+1,1))</f>
        <v>260.02504691866199</v>
      </c>
      <c r="CZ111" s="62">
        <f t="shared" si="96"/>
        <v>270.11268336406368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2.1354708959783926</v>
      </c>
      <c r="DG111" s="23">
        <f>EXP(-LN(2)/25)*DG110+(1-EXP(-LN(2)/25))/(LN(2)/25)*Calculateur!DB111*Calculateur!DD111*VLOOKUP('Données projet'!$B$13,Paramètres!$A$1:$I$89,3,0)*0.475*44/12</f>
        <v>1.8905298351719073</v>
      </c>
      <c r="DH111" s="23">
        <f>EXP(-LN(2)/2)*DH110+(1-EXP(-LN(2)/2))/(LN(2)/2)*DB111*DE111*VLOOKUP('Données projet'!$B$13,Paramètres!$A$1:$I$89,3,0)*0.475*44/12</f>
        <v>1.1532321779530037E-11</v>
      </c>
      <c r="DI111" s="24">
        <f t="shared" si="69"/>
        <v>4.0260007311618322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-1.7053025658242404E-13</v>
      </c>
      <c r="DP111" s="18">
        <f>DO111*VLOOKUP('Données projet'!$B$14,Paramètres!$A$1:$I$89,3,0)*VLOOKUP('Données projet'!$B$14,Paramètres!$A$1:$I$89,5,0)</f>
        <v>-1.3567387213697657E-13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312.53381881960331</v>
      </c>
      <c r="DU111" s="62">
        <f t="shared" si="98"/>
        <v>342.06887933351783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</v>
      </c>
      <c r="EJ111" s="13">
        <f>IF('Données projet'!$A$192&gt;35,EJ110+EI111-ER110,IF(A111&lt;'Données projet'!$A$192,$EG$205^A111,IF(A111='Données projet'!$A$192,'Données projet'!$B$192,EJ110+EI111-ER110)))</f>
        <v>175.00000000000006</v>
      </c>
      <c r="EK111" s="18">
        <f>EJ111*VLOOKUP('Données projet'!$B$15,Paramètres!$A$1:$I$89,3,0)*VLOOKUP('Données projet'!$B$15,Paramètres!$A$1:$I$89,5,0)</f>
        <v>169.26000000000005</v>
      </c>
      <c r="EL111" s="14">
        <f t="shared" si="99"/>
        <v>42.924246146122314</v>
      </c>
      <c r="EM111" s="22">
        <f t="shared" si="73"/>
        <v>369.55422870449638</v>
      </c>
      <c r="EN111" s="62">
        <f t="shared" si="74"/>
        <v>662.88756203782964</v>
      </c>
      <c r="EO111" s="62">
        <f ca="1">AVERAGE(OFFSET($EN$3,0,0,'Données projet'!$E$15+1,1))-AVERAGE(OFFSET($H$3,0,0,'Données projet'!$E$15+1,1))</f>
        <v>255.59755832175625</v>
      </c>
      <c r="EP111" s="62">
        <f t="shared" si="100"/>
        <v>154.0840647586964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>
        <f>FE111*VLOOKUP('Données projet'!$B$16,Paramètres!$A$1:$I$89,3,0)*VLOOKUP('Données projet'!$B$16,Paramètres!$A$1:$I$89,5,0)</f>
        <v>0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197.08445731383847</v>
      </c>
      <c r="FK111" s="62">
        <f t="shared" si="102"/>
        <v>157.12482557016511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880.71527085193179</v>
      </c>
      <c r="S112" s="62">
        <f ca="1">AVERAGE(OFFSET($R$3,0,0,'Données projet'!$E$9+1,1))-AVERAGE(OFFSET($H$3,0,0,'Données projet'!$E$9+1,1))</f>
        <v>428.8489304403459</v>
      </c>
      <c r="T112" s="62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2">
        <f t="shared" si="59"/>
        <v>949.92765331066835</v>
      </c>
      <c r="AN112" s="62">
        <f ca="1">AVERAGE(OFFSET($AM$3,0,0,'Données projet'!$E$10+1,1))-AVERAGE(OFFSET($H$3,0,0,'Données projet'!$E$10+1,1))</f>
        <v>475.47920969424894</v>
      </c>
      <c r="AO112" s="62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256.09230769230771</v>
      </c>
      <c r="BB112" s="13">
        <f>VLOOKUP(A112,'Données projet'!$A$87:$I$107,9,0)</f>
        <v>5.6546153846153828</v>
      </c>
      <c r="BC112" s="13">
        <f t="array" ref="BC112">INDEX(BB:BB,MIN(IF(ISNUMBER(BB112:BB308),ROW(BB112:BB308),"")))</f>
        <v>5.6546153846153828</v>
      </c>
      <c r="BD112" s="13">
        <f>IF('Données projet'!$A$88&gt;35,BD111+BC112-BL111,IF(A112&lt;'Données projet'!$A$88,$BA$205^A112,IF(A112='Données projet'!$A$88,'Données projet'!$B$88,BD111+BC112-BL111)))</f>
        <v>256.092307692308</v>
      </c>
      <c r="BE112" s="14">
        <f>BD112*VLOOKUP('Données projet'!$B$11,Paramètres!$A$1:$I$89,3,0)*VLOOKUP('Données projet'!$B$11,Paramètres!$A$1:$I$89,5,0)</f>
        <v>119.85120000000015</v>
      </c>
      <c r="BF112" s="14">
        <f t="shared" si="91"/>
        <v>31.640291631938243</v>
      </c>
      <c r="BG112" s="22">
        <f t="shared" si="61"/>
        <v>263.84768125895937</v>
      </c>
      <c r="BH112" s="62">
        <f t="shared" si="62"/>
        <v>557.18101459229274</v>
      </c>
      <c r="BI112" s="62">
        <f ca="1">AVERAGE(OFFSET($BH$3,0,0,'Données projet'!$E$11+1,1))-AVERAGE(OFFSET($H$3,0,0,'Données projet'!$E$11+1,1))</f>
        <v>246.73711856758143</v>
      </c>
      <c r="BJ112" s="62">
        <f t="shared" si="92"/>
        <v>145.54897745089966</v>
      </c>
      <c r="BK112" s="16">
        <f>IF(ISNA(VLOOKUP(A112,'Données projet'!$A$87:$I$107,3,0)),0,VLOOKUP(A112,'Données projet'!$A$87:$I$107,3,0))</f>
        <v>6</v>
      </c>
      <c r="BL112" s="16">
        <f>IF(ISNA(VLOOKUP(A112,'Données projet'!$A$87:$I$107,4,0)),0,VLOOKUP(A112,'Données projet'!$A$87:$I$107,4,0))</f>
        <v>256.09230769230771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6.3550942286383367E-14</v>
      </c>
      <c r="CA112" s="14">
        <f t="shared" si="93"/>
        <v>1.0064464192543978E-12</v>
      </c>
      <c r="CB112" s="22">
        <f t="shared" si="64"/>
        <v>1.8635787380168604E-12</v>
      </c>
      <c r="CC112" s="62">
        <f t="shared" si="65"/>
        <v>293.33333333333519</v>
      </c>
      <c r="CD112" s="62">
        <f ca="1">AVERAGE(OFFSET($CC$3,0,0,'Données projet'!$E$12+1,1))-AVERAGE(OFFSET($H$3,0,0,'Données projet'!$E$12+1,1))</f>
        <v>321.13335003345236</v>
      </c>
      <c r="CE112" s="62">
        <f t="shared" si="94"/>
        <v>301.26825075712128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2.3067312331948227</v>
      </c>
      <c r="CM112" s="23">
        <f>EXP(-LN(2)/2)*CM111+(1-EXP(-LN(2)/2))/(LN(2)/2)*CG112*CJ112*VLOOKUP('Données projet'!$B$12,Paramètres!$A$1:$I$89,3,0)*0.475*44/12</f>
        <v>1.2683646543373054E-11</v>
      </c>
      <c r="CN112" s="24">
        <f t="shared" si="66"/>
        <v>2.3067312332075063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6.7984728957526396E-14</v>
      </c>
      <c r="CV112" s="14">
        <f t="shared" si="95"/>
        <v>1.0682447123141398E-12</v>
      </c>
      <c r="CW112" s="22">
        <f t="shared" si="67"/>
        <v>1.978932943548152E-12</v>
      </c>
      <c r="CX112" s="62">
        <f t="shared" si="68"/>
        <v>293.3333333333353</v>
      </c>
      <c r="CY112" s="62">
        <f ca="1">AVERAGE(OFFSET($CX$3,0,0,'Données projet'!$E$13+1,1))-AVERAGE(OFFSET($H$3,0,0,'Données projet'!$E$13+1,1))</f>
        <v>260.02504691866199</v>
      </c>
      <c r="CZ112" s="62">
        <f t="shared" si="96"/>
        <v>270.11268336406368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2.0935956142168908</v>
      </c>
      <c r="DG112" s="23">
        <f>EXP(-LN(2)/25)*DG111+(1-EXP(-LN(2)/25))/(LN(2)/25)*Calculateur!DB112*Calculateur!DD112*VLOOKUP('Données projet'!$B$13,Paramètres!$A$1:$I$89,3,0)*0.475*44/12</f>
        <v>1.8388331974104883</v>
      </c>
      <c r="DH112" s="23">
        <f>EXP(-LN(2)/2)*DH111+(1-EXP(-LN(2)/2))/(LN(2)/2)*DB112*DE112*VLOOKUP('Données projet'!$B$13,Paramètres!$A$1:$I$89,3,0)*0.475*44/12</f>
        <v>8.1545829331310019E-12</v>
      </c>
      <c r="DI112" s="24">
        <f t="shared" si="69"/>
        <v>3.9324288116355337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-1.7053025658242404E-13</v>
      </c>
      <c r="DP112" s="18">
        <f>DO112*VLOOKUP('Données projet'!$B$14,Paramètres!$A$1:$I$89,3,0)*VLOOKUP('Données projet'!$B$14,Paramètres!$A$1:$I$89,5,0)</f>
        <v>-1.3567387213697657E-13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312.53381881960331</v>
      </c>
      <c r="DU112" s="62">
        <f t="shared" si="98"/>
        <v>342.06887933351783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</v>
      </c>
      <c r="EJ112" s="13">
        <f>IF('Données projet'!$A$192&gt;35,EJ111+EI112-ER111,IF(A112&lt;'Données projet'!$A$192,$EG$205^A112,IF(A112='Données projet'!$A$192,'Données projet'!$B$192,EJ111+EI112-ER111)))</f>
        <v>178.00000000000006</v>
      </c>
      <c r="EK112" s="18">
        <f>EJ112*VLOOKUP('Données projet'!$B$15,Paramètres!$A$1:$I$89,3,0)*VLOOKUP('Données projet'!$B$15,Paramètres!$A$1:$I$89,5,0)</f>
        <v>172.16160000000005</v>
      </c>
      <c r="EL112" s="14">
        <f t="shared" si="99"/>
        <v>43.57379349403616</v>
      </c>
      <c r="EM112" s="22">
        <f t="shared" si="73"/>
        <v>375.73914366877972</v>
      </c>
      <c r="EN112" s="62">
        <f t="shared" si="74"/>
        <v>669.07247700211303</v>
      </c>
      <c r="EO112" s="62">
        <f ca="1">AVERAGE(OFFSET($EN$3,0,0,'Données projet'!$E$15+1,1))-AVERAGE(OFFSET($H$3,0,0,'Données projet'!$E$15+1,1))</f>
        <v>255.59755832175625</v>
      </c>
      <c r="EP112" s="62">
        <f t="shared" si="100"/>
        <v>154.0840647586964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>
        <f>FE112*VLOOKUP('Données projet'!$B$16,Paramètres!$A$1:$I$89,3,0)*VLOOKUP('Données projet'!$B$16,Paramètres!$A$1:$I$89,5,0)</f>
        <v>0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197.08445731383847</v>
      </c>
      <c r="FK112" s="62">
        <f t="shared" si="102"/>
        <v>157.12482557016511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889.11808027572556</v>
      </c>
      <c r="S113" s="62">
        <f ca="1">AVERAGE(OFFSET($R$3,0,0,'Données projet'!$E$9+1,1))-AVERAGE(OFFSET($H$3,0,0,'Données projet'!$E$9+1,1))</f>
        <v>428.8489304403459</v>
      </c>
      <c r="T113" s="62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2">
        <f t="shared" si="59"/>
        <v>959.32290372320404</v>
      </c>
      <c r="AN113" s="62">
        <f ca="1">AVERAGE(OFFSET($AM$3,0,0,'Données projet'!$E$10+1,1))-AVERAGE(OFFSET($H$3,0,0,'Données projet'!$E$10+1,1))</f>
        <v>475.47920969424894</v>
      </c>
      <c r="AO113" s="62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2.8421709430404007E-13</v>
      </c>
      <c r="BE113" s="14">
        <f>BD113*VLOOKUP('Données projet'!$B$11,Paramètres!$A$1:$I$89,3,0)*VLOOKUP('Données projet'!$B$11,Paramètres!$A$1:$I$89,5,0)</f>
        <v>1.3301360013429075E-13</v>
      </c>
      <c r="BF113" s="14">
        <f t="shared" si="91"/>
        <v>1.9329766731057041E-12</v>
      </c>
      <c r="BG113" s="22">
        <f t="shared" si="61"/>
        <v>3.5982663925596575E-12</v>
      </c>
      <c r="BH113" s="62">
        <f t="shared" si="62"/>
        <v>293.3333333333369</v>
      </c>
      <c r="BI113" s="62">
        <f ca="1">AVERAGE(OFFSET($BH$3,0,0,'Données projet'!$E$11+1,1))-AVERAGE(OFFSET($H$3,0,0,'Données projet'!$E$11+1,1))</f>
        <v>246.73711856758143</v>
      </c>
      <c r="BJ113" s="62">
        <f t="shared" si="92"/>
        <v>145.54897745089966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6.3550942286383367E-14</v>
      </c>
      <c r="CA113" s="14">
        <f t="shared" si="93"/>
        <v>1.0064464192543978E-12</v>
      </c>
      <c r="CB113" s="22">
        <f t="shared" si="64"/>
        <v>1.8635787380168604E-12</v>
      </c>
      <c r="CC113" s="62">
        <f t="shared" si="65"/>
        <v>293.33333333333519</v>
      </c>
      <c r="CD113" s="62">
        <f ca="1">AVERAGE(OFFSET($CC$3,0,0,'Données projet'!$E$12+1,1))-AVERAGE(OFFSET($H$3,0,0,'Données projet'!$E$12+1,1))</f>
        <v>321.13335003345236</v>
      </c>
      <c r="CE113" s="62">
        <f t="shared" si="94"/>
        <v>301.26825075712128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2.2436535463173866</v>
      </c>
      <c r="CM113" s="23">
        <f>EXP(-LN(2)/2)*CM112+(1-EXP(-LN(2)/2))/(LN(2)/2)*CG113*CJ113*VLOOKUP('Données projet'!$B$12,Paramètres!$A$1:$I$89,3,0)*0.475*44/12</f>
        <v>8.9686924809923997E-12</v>
      </c>
      <c r="CN113" s="24">
        <f t="shared" si="66"/>
        <v>2.2436535463263554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6.7984728957526396E-14</v>
      </c>
      <c r="CV113" s="14">
        <f t="shared" si="95"/>
        <v>1.0682447123141398E-12</v>
      </c>
      <c r="CW113" s="22">
        <f t="shared" si="67"/>
        <v>1.978932943548152E-12</v>
      </c>
      <c r="CX113" s="62">
        <f t="shared" si="68"/>
        <v>293.3333333333353</v>
      </c>
      <c r="CY113" s="62">
        <f ca="1">AVERAGE(OFFSET($CX$3,0,0,'Données projet'!$E$13+1,1))-AVERAGE(OFFSET($H$3,0,0,'Données projet'!$E$13+1,1))</f>
        <v>260.02504691866199</v>
      </c>
      <c r="CZ113" s="62">
        <f t="shared" si="96"/>
        <v>270.11268336406368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2.0525414811893321</v>
      </c>
      <c r="DG113" s="23">
        <f>EXP(-LN(2)/25)*DG112+(1-EXP(-LN(2)/25))/(LN(2)/25)*Calculateur!DB113*Calculateur!DD113*VLOOKUP('Données projet'!$B$13,Paramètres!$A$1:$I$89,3,0)*0.475*44/12</f>
        <v>1.7885502069272634</v>
      </c>
      <c r="DH113" s="23">
        <f>EXP(-LN(2)/2)*DH112+(1-EXP(-LN(2)/2))/(LN(2)/2)*DB113*DE113*VLOOKUP('Données projet'!$B$13,Paramètres!$A$1:$I$89,3,0)*0.475*44/12</f>
        <v>5.7661608897650183E-12</v>
      </c>
      <c r="DI113" s="24">
        <f t="shared" si="69"/>
        <v>3.8410916881223613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-1.7053025658242404E-13</v>
      </c>
      <c r="DP113" s="18">
        <f>DO113*VLOOKUP('Données projet'!$B$14,Paramètres!$A$1:$I$89,3,0)*VLOOKUP('Données projet'!$B$14,Paramètres!$A$1:$I$89,5,0)</f>
        <v>-1.3567387213697657E-13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312.53381881960331</v>
      </c>
      <c r="DU113" s="62">
        <f t="shared" si="98"/>
        <v>342.06887933351783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181</v>
      </c>
      <c r="EH113" s="13">
        <f>VLOOKUP(A113,'Données projet'!$A$191:$I$211,9,0)</f>
        <v>3</v>
      </c>
      <c r="EI113" s="13">
        <f t="array" ref="EI113">INDEX(EH:EH,MIN(IF(ISNUMBER(EH113:EH309),ROW(EH113:EH309),"")))</f>
        <v>3</v>
      </c>
      <c r="EJ113" s="13">
        <f>IF('Données projet'!$A$192&gt;35,EJ112+EI113-ER112,IF(A113&lt;'Données projet'!$A$192,$EG$205^A113,IF(A113='Données projet'!$A$192,'Données projet'!$B$192,EJ112+EI113-ER112)))</f>
        <v>181.00000000000006</v>
      </c>
      <c r="EK113" s="18">
        <f>EJ113*VLOOKUP('Données projet'!$B$15,Paramètres!$A$1:$I$89,3,0)*VLOOKUP('Données projet'!$B$15,Paramètres!$A$1:$I$89,5,0)</f>
        <v>175.06320000000008</v>
      </c>
      <c r="EL113" s="14">
        <f t="shared" si="99"/>
        <v>44.222067746824763</v>
      </c>
      <c r="EM113" s="22">
        <f t="shared" si="73"/>
        <v>381.92184132571992</v>
      </c>
      <c r="EN113" s="62">
        <f t="shared" si="74"/>
        <v>675.25517465905318</v>
      </c>
      <c r="EO113" s="62">
        <f ca="1">AVERAGE(OFFSET($EN$3,0,0,'Données projet'!$E$15+1,1))-AVERAGE(OFFSET($H$3,0,0,'Données projet'!$E$15+1,1))</f>
        <v>255.59755832175625</v>
      </c>
      <c r="EP113" s="62">
        <f t="shared" si="100"/>
        <v>154.0840647586964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>
        <f>FE113*VLOOKUP('Données projet'!$B$16,Paramètres!$A$1:$I$89,3,0)*VLOOKUP('Données projet'!$B$16,Paramètres!$A$1:$I$89,5,0)</f>
        <v>0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197.08445731383847</v>
      </c>
      <c r="FK113" s="62">
        <f t="shared" si="102"/>
        <v>157.12482557016511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821.63161043190416</v>
      </c>
      <c r="S114" s="62">
        <f ca="1">AVERAGE(OFFSET($R$3,0,0,'Données projet'!$E$9+1,1))-AVERAGE(OFFSET($H$3,0,0,'Données projet'!$E$9+1,1))</f>
        <v>428.8489304403459</v>
      </c>
      <c r="T114" s="62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2">
        <f t="shared" si="59"/>
        <v>883.86661576478514</v>
      </c>
      <c r="AN114" s="62">
        <f ca="1">AVERAGE(OFFSET($AM$3,0,0,'Données projet'!$E$10+1,1))-AVERAGE(OFFSET($H$3,0,0,'Données projet'!$E$10+1,1))</f>
        <v>475.47920969424894</v>
      </c>
      <c r="AO114" s="62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2.8421709430404007E-13</v>
      </c>
      <c r="BE114" s="14">
        <f>BD114*VLOOKUP('Données projet'!$B$11,Paramètres!$A$1:$I$89,3,0)*VLOOKUP('Données projet'!$B$11,Paramètres!$A$1:$I$89,5,0)</f>
        <v>1.3301360013429075E-13</v>
      </c>
      <c r="BF114" s="14">
        <f t="shared" si="91"/>
        <v>1.9329766731057041E-12</v>
      </c>
      <c r="BG114" s="22">
        <f t="shared" si="61"/>
        <v>3.5982663925596575E-12</v>
      </c>
      <c r="BH114" s="62">
        <f t="shared" si="62"/>
        <v>293.3333333333369</v>
      </c>
      <c r="BI114" s="62">
        <f ca="1">AVERAGE(OFFSET($BH$3,0,0,'Données projet'!$E$11+1,1))-AVERAGE(OFFSET($H$3,0,0,'Données projet'!$E$11+1,1))</f>
        <v>246.73711856758143</v>
      </c>
      <c r="BJ114" s="62">
        <f t="shared" si="92"/>
        <v>145.54897745089966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6.3550942286383367E-14</v>
      </c>
      <c r="CA114" s="14">
        <f t="shared" si="93"/>
        <v>1.0064464192543978E-12</v>
      </c>
      <c r="CB114" s="22">
        <f t="shared" si="64"/>
        <v>1.8635787380168604E-12</v>
      </c>
      <c r="CC114" s="62">
        <f t="shared" si="65"/>
        <v>293.33333333333519</v>
      </c>
      <c r="CD114" s="62">
        <f ca="1">AVERAGE(OFFSET($CC$3,0,0,'Données projet'!$E$12+1,1))-AVERAGE(OFFSET($H$3,0,0,'Données projet'!$E$12+1,1))</f>
        <v>321.13335003345236</v>
      </c>
      <c r="CE114" s="62">
        <f t="shared" si="94"/>
        <v>301.26825075712128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2.1823007221047255</v>
      </c>
      <c r="CM114" s="23">
        <f>EXP(-LN(2)/2)*CM113+(1-EXP(-LN(2)/2))/(LN(2)/2)*CG114*CJ114*VLOOKUP('Données projet'!$B$12,Paramètres!$A$1:$I$89,3,0)*0.475*44/12</f>
        <v>6.3418232716865269E-12</v>
      </c>
      <c r="CN114" s="24">
        <f t="shared" si="66"/>
        <v>2.1823007221110675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6.7984728957526396E-14</v>
      </c>
      <c r="CV114" s="14">
        <f t="shared" si="95"/>
        <v>1.0682447123141398E-12</v>
      </c>
      <c r="CW114" s="22">
        <f t="shared" si="67"/>
        <v>1.978932943548152E-12</v>
      </c>
      <c r="CX114" s="62">
        <f t="shared" si="68"/>
        <v>293.3333333333353</v>
      </c>
      <c r="CY114" s="62">
        <f ca="1">AVERAGE(OFFSET($CX$3,0,0,'Données projet'!$E$13+1,1))-AVERAGE(OFFSET($H$3,0,0,'Données projet'!$E$13+1,1))</f>
        <v>260.02504691866199</v>
      </c>
      <c r="CZ114" s="62">
        <f t="shared" si="96"/>
        <v>270.11268336406368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2.0122923946698954</v>
      </c>
      <c r="DG114" s="23">
        <f>EXP(-LN(2)/25)*DG113+(1-EXP(-LN(2)/25))/(LN(2)/25)*Calculateur!DB114*Calculateur!DD114*VLOOKUP('Données projet'!$B$13,Paramètres!$A$1:$I$89,3,0)*0.475*44/12</f>
        <v>1.7396422074630697</v>
      </c>
      <c r="DH114" s="23">
        <f>EXP(-LN(2)/2)*DH113+(1-EXP(-LN(2)/2))/(LN(2)/2)*DB114*DE114*VLOOKUP('Données projet'!$B$13,Paramètres!$A$1:$I$89,3,0)*0.475*44/12</f>
        <v>4.0772914665655009E-12</v>
      </c>
      <c r="DI114" s="24">
        <f t="shared" si="69"/>
        <v>3.7519346021370423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-1.7053025658242404E-13</v>
      </c>
      <c r="DP114" s="18">
        <f>DO114*VLOOKUP('Données projet'!$B$14,Paramètres!$A$1:$I$89,3,0)*VLOOKUP('Données projet'!$B$14,Paramètres!$A$1:$I$89,5,0)</f>
        <v>-1.3567387213697657E-13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312.53381881960331</v>
      </c>
      <c r="DU114" s="62">
        <f t="shared" si="98"/>
        <v>342.06887933351783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</v>
      </c>
      <c r="EJ114" s="13">
        <f>IF('Données projet'!$A$192&gt;35,EJ113+EI114-ER113,IF(A114&lt;'Données projet'!$A$192,$EG$205^A114,IF(A114='Données projet'!$A$192,'Données projet'!$B$192,EJ113+EI114-ER113)))</f>
        <v>184.00000000000006</v>
      </c>
      <c r="EK114" s="18">
        <f>EJ114*VLOOKUP('Données projet'!$B$15,Paramètres!$A$1:$I$89,3,0)*VLOOKUP('Données projet'!$B$15,Paramètres!$A$1:$I$89,5,0)</f>
        <v>177.96480000000008</v>
      </c>
      <c r="EL114" s="14">
        <f t="shared" si="99"/>
        <v>44.869092441133326</v>
      </c>
      <c r="EM114" s="22">
        <f t="shared" si="73"/>
        <v>388.10236266830731</v>
      </c>
      <c r="EN114" s="62">
        <f t="shared" si="74"/>
        <v>681.43569600164062</v>
      </c>
      <c r="EO114" s="62">
        <f ca="1">AVERAGE(OFFSET($EN$3,0,0,'Données projet'!$E$15+1,1))-AVERAGE(OFFSET($H$3,0,0,'Données projet'!$E$15+1,1))</f>
        <v>255.59755832175625</v>
      </c>
      <c r="EP114" s="62">
        <f t="shared" si="100"/>
        <v>154.0840647586964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197.08445731383847</v>
      </c>
      <c r="FK114" s="62">
        <f t="shared" si="102"/>
        <v>157.12482557016511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828.7133714063857</v>
      </c>
      <c r="S115" s="62">
        <f ca="1">AVERAGE(OFFSET($R$3,0,0,'Données projet'!$E$9+1,1))-AVERAGE(OFFSET($H$3,0,0,'Données projet'!$E$9+1,1))</f>
        <v>428.8489304403459</v>
      </c>
      <c r="T115" s="62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2">
        <f t="shared" si="59"/>
        <v>891.78459897725043</v>
      </c>
      <c r="AN115" s="62">
        <f ca="1">AVERAGE(OFFSET($AM$3,0,0,'Données projet'!$E$10+1,1))-AVERAGE(OFFSET($H$3,0,0,'Données projet'!$E$10+1,1))</f>
        <v>475.47920969424894</v>
      </c>
      <c r="AO115" s="62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2.8421709430404007E-13</v>
      </c>
      <c r="BE115" s="14">
        <f>BD115*VLOOKUP('Données projet'!$B$11,Paramètres!$A$1:$I$89,3,0)*VLOOKUP('Données projet'!$B$11,Paramètres!$A$1:$I$89,5,0)</f>
        <v>1.3301360013429075E-13</v>
      </c>
      <c r="BF115" s="14">
        <f t="shared" si="91"/>
        <v>1.9329766731057041E-12</v>
      </c>
      <c r="BG115" s="22">
        <f t="shared" si="61"/>
        <v>3.5982663925596575E-12</v>
      </c>
      <c r="BH115" s="62">
        <f t="shared" si="62"/>
        <v>293.3333333333369</v>
      </c>
      <c r="BI115" s="62">
        <f ca="1">AVERAGE(OFFSET($BH$3,0,0,'Données projet'!$E$11+1,1))-AVERAGE(OFFSET($H$3,0,0,'Données projet'!$E$11+1,1))</f>
        <v>246.73711856758143</v>
      </c>
      <c r="BJ115" s="62">
        <f t="shared" si="92"/>
        <v>145.54897745089966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6.3550942286383367E-14</v>
      </c>
      <c r="CA115" s="14">
        <f t="shared" si="93"/>
        <v>1.0064464192543978E-12</v>
      </c>
      <c r="CB115" s="22">
        <f t="shared" si="64"/>
        <v>1.8635787380168604E-12</v>
      </c>
      <c r="CC115" s="62">
        <f t="shared" si="65"/>
        <v>293.33333333333519</v>
      </c>
      <c r="CD115" s="62">
        <f ca="1">AVERAGE(OFFSET($CC$3,0,0,'Données projet'!$E$12+1,1))-AVERAGE(OFFSET($H$3,0,0,'Données projet'!$E$12+1,1))</f>
        <v>321.13335003345236</v>
      </c>
      <c r="CE115" s="62">
        <f t="shared" si="94"/>
        <v>301.26825075712128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2.1226255940965646</v>
      </c>
      <c r="CM115" s="23">
        <f>EXP(-LN(2)/2)*CM114+(1-EXP(-LN(2)/2))/(LN(2)/2)*CG115*CJ115*VLOOKUP('Données projet'!$B$12,Paramètres!$A$1:$I$89,3,0)*0.475*44/12</f>
        <v>4.4843462404961999E-12</v>
      </c>
      <c r="CN115" s="24">
        <f t="shared" si="66"/>
        <v>2.122625594101049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6.7984728957526396E-14</v>
      </c>
      <c r="CV115" s="14">
        <f t="shared" si="95"/>
        <v>1.0682447123141398E-12</v>
      </c>
      <c r="CW115" s="22">
        <f t="shared" si="67"/>
        <v>1.978932943548152E-12</v>
      </c>
      <c r="CX115" s="62">
        <f t="shared" si="68"/>
        <v>293.3333333333353</v>
      </c>
      <c r="CY115" s="62">
        <f ca="1">AVERAGE(OFFSET($CX$3,0,0,'Données projet'!$E$13+1,1))-AVERAGE(OFFSET($H$3,0,0,'Données projet'!$E$13+1,1))</f>
        <v>260.02504691866199</v>
      </c>
      <c r="CZ115" s="62">
        <f t="shared" si="96"/>
        <v>270.11268336406368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1.972832568187586</v>
      </c>
      <c r="DG115" s="23">
        <f>EXP(-LN(2)/25)*DG114+(1-EXP(-LN(2)/25))/(LN(2)/25)*Calculateur!DB115*Calculateur!DD115*VLOOKUP('Données projet'!$B$13,Paramètres!$A$1:$I$89,3,0)*0.475*44/12</f>
        <v>1.6920715998161844</v>
      </c>
      <c r="DH115" s="23">
        <f>EXP(-LN(2)/2)*DH114+(1-EXP(-LN(2)/2))/(LN(2)/2)*DB115*DE115*VLOOKUP('Données projet'!$B$13,Paramètres!$A$1:$I$89,3,0)*0.475*44/12</f>
        <v>2.8830804448825091E-12</v>
      </c>
      <c r="DI115" s="24">
        <f t="shared" si="69"/>
        <v>3.6649041680066534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-1.7053025658242404E-13</v>
      </c>
      <c r="DP115" s="18">
        <f>DO115*VLOOKUP('Données projet'!$B$14,Paramètres!$A$1:$I$89,3,0)*VLOOKUP('Données projet'!$B$14,Paramètres!$A$1:$I$89,5,0)</f>
        <v>-1.3567387213697657E-13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312.53381881960331</v>
      </c>
      <c r="DU115" s="62">
        <f t="shared" si="98"/>
        <v>342.06887933351783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</v>
      </c>
      <c r="EJ115" s="13">
        <f>IF('Données projet'!$A$192&gt;35,EJ114+EI115-ER114,IF(A115&lt;'Données projet'!$A$192,$EG$205^A115,IF(A115='Données projet'!$A$192,'Données projet'!$B$192,EJ114+EI115-ER114)))</f>
        <v>187.00000000000006</v>
      </c>
      <c r="EK115" s="18">
        <f>EJ115*VLOOKUP('Données projet'!$B$15,Paramètres!$A$1:$I$89,3,0)*VLOOKUP('Données projet'!$B$15,Paramètres!$A$1:$I$89,5,0)</f>
        <v>180.86640000000006</v>
      </c>
      <c r="EL115" s="14">
        <f t="shared" si="99"/>
        <v>45.514890302102152</v>
      </c>
      <c r="EM115" s="22">
        <f t="shared" si="73"/>
        <v>394.28074727616132</v>
      </c>
      <c r="EN115" s="62">
        <f t="shared" si="74"/>
        <v>687.61408060949464</v>
      </c>
      <c r="EO115" s="62">
        <f ca="1">AVERAGE(OFFSET($EN$3,0,0,'Données projet'!$E$15+1,1))-AVERAGE(OFFSET($H$3,0,0,'Données projet'!$E$15+1,1))</f>
        <v>255.59755832175625</v>
      </c>
      <c r="EP115" s="62">
        <f t="shared" si="100"/>
        <v>154.0840647586964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197.08445731383847</v>
      </c>
      <c r="FK115" s="62">
        <f t="shared" si="102"/>
        <v>157.12482557016511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835.79316307617296</v>
      </c>
      <c r="S116" s="62">
        <f ca="1">AVERAGE(OFFSET($R$3,0,0,'Données projet'!$E$9+1,1))-AVERAGE(OFFSET($H$3,0,0,'Données projet'!$E$9+1,1))</f>
        <v>428.8489304403459</v>
      </c>
      <c r="T116" s="62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2">
        <f t="shared" si="59"/>
        <v>899.70040428847165</v>
      </c>
      <c r="AN116" s="62">
        <f ca="1">AVERAGE(OFFSET($AM$3,0,0,'Données projet'!$E$10+1,1))-AVERAGE(OFFSET($H$3,0,0,'Données projet'!$E$10+1,1))</f>
        <v>475.47920969424894</v>
      </c>
      <c r="AO116" s="62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2.8421709430404007E-13</v>
      </c>
      <c r="BE116" s="14">
        <f>BD116*VLOOKUP('Données projet'!$B$11,Paramètres!$A$1:$I$89,3,0)*VLOOKUP('Données projet'!$B$11,Paramètres!$A$1:$I$89,5,0)</f>
        <v>1.3301360013429075E-13</v>
      </c>
      <c r="BF116" s="14">
        <f t="shared" si="91"/>
        <v>1.9329766731057041E-12</v>
      </c>
      <c r="BG116" s="22">
        <f t="shared" si="61"/>
        <v>3.5982663925596575E-12</v>
      </c>
      <c r="BH116" s="62">
        <f t="shared" si="62"/>
        <v>293.3333333333369</v>
      </c>
      <c r="BI116" s="62">
        <f ca="1">AVERAGE(OFFSET($BH$3,0,0,'Données projet'!$E$11+1,1))-AVERAGE(OFFSET($H$3,0,0,'Données projet'!$E$11+1,1))</f>
        <v>246.73711856758143</v>
      </c>
      <c r="BJ116" s="62">
        <f t="shared" si="92"/>
        <v>145.54897745089966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6.3550942286383367E-14</v>
      </c>
      <c r="CA116" s="14">
        <f t="shared" si="93"/>
        <v>1.0064464192543978E-12</v>
      </c>
      <c r="CB116" s="22">
        <f t="shared" si="64"/>
        <v>1.8635787380168604E-12</v>
      </c>
      <c r="CC116" s="62">
        <f t="shared" si="65"/>
        <v>293.33333333333519</v>
      </c>
      <c r="CD116" s="62">
        <f ca="1">AVERAGE(OFFSET($CC$3,0,0,'Données projet'!$E$12+1,1))-AVERAGE(OFFSET($H$3,0,0,'Données projet'!$E$12+1,1))</f>
        <v>321.13335003345236</v>
      </c>
      <c r="CE116" s="62">
        <f t="shared" si="94"/>
        <v>301.26825075712128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2.0645822856019653</v>
      </c>
      <c r="CM116" s="23">
        <f>EXP(-LN(2)/2)*CM115+(1-EXP(-LN(2)/2))/(LN(2)/2)*CG116*CJ116*VLOOKUP('Données projet'!$B$12,Paramètres!$A$1:$I$89,3,0)*0.475*44/12</f>
        <v>3.1709116358432635E-12</v>
      </c>
      <c r="CN116" s="24">
        <f t="shared" si="66"/>
        <v>2.0645822856051361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6.7984728957526396E-14</v>
      </c>
      <c r="CV116" s="14">
        <f t="shared" si="95"/>
        <v>1.0682447123141398E-12</v>
      </c>
      <c r="CW116" s="22">
        <f t="shared" si="67"/>
        <v>1.978932943548152E-12</v>
      </c>
      <c r="CX116" s="62">
        <f t="shared" si="68"/>
        <v>293.3333333333353</v>
      </c>
      <c r="CY116" s="62">
        <f ca="1">AVERAGE(OFFSET($CX$3,0,0,'Données projet'!$E$13+1,1))-AVERAGE(OFFSET($H$3,0,0,'Données projet'!$E$13+1,1))</f>
        <v>260.02504691866199</v>
      </c>
      <c r="CZ116" s="62">
        <f t="shared" si="96"/>
        <v>270.11268336406368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1.9341465248344771</v>
      </c>
      <c r="DG116" s="23">
        <f>EXP(-LN(2)/25)*DG115+(1-EXP(-LN(2)/25))/(LN(2)/25)*Calculateur!DB116*Calculateur!DD116*VLOOKUP('Données projet'!$B$13,Paramètres!$A$1:$I$89,3,0)*0.475*44/12</f>
        <v>1.6458018129370326</v>
      </c>
      <c r="DH116" s="23">
        <f>EXP(-LN(2)/2)*DH115+(1-EXP(-LN(2)/2))/(LN(2)/2)*DB116*DE116*VLOOKUP('Données projet'!$B$13,Paramètres!$A$1:$I$89,3,0)*0.475*44/12</f>
        <v>2.0386457332827505E-12</v>
      </c>
      <c r="DI116" s="24">
        <f t="shared" si="69"/>
        <v>3.5799483377735486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-1.7053025658242404E-13</v>
      </c>
      <c r="DP116" s="18">
        <f>DO116*VLOOKUP('Données projet'!$B$14,Paramètres!$A$1:$I$89,3,0)*VLOOKUP('Données projet'!$B$14,Paramètres!$A$1:$I$89,5,0)</f>
        <v>-1.3567387213697657E-13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312.53381881960331</v>
      </c>
      <c r="DU116" s="62">
        <f t="shared" si="98"/>
        <v>342.06887933351783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</v>
      </c>
      <c r="EJ116" s="13">
        <f>IF('Données projet'!$A$192&gt;35,EJ115+EI116-ER115,IF(A116&lt;'Données projet'!$A$192,$EG$205^A116,IF(A116='Données projet'!$A$192,'Données projet'!$B$192,EJ115+EI116-ER115)))</f>
        <v>190.00000000000006</v>
      </c>
      <c r="EK116" s="18">
        <f>EJ116*VLOOKUP('Données projet'!$B$15,Paramètres!$A$1:$I$89,3,0)*VLOOKUP('Données projet'!$B$15,Paramètres!$A$1:$I$89,5,0)</f>
        <v>183.76800000000006</v>
      </c>
      <c r="EL116" s="14">
        <f t="shared" si="99"/>
        <v>46.159483283907285</v>
      </c>
      <c r="EM116" s="22">
        <f t="shared" si="73"/>
        <v>400.45703338613862</v>
      </c>
      <c r="EN116" s="62">
        <f t="shared" si="74"/>
        <v>693.79036671947188</v>
      </c>
      <c r="EO116" s="62">
        <f ca="1">AVERAGE(OFFSET($EN$3,0,0,'Données projet'!$E$15+1,1))-AVERAGE(OFFSET($H$3,0,0,'Données projet'!$E$15+1,1))</f>
        <v>255.59755832175625</v>
      </c>
      <c r="EP116" s="62">
        <f t="shared" si="100"/>
        <v>154.0840647586964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197.08445731383847</v>
      </c>
      <c r="FK116" s="62">
        <f t="shared" si="102"/>
        <v>157.12482557016511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842.87101477628994</v>
      </c>
      <c r="S117" s="62">
        <f ca="1">AVERAGE(OFFSET($R$3,0,0,'Données projet'!$E$9+1,1))-AVERAGE(OFFSET($H$3,0,0,'Données projet'!$E$9+1,1))</f>
        <v>428.8489304403459</v>
      </c>
      <c r="T117" s="62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2">
        <f t="shared" si="59"/>
        <v>907.61406414075464</v>
      </c>
      <c r="AN117" s="62">
        <f ca="1">AVERAGE(OFFSET($AM$3,0,0,'Données projet'!$E$10+1,1))-AVERAGE(OFFSET($H$3,0,0,'Données projet'!$E$10+1,1))</f>
        <v>475.47920969424894</v>
      </c>
      <c r="AO117" s="62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2.8421709430404007E-13</v>
      </c>
      <c r="BE117" s="14">
        <f>BD117*VLOOKUP('Données projet'!$B$11,Paramètres!$A$1:$I$89,3,0)*VLOOKUP('Données projet'!$B$11,Paramètres!$A$1:$I$89,5,0)</f>
        <v>1.3301360013429075E-13</v>
      </c>
      <c r="BF117" s="14">
        <f t="shared" si="91"/>
        <v>1.9329766731057041E-12</v>
      </c>
      <c r="BG117" s="22">
        <f t="shared" si="61"/>
        <v>3.5982663925596575E-12</v>
      </c>
      <c r="BH117" s="62">
        <f t="shared" si="62"/>
        <v>293.3333333333369</v>
      </c>
      <c r="BI117" s="62">
        <f ca="1">AVERAGE(OFFSET($BH$3,0,0,'Données projet'!$E$11+1,1))-AVERAGE(OFFSET($H$3,0,0,'Données projet'!$E$11+1,1))</f>
        <v>246.73711856758143</v>
      </c>
      <c r="BJ117" s="62">
        <f t="shared" si="92"/>
        <v>145.54897745089966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6.3550942286383367E-14</v>
      </c>
      <c r="CA117" s="14">
        <f t="shared" si="93"/>
        <v>1.0064464192543978E-12</v>
      </c>
      <c r="CB117" s="22">
        <f t="shared" si="64"/>
        <v>1.8635787380168604E-12</v>
      </c>
      <c r="CC117" s="62">
        <f t="shared" si="65"/>
        <v>293.33333333333519</v>
      </c>
      <c r="CD117" s="62">
        <f ca="1">AVERAGE(OFFSET($CC$3,0,0,'Données projet'!$E$12+1,1))-AVERAGE(OFFSET($H$3,0,0,'Données projet'!$E$12+1,1))</f>
        <v>321.13335003345236</v>
      </c>
      <c r="CE117" s="62">
        <f t="shared" si="94"/>
        <v>301.26825075712128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2.0081261744305157</v>
      </c>
      <c r="CM117" s="23">
        <f>EXP(-LN(2)/2)*CM116+(1-EXP(-LN(2)/2))/(LN(2)/2)*CG117*CJ117*VLOOKUP('Données projet'!$B$12,Paramètres!$A$1:$I$89,3,0)*0.475*44/12</f>
        <v>2.2421731202480999E-12</v>
      </c>
      <c r="CN117" s="24">
        <f t="shared" si="66"/>
        <v>2.0081261744327579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6.7984728957526396E-14</v>
      </c>
      <c r="CV117" s="14">
        <f t="shared" si="95"/>
        <v>1.0682447123141398E-12</v>
      </c>
      <c r="CW117" s="22">
        <f t="shared" si="67"/>
        <v>1.978932943548152E-12</v>
      </c>
      <c r="CX117" s="62">
        <f t="shared" si="68"/>
        <v>293.3333333333353</v>
      </c>
      <c r="CY117" s="62">
        <f ca="1">AVERAGE(OFFSET($CX$3,0,0,'Données projet'!$E$13+1,1))-AVERAGE(OFFSET($H$3,0,0,'Données projet'!$E$13+1,1))</f>
        <v>260.02504691866199</v>
      </c>
      <c r="CZ117" s="62">
        <f t="shared" si="96"/>
        <v>270.11268336406368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1.8962190911953662</v>
      </c>
      <c r="DG117" s="23">
        <f>EXP(-LN(2)/25)*DG116+(1-EXP(-LN(2)/25))/(LN(2)/25)*Calculateur!DB117*Calculateur!DD117*VLOOKUP('Données projet'!$B$13,Paramètres!$A$1:$I$89,3,0)*0.475*44/12</f>
        <v>1.6007972758133138</v>
      </c>
      <c r="DH117" s="23">
        <f>EXP(-LN(2)/2)*DH116+(1-EXP(-LN(2)/2))/(LN(2)/2)*DB117*DE117*VLOOKUP('Données projet'!$B$13,Paramètres!$A$1:$I$89,3,0)*0.475*44/12</f>
        <v>1.4415402224412546E-12</v>
      </c>
      <c r="DI117" s="24">
        <f t="shared" si="69"/>
        <v>3.4970163670101213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-1.7053025658242404E-13</v>
      </c>
      <c r="DP117" s="18">
        <f>DO117*VLOOKUP('Données projet'!$B$14,Paramètres!$A$1:$I$89,3,0)*VLOOKUP('Données projet'!$B$14,Paramètres!$A$1:$I$89,5,0)</f>
        <v>-1.3567387213697657E-13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312.53381881960331</v>
      </c>
      <c r="DU117" s="62">
        <f t="shared" si="98"/>
        <v>342.06887933351783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</v>
      </c>
      <c r="EJ117" s="13">
        <f>IF('Données projet'!$A$192&gt;35,EJ116+EI117-ER116,IF(A117&lt;'Données projet'!$A$192,$EG$205^A117,IF(A117='Données projet'!$A$192,'Données projet'!$B$192,EJ116+EI117-ER116)))</f>
        <v>193.00000000000006</v>
      </c>
      <c r="EK117" s="18">
        <f>EJ117*VLOOKUP('Données projet'!$B$15,Paramètres!$A$1:$I$89,3,0)*VLOOKUP('Données projet'!$B$15,Paramètres!$A$1:$I$89,5,0)</f>
        <v>186.66960000000006</v>
      </c>
      <c r="EL117" s="14">
        <f t="shared" si="99"/>
        <v>46.802892607668348</v>
      </c>
      <c r="EM117" s="22">
        <f t="shared" si="73"/>
        <v>406.63125795835577</v>
      </c>
      <c r="EN117" s="62">
        <f t="shared" si="74"/>
        <v>699.96459129168909</v>
      </c>
      <c r="EO117" s="62">
        <f ca="1">AVERAGE(OFFSET($EN$3,0,0,'Données projet'!$E$15+1,1))-AVERAGE(OFFSET($H$3,0,0,'Données projet'!$E$15+1,1))</f>
        <v>255.59755832175625</v>
      </c>
      <c r="EP117" s="62">
        <f t="shared" si="100"/>
        <v>154.0840647586964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197.08445731383847</v>
      </c>
      <c r="FK117" s="62">
        <f t="shared" si="102"/>
        <v>157.12482557016511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849.94695502425111</v>
      </c>
      <c r="S118" s="62">
        <f ca="1">AVERAGE(OFFSET($R$3,0,0,'Données projet'!$E$9+1,1))-AVERAGE(OFFSET($H$3,0,0,'Données projet'!$E$9+1,1))</f>
        <v>428.8489304403459</v>
      </c>
      <c r="T118" s="62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2">
        <f t="shared" si="59"/>
        <v>915.52561007230179</v>
      </c>
      <c r="AN118" s="62">
        <f ca="1">AVERAGE(OFFSET($AM$3,0,0,'Données projet'!$E$10+1,1))-AVERAGE(OFFSET($H$3,0,0,'Données projet'!$E$10+1,1))</f>
        <v>475.47920969424894</v>
      </c>
      <c r="AO118" s="62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2.8421709430404007E-13</v>
      </c>
      <c r="BE118" s="14">
        <f>BD118*VLOOKUP('Données projet'!$B$11,Paramètres!$A$1:$I$89,3,0)*VLOOKUP('Données projet'!$B$11,Paramètres!$A$1:$I$89,5,0)</f>
        <v>1.3301360013429075E-13</v>
      </c>
      <c r="BF118" s="14">
        <f t="shared" si="91"/>
        <v>1.9329766731057041E-12</v>
      </c>
      <c r="BG118" s="22">
        <f t="shared" si="61"/>
        <v>3.5982663925596575E-12</v>
      </c>
      <c r="BH118" s="62">
        <f t="shared" si="62"/>
        <v>293.3333333333369</v>
      </c>
      <c r="BI118" s="62">
        <f ca="1">AVERAGE(OFFSET($BH$3,0,0,'Données projet'!$E$11+1,1))-AVERAGE(OFFSET($H$3,0,0,'Données projet'!$E$11+1,1))</f>
        <v>246.73711856758143</v>
      </c>
      <c r="BJ118" s="62">
        <f t="shared" si="92"/>
        <v>145.54897745089966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6.3550942286383367E-14</v>
      </c>
      <c r="CA118" s="14">
        <f t="shared" si="93"/>
        <v>1.0064464192543978E-12</v>
      </c>
      <c r="CB118" s="22">
        <f t="shared" si="64"/>
        <v>1.8635787380168604E-12</v>
      </c>
      <c r="CC118" s="62">
        <f t="shared" si="65"/>
        <v>293.33333333333519</v>
      </c>
      <c r="CD118" s="62">
        <f ca="1">AVERAGE(OFFSET($CC$3,0,0,'Données projet'!$E$12+1,1))-AVERAGE(OFFSET($H$3,0,0,'Données projet'!$E$12+1,1))</f>
        <v>321.13335003345236</v>
      </c>
      <c r="CE118" s="62">
        <f t="shared" si="94"/>
        <v>301.26825075712128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1.9532138585879473</v>
      </c>
      <c r="CM118" s="23">
        <f>EXP(-LN(2)/2)*CM117+(1-EXP(-LN(2)/2))/(LN(2)/2)*CG118*CJ118*VLOOKUP('Données projet'!$B$12,Paramètres!$A$1:$I$89,3,0)*0.475*44/12</f>
        <v>1.5854558179216317E-12</v>
      </c>
      <c r="CN118" s="24">
        <f t="shared" si="66"/>
        <v>1.9532138585895327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6.7984728957526396E-14</v>
      </c>
      <c r="CV118" s="14">
        <f t="shared" si="95"/>
        <v>1.0682447123141398E-12</v>
      </c>
      <c r="CW118" s="22">
        <f t="shared" si="67"/>
        <v>1.978932943548152E-12</v>
      </c>
      <c r="CX118" s="62">
        <f t="shared" si="68"/>
        <v>293.3333333333353</v>
      </c>
      <c r="CY118" s="62">
        <f ca="1">AVERAGE(OFFSET($CX$3,0,0,'Données projet'!$E$13+1,1))-AVERAGE(OFFSET($H$3,0,0,'Données projet'!$E$13+1,1))</f>
        <v>260.02504691866199</v>
      </c>
      <c r="CZ118" s="62">
        <f t="shared" si="96"/>
        <v>270.11268336406368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1.8590353913964681</v>
      </c>
      <c r="DG118" s="23">
        <f>EXP(-LN(2)/25)*DG117+(1-EXP(-LN(2)/25))/(LN(2)/25)*Calculateur!DB118*Calculateur!DD118*VLOOKUP('Données projet'!$B$13,Paramètres!$A$1:$I$89,3,0)*0.475*44/12</f>
        <v>1.5570233901239285</v>
      </c>
      <c r="DH118" s="23">
        <f>EXP(-LN(2)/2)*DH117+(1-EXP(-LN(2)/2))/(LN(2)/2)*DB118*DE118*VLOOKUP('Données projet'!$B$13,Paramètres!$A$1:$I$89,3,0)*0.475*44/12</f>
        <v>1.0193228666413752E-12</v>
      </c>
      <c r="DI118" s="24">
        <f t="shared" si="69"/>
        <v>3.4160587815214156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-1.7053025658242404E-13</v>
      </c>
      <c r="DP118" s="18">
        <f>DO118*VLOOKUP('Données projet'!$B$14,Paramètres!$A$1:$I$89,3,0)*VLOOKUP('Données projet'!$B$14,Paramètres!$A$1:$I$89,5,0)</f>
        <v>-1.3567387213697657E-13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312.53381881960331</v>
      </c>
      <c r="DU118" s="62">
        <f t="shared" si="98"/>
        <v>342.06887933351783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</v>
      </c>
      <c r="EJ118" s="13">
        <f>IF('Données projet'!$A$192&gt;35,EJ117+EI118-ER117,IF(A118&lt;'Données projet'!$A$192,$EG$205^A118,IF(A118='Données projet'!$A$192,'Données projet'!$B$192,EJ117+EI118-ER117)))</f>
        <v>196.00000000000006</v>
      </c>
      <c r="EK118" s="18">
        <f>EJ118*VLOOKUP('Données projet'!$B$15,Paramètres!$A$1:$I$89,3,0)*VLOOKUP('Données projet'!$B$15,Paramètres!$A$1:$I$89,5,0)</f>
        <v>189.57120000000006</v>
      </c>
      <c r="EL118" s="14">
        <f t="shared" si="99"/>
        <v>47.445138796932483</v>
      </c>
      <c r="EM118" s="22">
        <f t="shared" si="73"/>
        <v>412.80345673799087</v>
      </c>
      <c r="EN118" s="62">
        <f t="shared" si="74"/>
        <v>706.13679007132419</v>
      </c>
      <c r="EO118" s="62">
        <f ca="1">AVERAGE(OFFSET($EN$3,0,0,'Données projet'!$E$15+1,1))-AVERAGE(OFFSET($H$3,0,0,'Données projet'!$E$15+1,1))</f>
        <v>255.59755832175625</v>
      </c>
      <c r="EP118" s="62">
        <f t="shared" si="100"/>
        <v>154.0840647586964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197.08445731383847</v>
      </c>
      <c r="FK118" s="62">
        <f t="shared" si="102"/>
        <v>157.12482557016511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857.02101155317155</v>
      </c>
      <c r="S119" s="62">
        <f ca="1">AVERAGE(OFFSET($R$3,0,0,'Données projet'!$E$9+1,1))-AVERAGE(OFFSET($H$3,0,0,'Données projet'!$E$9+1,1))</f>
        <v>428.8489304403459</v>
      </c>
      <c r="T119" s="62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2">
        <f t="shared" si="59"/>
        <v>923.43507275383013</v>
      </c>
      <c r="AN119" s="62">
        <f ca="1">AVERAGE(OFFSET($AM$3,0,0,'Données projet'!$E$10+1,1))-AVERAGE(OFFSET($H$3,0,0,'Données projet'!$E$10+1,1))</f>
        <v>475.47920969424894</v>
      </c>
      <c r="AO119" s="62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2.8421709430404007E-13</v>
      </c>
      <c r="BE119" s="14">
        <f>BD119*VLOOKUP('Données projet'!$B$11,Paramètres!$A$1:$I$89,3,0)*VLOOKUP('Données projet'!$B$11,Paramètres!$A$1:$I$89,5,0)</f>
        <v>1.3301360013429075E-13</v>
      </c>
      <c r="BF119" s="14">
        <f t="shared" si="91"/>
        <v>1.9329766731057041E-12</v>
      </c>
      <c r="BG119" s="22">
        <f t="shared" si="61"/>
        <v>3.5982663925596575E-12</v>
      </c>
      <c r="BH119" s="62">
        <f t="shared" si="62"/>
        <v>293.3333333333369</v>
      </c>
      <c r="BI119" s="62">
        <f ca="1">AVERAGE(OFFSET($BH$3,0,0,'Données projet'!$E$11+1,1))-AVERAGE(OFFSET($H$3,0,0,'Données projet'!$E$11+1,1))</f>
        <v>246.73711856758143</v>
      </c>
      <c r="BJ119" s="62">
        <f t="shared" si="92"/>
        <v>145.54897745089966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6.3550942286383367E-14</v>
      </c>
      <c r="CA119" s="14">
        <f t="shared" si="93"/>
        <v>1.0064464192543978E-12</v>
      </c>
      <c r="CB119" s="22">
        <f t="shared" si="64"/>
        <v>1.8635787380168604E-12</v>
      </c>
      <c r="CC119" s="62">
        <f t="shared" si="65"/>
        <v>293.33333333333519</v>
      </c>
      <c r="CD119" s="62">
        <f ca="1">AVERAGE(OFFSET($CC$3,0,0,'Données projet'!$E$12+1,1))-AVERAGE(OFFSET($H$3,0,0,'Données projet'!$E$12+1,1))</f>
        <v>321.13335003345236</v>
      </c>
      <c r="CE119" s="62">
        <f t="shared" si="94"/>
        <v>301.26825075712128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1.8998031229098071</v>
      </c>
      <c r="CM119" s="23">
        <f>EXP(-LN(2)/2)*CM118+(1-EXP(-LN(2)/2))/(LN(2)/2)*CG119*CJ119*VLOOKUP('Données projet'!$B$12,Paramètres!$A$1:$I$89,3,0)*0.475*44/12</f>
        <v>1.12108656012405E-12</v>
      </c>
      <c r="CN119" s="24">
        <f t="shared" si="66"/>
        <v>1.8998031229109282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6.7984728957526396E-14</v>
      </c>
      <c r="CV119" s="14">
        <f t="shared" si="95"/>
        <v>1.0682447123141398E-12</v>
      </c>
      <c r="CW119" s="22">
        <f t="shared" si="67"/>
        <v>1.978932943548152E-12</v>
      </c>
      <c r="CX119" s="62">
        <f t="shared" si="68"/>
        <v>293.3333333333353</v>
      </c>
      <c r="CY119" s="62">
        <f ca="1">AVERAGE(OFFSET($CX$3,0,0,'Données projet'!$E$13+1,1))-AVERAGE(OFFSET($H$3,0,0,'Données projet'!$E$13+1,1))</f>
        <v>260.02504691866199</v>
      </c>
      <c r="CZ119" s="62">
        <f t="shared" si="96"/>
        <v>270.11268336406368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1.8225808412708089</v>
      </c>
      <c r="DG119" s="23">
        <f>EXP(-LN(2)/25)*DG118+(1-EXP(-LN(2)/25))/(LN(2)/25)*Calculateur!DB119*Calculateur!DD119*VLOOKUP('Données projet'!$B$13,Paramètres!$A$1:$I$89,3,0)*0.475*44/12</f>
        <v>1.5144465036406882</v>
      </c>
      <c r="DH119" s="23">
        <f>EXP(-LN(2)/2)*DH118+(1-EXP(-LN(2)/2))/(LN(2)/2)*DB119*DE119*VLOOKUP('Données projet'!$B$13,Paramètres!$A$1:$I$89,3,0)*0.475*44/12</f>
        <v>7.2077011122062728E-13</v>
      </c>
      <c r="DI119" s="24">
        <f t="shared" si="69"/>
        <v>3.3370273449122179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-1.7053025658242404E-13</v>
      </c>
      <c r="DP119" s="18">
        <f>DO119*VLOOKUP('Données projet'!$B$14,Paramètres!$A$1:$I$89,3,0)*VLOOKUP('Données projet'!$B$14,Paramètres!$A$1:$I$89,5,0)</f>
        <v>-1.3567387213697657E-13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312.53381881960331</v>
      </c>
      <c r="DU119" s="62">
        <f t="shared" si="98"/>
        <v>342.06887933351783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</v>
      </c>
      <c r="EJ119" s="13">
        <f>IF('Données projet'!$A$192&gt;35,EJ118+EI119-ER118,IF(A119&lt;'Données projet'!$A$192,$EG$205^A119,IF(A119='Données projet'!$A$192,'Données projet'!$B$192,EJ118+EI119-ER118)))</f>
        <v>199.00000000000006</v>
      </c>
      <c r="EK119" s="18">
        <f>EJ119*VLOOKUP('Données projet'!$B$15,Paramètres!$A$1:$I$89,3,0)*VLOOKUP('Données projet'!$B$15,Paramètres!$A$1:$I$89,5,0)</f>
        <v>192.47280000000006</v>
      </c>
      <c r="EL119" s="14">
        <f t="shared" si="99"/>
        <v>48.086241710923829</v>
      </c>
      <c r="EM119" s="22">
        <f t="shared" si="73"/>
        <v>418.97366431319239</v>
      </c>
      <c r="EN119" s="62">
        <f t="shared" si="74"/>
        <v>712.3069976465257</v>
      </c>
      <c r="EO119" s="62">
        <f ca="1">AVERAGE(OFFSET($EN$3,0,0,'Données projet'!$E$15+1,1))-AVERAGE(OFFSET($H$3,0,0,'Données projet'!$E$15+1,1))</f>
        <v>255.59755832175625</v>
      </c>
      <c r="EP119" s="62">
        <f t="shared" si="100"/>
        <v>154.0840647586964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197.08445731383847</v>
      </c>
      <c r="FK119" s="62">
        <f t="shared" si="102"/>
        <v>157.12482557016511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864.09321134313223</v>
      </c>
      <c r="S120" s="62">
        <f ca="1">AVERAGE(OFFSET($R$3,0,0,'Données projet'!$E$9+1,1))-AVERAGE(OFFSET($H$3,0,0,'Données projet'!$E$9+1,1))</f>
        <v>428.8489304403459</v>
      </c>
      <c r="T120" s="62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2">
        <f t="shared" si="59"/>
        <v>931.34248202325739</v>
      </c>
      <c r="AN120" s="62">
        <f ca="1">AVERAGE(OFFSET($AM$3,0,0,'Données projet'!$E$10+1,1))-AVERAGE(OFFSET($H$3,0,0,'Données projet'!$E$10+1,1))</f>
        <v>475.47920969424894</v>
      </c>
      <c r="AO120" s="62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2.8421709430404007E-13</v>
      </c>
      <c r="BE120" s="14">
        <f>BD120*VLOOKUP('Données projet'!$B$11,Paramètres!$A$1:$I$89,3,0)*VLOOKUP('Données projet'!$B$11,Paramètres!$A$1:$I$89,5,0)</f>
        <v>1.3301360013429075E-13</v>
      </c>
      <c r="BF120" s="14">
        <f t="shared" si="91"/>
        <v>1.9329766731057041E-12</v>
      </c>
      <c r="BG120" s="22">
        <f t="shared" si="61"/>
        <v>3.5982663925596575E-12</v>
      </c>
      <c r="BH120" s="62">
        <f t="shared" si="62"/>
        <v>293.3333333333369</v>
      </c>
      <c r="BI120" s="62">
        <f ca="1">AVERAGE(OFFSET($BH$3,0,0,'Données projet'!$E$11+1,1))-AVERAGE(OFFSET($H$3,0,0,'Données projet'!$E$11+1,1))</f>
        <v>246.73711856758143</v>
      </c>
      <c r="BJ120" s="62">
        <f t="shared" si="92"/>
        <v>145.54897745089966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6.3550942286383367E-14</v>
      </c>
      <c r="CA120" s="14">
        <f t="shared" si="93"/>
        <v>1.0064464192543978E-12</v>
      </c>
      <c r="CB120" s="22">
        <f t="shared" si="64"/>
        <v>1.8635787380168604E-12</v>
      </c>
      <c r="CC120" s="62">
        <f t="shared" si="65"/>
        <v>293.33333333333519</v>
      </c>
      <c r="CD120" s="62">
        <f ca="1">AVERAGE(OFFSET($CC$3,0,0,'Données projet'!$E$12+1,1))-AVERAGE(OFFSET($H$3,0,0,'Données projet'!$E$12+1,1))</f>
        <v>321.13335003345236</v>
      </c>
      <c r="CE120" s="62">
        <f t="shared" si="94"/>
        <v>301.26825075712128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1.8478529066075342</v>
      </c>
      <c r="CM120" s="23">
        <f>EXP(-LN(2)/2)*CM119+(1-EXP(-LN(2)/2))/(LN(2)/2)*CG120*CJ120*VLOOKUP('Données projet'!$B$12,Paramètres!$A$1:$I$89,3,0)*0.475*44/12</f>
        <v>7.9272790896081587E-13</v>
      </c>
      <c r="CN120" s="24">
        <f t="shared" si="66"/>
        <v>1.8478529066083269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6.7984728957526396E-14</v>
      </c>
      <c r="CV120" s="14">
        <f t="shared" si="95"/>
        <v>1.0682447123141398E-12</v>
      </c>
      <c r="CW120" s="22">
        <f t="shared" si="67"/>
        <v>1.978932943548152E-12</v>
      </c>
      <c r="CX120" s="62">
        <f t="shared" si="68"/>
        <v>293.3333333333353</v>
      </c>
      <c r="CY120" s="62">
        <f ca="1">AVERAGE(OFFSET($CX$3,0,0,'Données projet'!$E$13+1,1))-AVERAGE(OFFSET($H$3,0,0,'Données projet'!$E$13+1,1))</f>
        <v>260.02504691866199</v>
      </c>
      <c r="CZ120" s="62">
        <f t="shared" si="96"/>
        <v>270.11268336406368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1.7868411426380337</v>
      </c>
      <c r="DG120" s="23">
        <f>EXP(-LN(2)/25)*DG119+(1-EXP(-LN(2)/25))/(LN(2)/25)*Calculateur!DB120*Calculateur!DD120*VLOOKUP('Données projet'!$B$13,Paramètres!$A$1:$I$89,3,0)*0.475*44/12</f>
        <v>1.4730338843573534</v>
      </c>
      <c r="DH120" s="23">
        <f>EXP(-LN(2)/2)*DH119+(1-EXP(-LN(2)/2))/(LN(2)/2)*DB120*DE120*VLOOKUP('Données projet'!$B$13,Paramètres!$A$1:$I$89,3,0)*0.475*44/12</f>
        <v>5.0966143332068762E-13</v>
      </c>
      <c r="DI120" s="24">
        <f t="shared" si="69"/>
        <v>3.2598750269958972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-1.7053025658242404E-13</v>
      </c>
      <c r="DP120" s="18">
        <f>DO120*VLOOKUP('Données projet'!$B$14,Paramètres!$A$1:$I$89,3,0)*VLOOKUP('Données projet'!$B$14,Paramètres!$A$1:$I$89,5,0)</f>
        <v>-1.3567387213697657E-13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312.53381881960331</v>
      </c>
      <c r="DU120" s="62">
        <f t="shared" si="98"/>
        <v>342.06887933351783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</v>
      </c>
      <c r="EJ120" s="13">
        <f>IF('Données projet'!$A$192&gt;35,EJ119+EI120-ER119,IF(A120&lt;'Données projet'!$A$192,$EG$205^A120,IF(A120='Données projet'!$A$192,'Données projet'!$B$192,EJ119+EI120-ER119)))</f>
        <v>202.00000000000006</v>
      </c>
      <c r="EK120" s="18">
        <f>EJ120*VLOOKUP('Données projet'!$B$15,Paramètres!$A$1:$I$89,3,0)*VLOOKUP('Données projet'!$B$15,Paramètres!$A$1:$I$89,5,0)</f>
        <v>195.37440000000007</v>
      </c>
      <c r="EL120" s="14">
        <f t="shared" si="99"/>
        <v>48.726220575731695</v>
      </c>
      <c r="EM120" s="22">
        <f t="shared" si="73"/>
        <v>425.14191416939951</v>
      </c>
      <c r="EN120" s="62">
        <f t="shared" si="74"/>
        <v>718.47524750273283</v>
      </c>
      <c r="EO120" s="62">
        <f ca="1">AVERAGE(OFFSET($EN$3,0,0,'Données projet'!$E$15+1,1))-AVERAGE(OFFSET($H$3,0,0,'Données projet'!$E$15+1,1))</f>
        <v>255.59755832175625</v>
      </c>
      <c r="EP120" s="62">
        <f t="shared" si="100"/>
        <v>154.0840647586964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197.08445731383847</v>
      </c>
      <c r="FK120" s="62">
        <f t="shared" si="102"/>
        <v>157.12482557016511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871.16358065090617</v>
      </c>
      <c r="S121" s="62">
        <f ca="1">AVERAGE(OFFSET($R$3,0,0,'Données projet'!$E$9+1,1))-AVERAGE(OFFSET($H$3,0,0,'Données projet'!$E$9+1,1))</f>
        <v>428.8489304403459</v>
      </c>
      <c r="T121" s="62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2">
        <f t="shared" si="59"/>
        <v>939.24786691857776</v>
      </c>
      <c r="AN121" s="62">
        <f ca="1">AVERAGE(OFFSET($AM$3,0,0,'Données projet'!$E$10+1,1))-AVERAGE(OFFSET($H$3,0,0,'Données projet'!$E$10+1,1))</f>
        <v>475.47920969424894</v>
      </c>
      <c r="AO121" s="62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2.8421709430404007E-13</v>
      </c>
      <c r="BE121" s="14">
        <f>BD121*VLOOKUP('Données projet'!$B$11,Paramètres!$A$1:$I$89,3,0)*VLOOKUP('Données projet'!$B$11,Paramètres!$A$1:$I$89,5,0)</f>
        <v>1.3301360013429075E-13</v>
      </c>
      <c r="BF121" s="14">
        <f t="shared" si="91"/>
        <v>1.9329766731057041E-12</v>
      </c>
      <c r="BG121" s="22">
        <f t="shared" si="61"/>
        <v>3.5982663925596575E-12</v>
      </c>
      <c r="BH121" s="62">
        <f t="shared" si="62"/>
        <v>293.3333333333369</v>
      </c>
      <c r="BI121" s="62">
        <f ca="1">AVERAGE(OFFSET($BH$3,0,0,'Données projet'!$E$11+1,1))-AVERAGE(OFFSET($H$3,0,0,'Données projet'!$E$11+1,1))</f>
        <v>246.73711856758143</v>
      </c>
      <c r="BJ121" s="62">
        <f t="shared" si="92"/>
        <v>145.54897745089966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6.3550942286383367E-14</v>
      </c>
      <c r="CA121" s="14">
        <f t="shared" si="93"/>
        <v>1.0064464192543978E-12</v>
      </c>
      <c r="CB121" s="22">
        <f t="shared" si="64"/>
        <v>1.8635787380168604E-12</v>
      </c>
      <c r="CC121" s="62">
        <f t="shared" si="65"/>
        <v>293.33333333333519</v>
      </c>
      <c r="CD121" s="62">
        <f ca="1">AVERAGE(OFFSET($CC$3,0,0,'Données projet'!$E$12+1,1))-AVERAGE(OFFSET($H$3,0,0,'Données projet'!$E$12+1,1))</f>
        <v>321.13335003345236</v>
      </c>
      <c r="CE121" s="62">
        <f t="shared" si="94"/>
        <v>301.26825075712128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1.7973232717019902</v>
      </c>
      <c r="CM121" s="23">
        <f>EXP(-LN(2)/2)*CM120+(1-EXP(-LN(2)/2))/(LN(2)/2)*CG121*CJ121*VLOOKUP('Données projet'!$B$12,Paramètres!$A$1:$I$89,3,0)*0.475*44/12</f>
        <v>5.6054328006202498E-13</v>
      </c>
      <c r="CN121" s="24">
        <f t="shared" si="66"/>
        <v>1.7973232717025507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6.7984728957526396E-14</v>
      </c>
      <c r="CV121" s="14">
        <f t="shared" si="95"/>
        <v>1.0682447123141398E-12</v>
      </c>
      <c r="CW121" s="22">
        <f t="shared" si="67"/>
        <v>1.978932943548152E-12</v>
      </c>
      <c r="CX121" s="62">
        <f t="shared" si="68"/>
        <v>293.3333333333353</v>
      </c>
      <c r="CY121" s="62">
        <f ca="1">AVERAGE(OFFSET($CX$3,0,0,'Données projet'!$E$13+1,1))-AVERAGE(OFFSET($H$3,0,0,'Données projet'!$E$13+1,1))</f>
        <v>260.02504691866199</v>
      </c>
      <c r="CZ121" s="62">
        <f t="shared" si="96"/>
        <v>270.11268336406368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1.7518022776963835</v>
      </c>
      <c r="DG121" s="23">
        <f>EXP(-LN(2)/25)*DG120+(1-EXP(-LN(2)/25))/(LN(2)/25)*Calculateur!DB121*Calculateur!DD121*VLOOKUP('Données projet'!$B$13,Paramètres!$A$1:$I$89,3,0)*0.475*44/12</f>
        <v>1.4327536953261162</v>
      </c>
      <c r="DH121" s="23">
        <f>EXP(-LN(2)/2)*DH120+(1-EXP(-LN(2)/2))/(LN(2)/2)*DB121*DE121*VLOOKUP('Données projet'!$B$13,Paramètres!$A$1:$I$89,3,0)*0.475*44/12</f>
        <v>3.6038505561031364E-13</v>
      </c>
      <c r="DI121" s="24">
        <f t="shared" si="69"/>
        <v>3.1845559730228601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-1.7053025658242404E-13</v>
      </c>
      <c r="DP121" s="18">
        <f>DO121*VLOOKUP('Données projet'!$B$14,Paramètres!$A$1:$I$89,3,0)*VLOOKUP('Données projet'!$B$14,Paramètres!$A$1:$I$89,5,0)</f>
        <v>-1.3567387213697657E-13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312.53381881960331</v>
      </c>
      <c r="DU121" s="62">
        <f t="shared" si="98"/>
        <v>342.06887933351783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</v>
      </c>
      <c r="EJ121" s="13">
        <f>IF('Données projet'!$A$192&gt;35,EJ120+EI121-ER120,IF(A121&lt;'Données projet'!$A$192,$EG$205^A121,IF(A121='Données projet'!$A$192,'Données projet'!$B$192,EJ120+EI121-ER120)))</f>
        <v>205.00000000000006</v>
      </c>
      <c r="EK121" s="18">
        <f>EJ121*VLOOKUP('Données projet'!$B$15,Paramètres!$A$1:$I$89,3,0)*VLOOKUP('Données projet'!$B$15,Paramètres!$A$1:$I$89,5,0)</f>
        <v>198.27600000000007</v>
      </c>
      <c r="EL121" s="14">
        <f t="shared" si="99"/>
        <v>49.365094013592753</v>
      </c>
      <c r="EM121" s="22">
        <f t="shared" si="73"/>
        <v>431.30823874034081</v>
      </c>
      <c r="EN121" s="62">
        <f t="shared" si="74"/>
        <v>724.64157207367407</v>
      </c>
      <c r="EO121" s="62">
        <f ca="1">AVERAGE(OFFSET($EN$3,0,0,'Données projet'!$E$15+1,1))-AVERAGE(OFFSET($H$3,0,0,'Données projet'!$E$15+1,1))</f>
        <v>255.59755832175625</v>
      </c>
      <c r="EP121" s="62">
        <f t="shared" si="100"/>
        <v>154.0840647586964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197.08445731383847</v>
      </c>
      <c r="FK121" s="62">
        <f t="shared" si="102"/>
        <v>157.12482557016511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878.23214503815643</v>
      </c>
      <c r="S122" s="62">
        <f ca="1">AVERAGE(OFFSET($R$3,0,0,'Données projet'!$E$9+1,1))-AVERAGE(OFFSET($H$3,0,0,'Données projet'!$E$9+1,1))</f>
        <v>428.8489304403459</v>
      </c>
      <c r="T122" s="62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2">
        <f t="shared" si="59"/>
        <v>947.15125570904661</v>
      </c>
      <c r="AN122" s="62">
        <f ca="1">AVERAGE(OFFSET($AM$3,0,0,'Données projet'!$E$10+1,1))-AVERAGE(OFFSET($H$3,0,0,'Données projet'!$E$10+1,1))</f>
        <v>475.47920969424894</v>
      </c>
      <c r="AO122" s="62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2.8421709430404007E-13</v>
      </c>
      <c r="BE122" s="14">
        <f>BD122*VLOOKUP('Données projet'!$B$11,Paramètres!$A$1:$I$89,3,0)*VLOOKUP('Données projet'!$B$11,Paramètres!$A$1:$I$89,5,0)</f>
        <v>1.3301360013429075E-13</v>
      </c>
      <c r="BF122" s="14">
        <f t="shared" si="91"/>
        <v>1.9329766731057041E-12</v>
      </c>
      <c r="BG122" s="22">
        <f t="shared" si="61"/>
        <v>3.5982663925596575E-12</v>
      </c>
      <c r="BH122" s="62">
        <f t="shared" si="62"/>
        <v>293.3333333333369</v>
      </c>
      <c r="BI122" s="62">
        <f ca="1">AVERAGE(OFFSET($BH$3,0,0,'Données projet'!$E$11+1,1))-AVERAGE(OFFSET($H$3,0,0,'Données projet'!$E$11+1,1))</f>
        <v>246.73711856758143</v>
      </c>
      <c r="BJ122" s="62">
        <f t="shared" si="92"/>
        <v>145.54897745089966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6.3550942286383367E-14</v>
      </c>
      <c r="CA122" s="14">
        <f t="shared" si="93"/>
        <v>1.0064464192543978E-12</v>
      </c>
      <c r="CB122" s="22">
        <f t="shared" si="64"/>
        <v>1.8635787380168604E-12</v>
      </c>
      <c r="CC122" s="62">
        <f t="shared" si="65"/>
        <v>293.33333333333519</v>
      </c>
      <c r="CD122" s="62">
        <f ca="1">AVERAGE(OFFSET($CC$3,0,0,'Données projet'!$E$12+1,1))-AVERAGE(OFFSET($H$3,0,0,'Données projet'!$E$12+1,1))</f>
        <v>321.13335003345236</v>
      </c>
      <c r="CE122" s="62">
        <f t="shared" si="94"/>
        <v>301.26825075712128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1.7481753723201763</v>
      </c>
      <c r="CM122" s="23">
        <f>EXP(-LN(2)/2)*CM121+(1-EXP(-LN(2)/2))/(LN(2)/2)*CG122*CJ122*VLOOKUP('Données projet'!$B$12,Paramètres!$A$1:$I$89,3,0)*0.475*44/12</f>
        <v>3.9636395448040793E-13</v>
      </c>
      <c r="CN122" s="24">
        <f t="shared" si="66"/>
        <v>1.7481753723205726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6.7984728957526396E-14</v>
      </c>
      <c r="CV122" s="14">
        <f t="shared" si="95"/>
        <v>1.0682447123141398E-12</v>
      </c>
      <c r="CW122" s="22">
        <f t="shared" si="67"/>
        <v>1.978932943548152E-12</v>
      </c>
      <c r="CX122" s="62">
        <f t="shared" si="68"/>
        <v>293.3333333333353</v>
      </c>
      <c r="CY122" s="62">
        <f ca="1">AVERAGE(OFFSET($CX$3,0,0,'Données projet'!$E$13+1,1))-AVERAGE(OFFSET($H$3,0,0,'Données projet'!$E$13+1,1))</f>
        <v>260.02504691866199</v>
      </c>
      <c r="CZ122" s="62">
        <f t="shared" si="96"/>
        <v>270.11268336406368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1.7174505035246419</v>
      </c>
      <c r="DG122" s="23">
        <f>EXP(-LN(2)/25)*DG121+(1-EXP(-LN(2)/25))/(LN(2)/25)*Calculateur!DB122*Calculateur!DD122*VLOOKUP('Données projet'!$B$13,Paramètres!$A$1:$I$89,3,0)*0.475*44/12</f>
        <v>1.3935749701821813</v>
      </c>
      <c r="DH122" s="23">
        <f>EXP(-LN(2)/2)*DH121+(1-EXP(-LN(2)/2))/(LN(2)/2)*DB122*DE122*VLOOKUP('Données projet'!$B$13,Paramètres!$A$1:$I$89,3,0)*0.475*44/12</f>
        <v>2.5483071666034381E-13</v>
      </c>
      <c r="DI122" s="24">
        <f t="shared" si="69"/>
        <v>3.1110254737070782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-1.7053025658242404E-13</v>
      </c>
      <c r="DP122" s="18">
        <f>DO122*VLOOKUP('Données projet'!$B$14,Paramètres!$A$1:$I$89,3,0)*VLOOKUP('Données projet'!$B$14,Paramètres!$A$1:$I$89,5,0)</f>
        <v>-1.3567387213697657E-13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312.53381881960331</v>
      </c>
      <c r="DU122" s="62">
        <f t="shared" si="98"/>
        <v>342.06887933351783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</v>
      </c>
      <c r="EJ122" s="13">
        <f>IF('Données projet'!$A$192&gt;35,EJ121+EI122-ER121,IF(A122&lt;'Données projet'!$A$192,$EG$205^A122,IF(A122='Données projet'!$A$192,'Données projet'!$B$192,EJ121+EI122-ER121)))</f>
        <v>208.00000000000006</v>
      </c>
      <c r="EK122" s="18">
        <f>EJ122*VLOOKUP('Données projet'!$B$15,Paramètres!$A$1:$I$89,3,0)*VLOOKUP('Données projet'!$B$15,Paramètres!$A$1:$I$89,5,0)</f>
        <v>201.17760000000007</v>
      </c>
      <c r="EL122" s="14">
        <f t="shared" si="99"/>
        <v>50.002880070410733</v>
      </c>
      <c r="EM122" s="22">
        <f t="shared" si="73"/>
        <v>437.47266945596539</v>
      </c>
      <c r="EN122" s="62">
        <f t="shared" si="74"/>
        <v>730.80600278929865</v>
      </c>
      <c r="EO122" s="62">
        <f ca="1">AVERAGE(OFFSET($EN$3,0,0,'Données projet'!$E$15+1,1))-AVERAGE(OFFSET($H$3,0,0,'Données projet'!$E$15+1,1))</f>
        <v>255.59755832175625</v>
      </c>
      <c r="EP122" s="62">
        <f t="shared" si="100"/>
        <v>154.0840647586964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197.08445731383847</v>
      </c>
      <c r="FK122" s="62">
        <f t="shared" si="102"/>
        <v>157.12482557016511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885.29892939819752</v>
      </c>
      <c r="S123" s="62">
        <f ca="1">AVERAGE(OFFSET($R$3,0,0,'Données projet'!$E$9+1,1))-AVERAGE(OFFSET($H$3,0,0,'Données projet'!$E$9+1,1))</f>
        <v>428.8489304403459</v>
      </c>
      <c r="T123" s="62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2">
        <f t="shared" si="59"/>
        <v>955.05267592477753</v>
      </c>
      <c r="AN123" s="62">
        <f ca="1">AVERAGE(OFFSET($AM$3,0,0,'Données projet'!$E$10+1,1))-AVERAGE(OFFSET($H$3,0,0,'Données projet'!$E$10+1,1))</f>
        <v>475.47920969424894</v>
      </c>
      <c r="AO123" s="62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2.8421709430404007E-13</v>
      </c>
      <c r="BE123" s="14">
        <f>BD123*VLOOKUP('Données projet'!$B$11,Paramètres!$A$1:$I$89,3,0)*VLOOKUP('Données projet'!$B$11,Paramètres!$A$1:$I$89,5,0)</f>
        <v>1.3301360013429075E-13</v>
      </c>
      <c r="BF123" s="14">
        <f t="shared" si="91"/>
        <v>1.9329766731057041E-12</v>
      </c>
      <c r="BG123" s="22">
        <f t="shared" si="61"/>
        <v>3.5982663925596575E-12</v>
      </c>
      <c r="BH123" s="62">
        <f t="shared" si="62"/>
        <v>293.3333333333369</v>
      </c>
      <c r="BI123" s="62">
        <f ca="1">AVERAGE(OFFSET($BH$3,0,0,'Données projet'!$E$11+1,1))-AVERAGE(OFFSET($H$3,0,0,'Données projet'!$E$11+1,1))</f>
        <v>246.73711856758143</v>
      </c>
      <c r="BJ123" s="62">
        <f t="shared" si="92"/>
        <v>145.54897745089966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6.3550942286383367E-14</v>
      </c>
      <c r="CA123" s="14">
        <f t="shared" si="93"/>
        <v>1.0064464192543978E-12</v>
      </c>
      <c r="CB123" s="22">
        <f t="shared" si="64"/>
        <v>1.8635787380168604E-12</v>
      </c>
      <c r="CC123" s="62">
        <f t="shared" si="65"/>
        <v>293.33333333333519</v>
      </c>
      <c r="CD123" s="62">
        <f ca="1">AVERAGE(OFFSET($CC$3,0,0,'Données projet'!$E$12+1,1))-AVERAGE(OFFSET($H$3,0,0,'Données projet'!$E$12+1,1))</f>
        <v>321.13335003345236</v>
      </c>
      <c r="CE123" s="62">
        <f t="shared" si="94"/>
        <v>301.26825075712128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1.7003714248315338</v>
      </c>
      <c r="CM123" s="23">
        <f>EXP(-LN(2)/2)*CM122+(1-EXP(-LN(2)/2))/(LN(2)/2)*CG123*CJ123*VLOOKUP('Données projet'!$B$12,Paramètres!$A$1:$I$89,3,0)*0.475*44/12</f>
        <v>2.8027164003101249E-13</v>
      </c>
      <c r="CN123" s="24">
        <f t="shared" si="66"/>
        <v>1.700371424831814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6.7984728957526396E-14</v>
      </c>
      <c r="CV123" s="14">
        <f t="shared" si="95"/>
        <v>1.0682447123141398E-12</v>
      </c>
      <c r="CW123" s="22">
        <f t="shared" si="67"/>
        <v>1.978932943548152E-12</v>
      </c>
      <c r="CX123" s="62">
        <f t="shared" si="68"/>
        <v>293.3333333333353</v>
      </c>
      <c r="CY123" s="62">
        <f ca="1">AVERAGE(OFFSET($CX$3,0,0,'Données projet'!$E$13+1,1))-AVERAGE(OFFSET($H$3,0,0,'Données projet'!$E$13+1,1))</f>
        <v>260.02504691866199</v>
      </c>
      <c r="CZ123" s="62">
        <f t="shared" si="96"/>
        <v>270.11268336406368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1.6837723466918948</v>
      </c>
      <c r="DG123" s="23">
        <f>EXP(-LN(2)/25)*DG122+(1-EXP(-LN(2)/25))/(LN(2)/25)*Calculateur!DB123*Calculateur!DD123*VLOOKUP('Données projet'!$B$13,Paramètres!$A$1:$I$89,3,0)*0.475*44/12</f>
        <v>1.3554675893376269</v>
      </c>
      <c r="DH123" s="23">
        <f>EXP(-LN(2)/2)*DH122+(1-EXP(-LN(2)/2))/(LN(2)/2)*DB123*DE123*VLOOKUP('Données projet'!$B$13,Paramètres!$A$1:$I$89,3,0)*0.475*44/12</f>
        <v>1.8019252780515682E-13</v>
      </c>
      <c r="DI123" s="24">
        <f t="shared" si="69"/>
        <v>3.039239936029702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-1.7053025658242404E-13</v>
      </c>
      <c r="DP123" s="18">
        <f>DO123*VLOOKUP('Données projet'!$B$14,Paramètres!$A$1:$I$89,3,0)*VLOOKUP('Données projet'!$B$14,Paramètres!$A$1:$I$89,5,0)</f>
        <v>-1.3567387213697657E-13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312.53381881960331</v>
      </c>
      <c r="DU123" s="62">
        <f t="shared" si="98"/>
        <v>342.06887933351783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211</v>
      </c>
      <c r="EH123" s="13">
        <f>VLOOKUP(A123,'Données projet'!$A$191:$I$211,9,0)</f>
        <v>3</v>
      </c>
      <c r="EI123" s="13">
        <f t="array" ref="EI123">INDEX(EH:EH,MIN(IF(ISNUMBER(EH123:EH319),ROW(EH123:EH319),"")))</f>
        <v>3</v>
      </c>
      <c r="EJ123" s="13">
        <f>IF('Données projet'!$A$192&gt;35,EJ122+EI123-ER122,IF(A123&lt;'Données projet'!$A$192,$EG$205^A123,IF(A123='Données projet'!$A$192,'Données projet'!$B$192,EJ122+EI123-ER122)))</f>
        <v>211.00000000000006</v>
      </c>
      <c r="EK123" s="18">
        <f>EJ123*VLOOKUP('Données projet'!$B$15,Paramètres!$A$1:$I$89,3,0)*VLOOKUP('Données projet'!$B$15,Paramètres!$A$1:$I$89,5,0)</f>
        <v>204.07920000000004</v>
      </c>
      <c r="EL123" s="14">
        <f t="shared" si="99"/>
        <v>50.639596241643567</v>
      </c>
      <c r="EM123" s="22">
        <f t="shared" si="73"/>
        <v>443.63523678752927</v>
      </c>
      <c r="EN123" s="62">
        <f t="shared" si="74"/>
        <v>736.96857012086252</v>
      </c>
      <c r="EO123" s="62">
        <f ca="1">AVERAGE(OFFSET($EN$3,0,0,'Données projet'!$E$15+1,1))-AVERAGE(OFFSET($H$3,0,0,'Données projet'!$E$15+1,1))</f>
        <v>255.59755832175625</v>
      </c>
      <c r="EP123" s="62">
        <f t="shared" si="100"/>
        <v>154.0840647586964</v>
      </c>
      <c r="EQ123" s="16">
        <f>IF(ISNA(VLOOKUP(A123,'Données projet'!$A$191:$I$211,3,0)),0,VLOOKUP(A123,'Données projet'!$A$191:$I$211,3,0))</f>
        <v>9</v>
      </c>
      <c r="ER123" s="16">
        <f>IF(ISNA(VLOOKUP(A123,'Données projet'!$A$191:$I$211,4,0)),0,VLOOKUP(A123,'Données projet'!$A$191:$I$211,4,0))</f>
        <v>211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197.08445731383847</v>
      </c>
      <c r="FK123" s="62">
        <f t="shared" si="102"/>
        <v>157.12482557016511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824.50283387733225</v>
      </c>
      <c r="S124" s="62">
        <f ca="1">AVERAGE(OFFSET($R$3,0,0,'Données projet'!$E$9+1,1))-AVERAGE(OFFSET($H$3,0,0,'Données projet'!$E$9+1,1))</f>
        <v>428.8489304403459</v>
      </c>
      <c r="T124" s="62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2">
        <f t="shared" si="59"/>
        <v>887.07687356967608</v>
      </c>
      <c r="AN124" s="62">
        <f ca="1">AVERAGE(OFFSET($AM$3,0,0,'Données projet'!$E$10+1,1))-AVERAGE(OFFSET($H$3,0,0,'Données projet'!$E$10+1,1))</f>
        <v>475.47920969424894</v>
      </c>
      <c r="AO124" s="62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2.8421709430404007E-13</v>
      </c>
      <c r="BE124" s="14">
        <f>BD124*VLOOKUP('Données projet'!$B$11,Paramètres!$A$1:$I$89,3,0)*VLOOKUP('Données projet'!$B$11,Paramètres!$A$1:$I$89,5,0)</f>
        <v>1.3301360013429075E-13</v>
      </c>
      <c r="BF124" s="14">
        <f t="shared" si="91"/>
        <v>1.9329766731057041E-12</v>
      </c>
      <c r="BG124" s="22">
        <f t="shared" si="61"/>
        <v>3.5982663925596575E-12</v>
      </c>
      <c r="BH124" s="62">
        <f t="shared" si="62"/>
        <v>293.3333333333369</v>
      </c>
      <c r="BI124" s="62">
        <f ca="1">AVERAGE(OFFSET($BH$3,0,0,'Données projet'!$E$11+1,1))-AVERAGE(OFFSET($H$3,0,0,'Données projet'!$E$11+1,1))</f>
        <v>246.73711856758143</v>
      </c>
      <c r="BJ124" s="62">
        <f t="shared" si="92"/>
        <v>145.54897745089966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6.3550942286383367E-14</v>
      </c>
      <c r="CA124" s="14">
        <f t="shared" si="93"/>
        <v>1.0064464192543978E-12</v>
      </c>
      <c r="CB124" s="22">
        <f t="shared" si="64"/>
        <v>1.8635787380168604E-12</v>
      </c>
      <c r="CC124" s="62">
        <f t="shared" si="65"/>
        <v>293.33333333333519</v>
      </c>
      <c r="CD124" s="62">
        <f ca="1">AVERAGE(OFFSET($CC$3,0,0,'Données projet'!$E$12+1,1))-AVERAGE(OFFSET($H$3,0,0,'Données projet'!$E$12+1,1))</f>
        <v>321.13335003345236</v>
      </c>
      <c r="CE124" s="62">
        <f t="shared" si="94"/>
        <v>301.26825075712128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1.6538746788008685</v>
      </c>
      <c r="CM124" s="23">
        <f>EXP(-LN(2)/2)*CM123+(1-EXP(-LN(2)/2))/(LN(2)/2)*CG124*CJ124*VLOOKUP('Données projet'!$B$12,Paramètres!$A$1:$I$89,3,0)*0.475*44/12</f>
        <v>1.9818197724020397E-13</v>
      </c>
      <c r="CN124" s="24">
        <f t="shared" si="66"/>
        <v>1.6538746788010668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6.7984728957526396E-14</v>
      </c>
      <c r="CV124" s="14">
        <f t="shared" si="95"/>
        <v>1.0682447123141398E-12</v>
      </c>
      <c r="CW124" s="22">
        <f t="shared" si="67"/>
        <v>1.978932943548152E-12</v>
      </c>
      <c r="CX124" s="62">
        <f t="shared" si="68"/>
        <v>293.3333333333353</v>
      </c>
      <c r="CY124" s="62">
        <f ca="1">AVERAGE(OFFSET($CX$3,0,0,'Données projet'!$E$13+1,1))-AVERAGE(OFFSET($H$3,0,0,'Données projet'!$E$13+1,1))</f>
        <v>260.02504691866199</v>
      </c>
      <c r="CZ124" s="62">
        <f t="shared" si="96"/>
        <v>270.11268336406368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1.6507545979729905</v>
      </c>
      <c r="DG124" s="23">
        <f>EXP(-LN(2)/25)*DG123+(1-EXP(-LN(2)/25))/(LN(2)/25)*Calculateur!DB124*Calculateur!DD124*VLOOKUP('Données projet'!$B$13,Paramètres!$A$1:$I$89,3,0)*0.475*44/12</f>
        <v>1.318402256826247</v>
      </c>
      <c r="DH124" s="23">
        <f>EXP(-LN(2)/2)*DH123+(1-EXP(-LN(2)/2))/(LN(2)/2)*DB124*DE124*VLOOKUP('Données projet'!$B$13,Paramètres!$A$1:$I$89,3,0)*0.475*44/12</f>
        <v>1.274153583301719E-13</v>
      </c>
      <c r="DI124" s="24">
        <f t="shared" si="69"/>
        <v>2.969156854799365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-1.7053025658242404E-13</v>
      </c>
      <c r="DP124" s="18">
        <f>DO124*VLOOKUP('Données projet'!$B$14,Paramètres!$A$1:$I$89,3,0)*VLOOKUP('Données projet'!$B$14,Paramètres!$A$1:$I$89,5,0)</f>
        <v>-1.3567387213697657E-13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312.53381881960331</v>
      </c>
      <c r="DU124" s="62">
        <f t="shared" si="98"/>
        <v>342.06887933351783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5.4978954722173515E-14</v>
      </c>
      <c r="EL124" s="14">
        <f t="shared" si="99"/>
        <v>8.8550225887742724E-13</v>
      </c>
      <c r="EM124" s="22">
        <f t="shared" si="73"/>
        <v>1.6380047803526383E-12</v>
      </c>
      <c r="EN124" s="62">
        <f t="shared" si="74"/>
        <v>293.33333333333496</v>
      </c>
      <c r="EO124" s="62">
        <f ca="1">AVERAGE(OFFSET($EN$3,0,0,'Données projet'!$E$15+1,1))-AVERAGE(OFFSET($H$3,0,0,'Données projet'!$E$15+1,1))</f>
        <v>255.59755832175625</v>
      </c>
      <c r="EP124" s="62">
        <f t="shared" si="100"/>
        <v>154.0840647586964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197.08445731383847</v>
      </c>
      <c r="FK124" s="62">
        <f t="shared" si="102"/>
        <v>157.12482557016511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830.62702157178478</v>
      </c>
      <c r="S125" s="62">
        <f ca="1">AVERAGE(OFFSET($R$3,0,0,'Données projet'!$E$9+1,1))-AVERAGE(OFFSET($H$3,0,0,'Données projet'!$E$9+1,1))</f>
        <v>428.8489304403459</v>
      </c>
      <c r="T125" s="62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2">
        <f t="shared" si="59"/>
        <v>893.92421921427581</v>
      </c>
      <c r="AN125" s="62">
        <f ca="1">AVERAGE(OFFSET($AM$3,0,0,'Données projet'!$E$10+1,1))-AVERAGE(OFFSET($H$3,0,0,'Données projet'!$E$10+1,1))</f>
        <v>475.47920969424894</v>
      </c>
      <c r="AO125" s="62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2.8421709430404007E-13</v>
      </c>
      <c r="BE125" s="14">
        <f>BD125*VLOOKUP('Données projet'!$B$11,Paramètres!$A$1:$I$89,3,0)*VLOOKUP('Données projet'!$B$11,Paramètres!$A$1:$I$89,5,0)</f>
        <v>1.3301360013429075E-13</v>
      </c>
      <c r="BF125" s="14">
        <f t="shared" si="91"/>
        <v>1.9329766731057041E-12</v>
      </c>
      <c r="BG125" s="22">
        <f t="shared" si="61"/>
        <v>3.5982663925596575E-12</v>
      </c>
      <c r="BH125" s="62">
        <f t="shared" si="62"/>
        <v>293.3333333333369</v>
      </c>
      <c r="BI125" s="62">
        <f ca="1">AVERAGE(OFFSET($BH$3,0,0,'Données projet'!$E$11+1,1))-AVERAGE(OFFSET($H$3,0,0,'Données projet'!$E$11+1,1))</f>
        <v>246.73711856758143</v>
      </c>
      <c r="BJ125" s="62">
        <f t="shared" si="92"/>
        <v>145.54897745089966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6.3550942286383367E-14</v>
      </c>
      <c r="CA125" s="14">
        <f t="shared" si="93"/>
        <v>1.0064464192543978E-12</v>
      </c>
      <c r="CB125" s="22">
        <f t="shared" si="64"/>
        <v>1.8635787380168604E-12</v>
      </c>
      <c r="CC125" s="62">
        <f t="shared" si="65"/>
        <v>293.33333333333519</v>
      </c>
      <c r="CD125" s="62">
        <f ca="1">AVERAGE(OFFSET($CC$3,0,0,'Données projet'!$E$12+1,1))-AVERAGE(OFFSET($H$3,0,0,'Données projet'!$E$12+1,1))</f>
        <v>321.13335003345236</v>
      </c>
      <c r="CE125" s="62">
        <f t="shared" si="94"/>
        <v>301.26825075712128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1.6086493887355693</v>
      </c>
      <c r="CM125" s="23">
        <f>EXP(-LN(2)/2)*CM124+(1-EXP(-LN(2)/2))/(LN(2)/2)*CG125*CJ125*VLOOKUP('Données projet'!$B$12,Paramètres!$A$1:$I$89,3,0)*0.475*44/12</f>
        <v>1.4013582001550625E-13</v>
      </c>
      <c r="CN125" s="24">
        <f t="shared" si="66"/>
        <v>1.6086493887357094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6.7984728957526396E-14</v>
      </c>
      <c r="CV125" s="14">
        <f t="shared" si="95"/>
        <v>1.0682447123141398E-12</v>
      </c>
      <c r="CW125" s="22">
        <f t="shared" si="67"/>
        <v>1.978932943548152E-12</v>
      </c>
      <c r="CX125" s="62">
        <f t="shared" si="68"/>
        <v>293.3333333333353</v>
      </c>
      <c r="CY125" s="62">
        <f ca="1">AVERAGE(OFFSET($CX$3,0,0,'Données projet'!$E$13+1,1))-AVERAGE(OFFSET($H$3,0,0,'Données projet'!$E$13+1,1))</f>
        <v>260.02504691866199</v>
      </c>
      <c r="CZ125" s="62">
        <f t="shared" si="96"/>
        <v>270.11268336406368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1.6183843071676256</v>
      </c>
      <c r="DG125" s="23">
        <f>EXP(-LN(2)/25)*DG124+(1-EXP(-LN(2)/25))/(LN(2)/25)*Calculateur!DB125*Calculateur!DD125*VLOOKUP('Données projet'!$B$13,Paramètres!$A$1:$I$89,3,0)*0.475*44/12</f>
        <v>1.2823504777815717</v>
      </c>
      <c r="DH125" s="23">
        <f>EXP(-LN(2)/2)*DH124+(1-EXP(-LN(2)/2))/(LN(2)/2)*DB125*DE125*VLOOKUP('Données projet'!$B$13,Paramètres!$A$1:$I$89,3,0)*0.475*44/12</f>
        <v>9.009626390257841E-14</v>
      </c>
      <c r="DI125" s="24">
        <f t="shared" si="69"/>
        <v>2.9007347849492873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-1.7053025658242404E-13</v>
      </c>
      <c r="DP125" s="18">
        <f>DO125*VLOOKUP('Données projet'!$B$14,Paramètres!$A$1:$I$89,3,0)*VLOOKUP('Données projet'!$B$14,Paramètres!$A$1:$I$89,5,0)</f>
        <v>-1.3567387213697657E-13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312.53381881960331</v>
      </c>
      <c r="DU125" s="62">
        <f t="shared" si="98"/>
        <v>342.06887933351783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5.4978954722173515E-14</v>
      </c>
      <c r="EL125" s="14">
        <f t="shared" si="99"/>
        <v>8.8550225887742724E-13</v>
      </c>
      <c r="EM125" s="22">
        <f t="shared" si="73"/>
        <v>1.6380047803526383E-12</v>
      </c>
      <c r="EN125" s="62">
        <f t="shared" si="74"/>
        <v>293.33333333333496</v>
      </c>
      <c r="EO125" s="62">
        <f ca="1">AVERAGE(OFFSET($EN$3,0,0,'Données projet'!$E$15+1,1))-AVERAGE(OFFSET($H$3,0,0,'Données projet'!$E$15+1,1))</f>
        <v>255.59755832175625</v>
      </c>
      <c r="EP125" s="62">
        <f t="shared" si="100"/>
        <v>154.0840647586964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197.08445731383847</v>
      </c>
      <c r="FK125" s="62">
        <f t="shared" si="102"/>
        <v>157.12482557016511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836.74974224894845</v>
      </c>
      <c r="S126" s="62">
        <f ca="1">AVERAGE(OFFSET($R$3,0,0,'Données projet'!$E$9+1,1))-AVERAGE(OFFSET($H$3,0,0,'Données projet'!$E$9+1,1))</f>
        <v>428.8489304403459</v>
      </c>
      <c r="T126" s="62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2">
        <f t="shared" si="59"/>
        <v>900.76994244930756</v>
      </c>
      <c r="AN126" s="62">
        <f ca="1">AVERAGE(OFFSET($AM$3,0,0,'Données projet'!$E$10+1,1))-AVERAGE(OFFSET($H$3,0,0,'Données projet'!$E$10+1,1))</f>
        <v>475.47920969424894</v>
      </c>
      <c r="AO126" s="62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2.8421709430404007E-13</v>
      </c>
      <c r="BE126" s="14">
        <f>BD126*VLOOKUP('Données projet'!$B$11,Paramètres!$A$1:$I$89,3,0)*VLOOKUP('Données projet'!$B$11,Paramètres!$A$1:$I$89,5,0)</f>
        <v>1.3301360013429075E-13</v>
      </c>
      <c r="BF126" s="14">
        <f t="shared" si="91"/>
        <v>1.9329766731057041E-12</v>
      </c>
      <c r="BG126" s="22">
        <f t="shared" si="61"/>
        <v>3.5982663925596575E-12</v>
      </c>
      <c r="BH126" s="62">
        <f t="shared" si="62"/>
        <v>293.3333333333369</v>
      </c>
      <c r="BI126" s="62">
        <f ca="1">AVERAGE(OFFSET($BH$3,0,0,'Données projet'!$E$11+1,1))-AVERAGE(OFFSET($H$3,0,0,'Données projet'!$E$11+1,1))</f>
        <v>246.73711856758143</v>
      </c>
      <c r="BJ126" s="62">
        <f t="shared" si="92"/>
        <v>145.54897745089966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6.3550942286383367E-14</v>
      </c>
      <c r="CA126" s="14">
        <f t="shared" si="93"/>
        <v>1.0064464192543978E-12</v>
      </c>
      <c r="CB126" s="22">
        <f t="shared" si="64"/>
        <v>1.8635787380168604E-12</v>
      </c>
      <c r="CC126" s="62">
        <f t="shared" si="65"/>
        <v>293.33333333333519</v>
      </c>
      <c r="CD126" s="62">
        <f ca="1">AVERAGE(OFFSET($CC$3,0,0,'Données projet'!$E$12+1,1))-AVERAGE(OFFSET($H$3,0,0,'Données projet'!$E$12+1,1))</f>
        <v>321.13335003345236</v>
      </c>
      <c r="CE126" s="62">
        <f t="shared" si="94"/>
        <v>301.26825075712128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1.5646607866054003</v>
      </c>
      <c r="CM126" s="23">
        <f>EXP(-LN(2)/2)*CM125+(1-EXP(-LN(2)/2))/(LN(2)/2)*CG126*CJ126*VLOOKUP('Données projet'!$B$12,Paramètres!$A$1:$I$89,3,0)*0.475*44/12</f>
        <v>9.9090988620101983E-14</v>
      </c>
      <c r="CN126" s="24">
        <f t="shared" si="66"/>
        <v>1.5646607866054993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6.7984728957526396E-14</v>
      </c>
      <c r="CV126" s="14">
        <f t="shared" si="95"/>
        <v>1.0682447123141398E-12</v>
      </c>
      <c r="CW126" s="22">
        <f t="shared" si="67"/>
        <v>1.978932943548152E-12</v>
      </c>
      <c r="CX126" s="62">
        <f t="shared" si="68"/>
        <v>293.3333333333353</v>
      </c>
      <c r="CY126" s="62">
        <f ca="1">AVERAGE(OFFSET($CX$3,0,0,'Données projet'!$E$13+1,1))-AVERAGE(OFFSET($H$3,0,0,'Données projet'!$E$13+1,1))</f>
        <v>260.02504691866199</v>
      </c>
      <c r="CZ126" s="62">
        <f t="shared" si="96"/>
        <v>270.11268336406368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1.5866487780210261</v>
      </c>
      <c r="DG126" s="23">
        <f>EXP(-LN(2)/25)*DG125+(1-EXP(-LN(2)/25))/(LN(2)/25)*Calculateur!DB126*Calculateur!DD126*VLOOKUP('Données projet'!$B$13,Paramètres!$A$1:$I$89,3,0)*0.475*44/12</f>
        <v>1.2472845365307539</v>
      </c>
      <c r="DH126" s="23">
        <f>EXP(-LN(2)/2)*DH125+(1-EXP(-LN(2)/2))/(LN(2)/2)*DB126*DE126*VLOOKUP('Données projet'!$B$13,Paramètres!$A$1:$I$89,3,0)*0.475*44/12</f>
        <v>6.3707679165085952E-14</v>
      </c>
      <c r="DI126" s="24">
        <f t="shared" si="69"/>
        <v>2.8339333145518437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-1.7053025658242404E-13</v>
      </c>
      <c r="DP126" s="18">
        <f>DO126*VLOOKUP('Données projet'!$B$14,Paramètres!$A$1:$I$89,3,0)*VLOOKUP('Données projet'!$B$14,Paramètres!$A$1:$I$89,5,0)</f>
        <v>-1.3567387213697657E-13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312.53381881960331</v>
      </c>
      <c r="DU126" s="62">
        <f t="shared" si="98"/>
        <v>342.06887933351783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5.4978954722173515E-14</v>
      </c>
      <c r="EL126" s="14">
        <f t="shared" si="99"/>
        <v>8.8550225887742724E-13</v>
      </c>
      <c r="EM126" s="22">
        <f t="shared" si="73"/>
        <v>1.6380047803526383E-12</v>
      </c>
      <c r="EN126" s="62">
        <f t="shared" si="74"/>
        <v>293.33333333333496</v>
      </c>
      <c r="EO126" s="62">
        <f ca="1">AVERAGE(OFFSET($EN$3,0,0,'Données projet'!$E$15+1,1))-AVERAGE(OFFSET($H$3,0,0,'Données projet'!$E$15+1,1))</f>
        <v>255.59755832175625</v>
      </c>
      <c r="EP126" s="62">
        <f t="shared" si="100"/>
        <v>154.0840647586964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197.08445731383847</v>
      </c>
      <c r="FK126" s="62">
        <f t="shared" si="102"/>
        <v>157.12482557016511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842.87101477628971</v>
      </c>
      <c r="S127" s="62">
        <f ca="1">AVERAGE(OFFSET($R$3,0,0,'Données projet'!$E$9+1,1))-AVERAGE(OFFSET($H$3,0,0,'Données projet'!$E$9+1,1))</f>
        <v>428.8489304403459</v>
      </c>
      <c r="T127" s="62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2">
        <f t="shared" si="59"/>
        <v>907.61406414075418</v>
      </c>
      <c r="AN127" s="62">
        <f ca="1">AVERAGE(OFFSET($AM$3,0,0,'Données projet'!$E$10+1,1))-AVERAGE(OFFSET($H$3,0,0,'Données projet'!$E$10+1,1))</f>
        <v>475.47920969424894</v>
      </c>
      <c r="AO127" s="62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2.8421709430404007E-13</v>
      </c>
      <c r="BE127" s="14">
        <f>BD127*VLOOKUP('Données projet'!$B$11,Paramètres!$A$1:$I$89,3,0)*VLOOKUP('Données projet'!$B$11,Paramètres!$A$1:$I$89,5,0)</f>
        <v>1.3301360013429075E-13</v>
      </c>
      <c r="BF127" s="14">
        <f t="shared" si="91"/>
        <v>1.9329766731057041E-12</v>
      </c>
      <c r="BG127" s="22">
        <f t="shared" si="61"/>
        <v>3.5982663925596575E-12</v>
      </c>
      <c r="BH127" s="62">
        <f t="shared" si="62"/>
        <v>293.3333333333369</v>
      </c>
      <c r="BI127" s="62">
        <f ca="1">AVERAGE(OFFSET($BH$3,0,0,'Données projet'!$E$11+1,1))-AVERAGE(OFFSET($H$3,0,0,'Données projet'!$E$11+1,1))</f>
        <v>246.73711856758143</v>
      </c>
      <c r="BJ127" s="62">
        <f t="shared" si="92"/>
        <v>145.54897745089966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6.3550942286383367E-14</v>
      </c>
      <c r="CA127" s="14">
        <f t="shared" si="93"/>
        <v>1.0064464192543978E-12</v>
      </c>
      <c r="CB127" s="22">
        <f t="shared" si="64"/>
        <v>1.8635787380168604E-12</v>
      </c>
      <c r="CC127" s="62">
        <f t="shared" si="65"/>
        <v>293.33333333333519</v>
      </c>
      <c r="CD127" s="62">
        <f ca="1">AVERAGE(OFFSET($CC$3,0,0,'Données projet'!$E$12+1,1))-AVERAGE(OFFSET($H$3,0,0,'Données projet'!$E$12+1,1))</f>
        <v>321.13335003345236</v>
      </c>
      <c r="CE127" s="62">
        <f t="shared" si="94"/>
        <v>301.26825075712128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1.521875055113741</v>
      </c>
      <c r="CM127" s="23">
        <f>EXP(-LN(2)/2)*CM126+(1-EXP(-LN(2)/2))/(LN(2)/2)*CG127*CJ127*VLOOKUP('Données projet'!$B$12,Paramètres!$A$1:$I$89,3,0)*0.475*44/12</f>
        <v>7.0067910007753123E-14</v>
      </c>
      <c r="CN127" s="24">
        <f t="shared" si="66"/>
        <v>1.5218750551138112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6.7984728957526396E-14</v>
      </c>
      <c r="CV127" s="14">
        <f t="shared" si="95"/>
        <v>1.0682447123141398E-12</v>
      </c>
      <c r="CW127" s="22">
        <f t="shared" si="67"/>
        <v>1.978932943548152E-12</v>
      </c>
      <c r="CX127" s="62">
        <f t="shared" si="68"/>
        <v>293.3333333333353</v>
      </c>
      <c r="CY127" s="62">
        <f ca="1">AVERAGE(OFFSET($CX$3,0,0,'Données projet'!$E$13+1,1))-AVERAGE(OFFSET($H$3,0,0,'Données projet'!$E$13+1,1))</f>
        <v>260.02504691866199</v>
      </c>
      <c r="CZ127" s="62">
        <f t="shared" si="96"/>
        <v>270.11268336406368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1.55553556324423</v>
      </c>
      <c r="DG127" s="23">
        <f>EXP(-LN(2)/25)*DG126+(1-EXP(-LN(2)/25))/(LN(2)/25)*Calculateur!DB127*Calculateur!DD127*VLOOKUP('Données projet'!$B$13,Paramètres!$A$1:$I$89,3,0)*0.475*44/12</f>
        <v>1.2131774752874773</v>
      </c>
      <c r="DH127" s="23">
        <f>EXP(-LN(2)/2)*DH126+(1-EXP(-LN(2)/2))/(LN(2)/2)*DB127*DE127*VLOOKUP('Données projet'!$B$13,Paramètres!$A$1:$I$89,3,0)*0.475*44/12</f>
        <v>4.5048131951289205E-14</v>
      </c>
      <c r="DI127" s="24">
        <f t="shared" si="69"/>
        <v>2.7687130385317524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-1.7053025658242404E-13</v>
      </c>
      <c r="DP127" s="18">
        <f>DO127*VLOOKUP('Données projet'!$B$14,Paramètres!$A$1:$I$89,3,0)*VLOOKUP('Données projet'!$B$14,Paramètres!$A$1:$I$89,5,0)</f>
        <v>-1.3567387213697657E-13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312.53381881960331</v>
      </c>
      <c r="DU127" s="62">
        <f t="shared" si="98"/>
        <v>342.06887933351783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5.4978954722173515E-14</v>
      </c>
      <c r="EL127" s="14">
        <f t="shared" si="99"/>
        <v>8.8550225887742724E-13</v>
      </c>
      <c r="EM127" s="22">
        <f t="shared" si="73"/>
        <v>1.6380047803526383E-12</v>
      </c>
      <c r="EN127" s="62">
        <f t="shared" si="74"/>
        <v>293.33333333333496</v>
      </c>
      <c r="EO127" s="62">
        <f ca="1">AVERAGE(OFFSET($EN$3,0,0,'Données projet'!$E$15+1,1))-AVERAGE(OFFSET($H$3,0,0,'Données projet'!$E$15+1,1))</f>
        <v>255.59755832175625</v>
      </c>
      <c r="EP127" s="62">
        <f t="shared" si="100"/>
        <v>154.0840647586964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197.08445731383847</v>
      </c>
      <c r="FK127" s="62">
        <f t="shared" si="102"/>
        <v>157.12482557016511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848.99085756649174</v>
      </c>
      <c r="S128" s="62">
        <f ca="1">AVERAGE(OFFSET($R$3,0,0,'Données projet'!$E$9+1,1))-AVERAGE(OFFSET($H$3,0,0,'Données projet'!$E$9+1,1))</f>
        <v>428.8489304403459</v>
      </c>
      <c r="T128" s="62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2">
        <f t="shared" si="59"/>
        <v>914.45660465164383</v>
      </c>
      <c r="AN128" s="62">
        <f ca="1">AVERAGE(OFFSET($AM$3,0,0,'Données projet'!$E$10+1,1))-AVERAGE(OFFSET($H$3,0,0,'Données projet'!$E$10+1,1))</f>
        <v>475.47920969424894</v>
      </c>
      <c r="AO128" s="62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2.8421709430404007E-13</v>
      </c>
      <c r="BE128" s="14">
        <f>BD128*VLOOKUP('Données projet'!$B$11,Paramètres!$A$1:$I$89,3,0)*VLOOKUP('Données projet'!$B$11,Paramètres!$A$1:$I$89,5,0)</f>
        <v>1.3301360013429075E-13</v>
      </c>
      <c r="BF128" s="14">
        <f t="shared" si="91"/>
        <v>1.9329766731057041E-12</v>
      </c>
      <c r="BG128" s="22">
        <f t="shared" si="61"/>
        <v>3.5982663925596575E-12</v>
      </c>
      <c r="BH128" s="62">
        <f t="shared" si="62"/>
        <v>293.3333333333369</v>
      </c>
      <c r="BI128" s="62">
        <f ca="1">AVERAGE(OFFSET($BH$3,0,0,'Données projet'!$E$11+1,1))-AVERAGE(OFFSET($H$3,0,0,'Données projet'!$E$11+1,1))</f>
        <v>246.73711856758143</v>
      </c>
      <c r="BJ128" s="62">
        <f t="shared" si="92"/>
        <v>145.54897745089966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6.3550942286383367E-14</v>
      </c>
      <c r="CA128" s="14">
        <f t="shared" si="93"/>
        <v>1.0064464192543978E-12</v>
      </c>
      <c r="CB128" s="22">
        <f t="shared" si="64"/>
        <v>1.8635787380168604E-12</v>
      </c>
      <c r="CC128" s="62">
        <f t="shared" si="65"/>
        <v>293.33333333333519</v>
      </c>
      <c r="CD128" s="62">
        <f ca="1">AVERAGE(OFFSET($CC$3,0,0,'Données projet'!$E$12+1,1))-AVERAGE(OFFSET($H$3,0,0,'Données projet'!$E$12+1,1))</f>
        <v>321.13335003345236</v>
      </c>
      <c r="CE128" s="62">
        <f t="shared" si="94"/>
        <v>301.26825075712128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1.480259301699725</v>
      </c>
      <c r="CM128" s="23">
        <f>EXP(-LN(2)/2)*CM127+(1-EXP(-LN(2)/2))/(LN(2)/2)*CG128*CJ128*VLOOKUP('Données projet'!$B$12,Paramètres!$A$1:$I$89,3,0)*0.475*44/12</f>
        <v>4.9545494310050992E-14</v>
      </c>
      <c r="CN128" s="24">
        <f t="shared" si="66"/>
        <v>1.4802593016997745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6.7984728957526396E-14</v>
      </c>
      <c r="CV128" s="14">
        <f t="shared" si="95"/>
        <v>1.0682447123141398E-12</v>
      </c>
      <c r="CW128" s="22">
        <f t="shared" si="67"/>
        <v>1.978932943548152E-12</v>
      </c>
      <c r="CX128" s="62">
        <f t="shared" si="68"/>
        <v>293.3333333333353</v>
      </c>
      <c r="CY128" s="62">
        <f ca="1">AVERAGE(OFFSET($CX$3,0,0,'Données projet'!$E$13+1,1))-AVERAGE(OFFSET($H$3,0,0,'Données projet'!$E$13+1,1))</f>
        <v>260.02504691866199</v>
      </c>
      <c r="CZ128" s="62">
        <f t="shared" si="96"/>
        <v>270.11268336406368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1.5250324596320197</v>
      </c>
      <c r="DG128" s="23">
        <f>EXP(-LN(2)/25)*DG127+(1-EXP(-LN(2)/25))/(LN(2)/25)*Calculateur!DB128*Calculateur!DD128*VLOOKUP('Données projet'!$B$13,Paramètres!$A$1:$I$89,3,0)*0.475*44/12</f>
        <v>1.1800030734275107</v>
      </c>
      <c r="DH128" s="23">
        <f>EXP(-LN(2)/2)*DH127+(1-EXP(-LN(2)/2))/(LN(2)/2)*DB128*DE128*VLOOKUP('Données projet'!$B$13,Paramètres!$A$1:$I$89,3,0)*0.475*44/12</f>
        <v>3.1853839582542976E-14</v>
      </c>
      <c r="DI128" s="24">
        <f t="shared" si="69"/>
        <v>2.7050355330595623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-1.7053025658242404E-13</v>
      </c>
      <c r="DP128" s="18">
        <f>DO128*VLOOKUP('Données projet'!$B$14,Paramètres!$A$1:$I$89,3,0)*VLOOKUP('Données projet'!$B$14,Paramètres!$A$1:$I$89,5,0)</f>
        <v>-1.3567387213697657E-13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312.53381881960331</v>
      </c>
      <c r="DU128" s="62">
        <f t="shared" si="98"/>
        <v>342.06887933351783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5.4978954722173515E-14</v>
      </c>
      <c r="EL128" s="14">
        <f t="shared" si="99"/>
        <v>8.8550225887742724E-13</v>
      </c>
      <c r="EM128" s="22">
        <f t="shared" si="73"/>
        <v>1.6380047803526383E-12</v>
      </c>
      <c r="EN128" s="62">
        <f t="shared" si="74"/>
        <v>293.33333333333496</v>
      </c>
      <c r="EO128" s="62">
        <f ca="1">AVERAGE(OFFSET($EN$3,0,0,'Données projet'!$E$15+1,1))-AVERAGE(OFFSET($H$3,0,0,'Données projet'!$E$15+1,1))</f>
        <v>255.59755832175625</v>
      </c>
      <c r="EP128" s="62">
        <f t="shared" si="100"/>
        <v>154.0840647586964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197.08445731383847</v>
      </c>
      <c r="FK128" s="62">
        <f t="shared" si="102"/>
        <v>157.12482557016511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855.10928859341493</v>
      </c>
      <c r="S129" s="62">
        <f ca="1">AVERAGE(OFFSET($R$3,0,0,'Données projet'!$E$9+1,1))-AVERAGE(OFFSET($H$3,0,0,'Données projet'!$E$9+1,1))</f>
        <v>428.8489304403459</v>
      </c>
      <c r="T129" s="62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2">
        <f t="shared" si="59"/>
        <v>921.29758385969899</v>
      </c>
      <c r="AN129" s="62">
        <f ca="1">AVERAGE(OFFSET($AM$3,0,0,'Données projet'!$E$10+1,1))-AVERAGE(OFFSET($H$3,0,0,'Données projet'!$E$10+1,1))</f>
        <v>475.47920969424894</v>
      </c>
      <c r="AO129" s="62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2.8421709430404007E-13</v>
      </c>
      <c r="BE129" s="14">
        <f>BD129*VLOOKUP('Données projet'!$B$11,Paramètres!$A$1:$I$89,3,0)*VLOOKUP('Données projet'!$B$11,Paramètres!$A$1:$I$89,5,0)</f>
        <v>1.3301360013429075E-13</v>
      </c>
      <c r="BF129" s="14">
        <f t="shared" si="91"/>
        <v>1.9329766731057041E-12</v>
      </c>
      <c r="BG129" s="22">
        <f t="shared" si="61"/>
        <v>3.5982663925596575E-12</v>
      </c>
      <c r="BH129" s="62">
        <f t="shared" si="62"/>
        <v>293.3333333333369</v>
      </c>
      <c r="BI129" s="62">
        <f ca="1">AVERAGE(OFFSET($BH$3,0,0,'Données projet'!$E$11+1,1))-AVERAGE(OFFSET($H$3,0,0,'Données projet'!$E$11+1,1))</f>
        <v>246.73711856758143</v>
      </c>
      <c r="BJ129" s="62">
        <f t="shared" si="92"/>
        <v>145.54897745089966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6.3550942286383367E-14</v>
      </c>
      <c r="CA129" s="14">
        <f t="shared" si="93"/>
        <v>1.0064464192543978E-12</v>
      </c>
      <c r="CB129" s="22">
        <f t="shared" si="64"/>
        <v>1.8635787380168604E-12</v>
      </c>
      <c r="CC129" s="62">
        <f t="shared" si="65"/>
        <v>293.33333333333519</v>
      </c>
      <c r="CD129" s="62">
        <f ca="1">AVERAGE(OFFSET($CC$3,0,0,'Données projet'!$E$12+1,1))-AVERAGE(OFFSET($H$3,0,0,'Données projet'!$E$12+1,1))</f>
        <v>321.13335003345236</v>
      </c>
      <c r="CE129" s="62">
        <f t="shared" si="94"/>
        <v>301.26825075712128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1.4397815332512924</v>
      </c>
      <c r="CM129" s="23">
        <f>EXP(-LN(2)/2)*CM128+(1-EXP(-LN(2)/2))/(LN(2)/2)*CG129*CJ129*VLOOKUP('Données projet'!$B$12,Paramètres!$A$1:$I$89,3,0)*0.475*44/12</f>
        <v>3.5033955003876561E-14</v>
      </c>
      <c r="CN129" s="24">
        <f t="shared" si="66"/>
        <v>1.4397815332513275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6.7984728957526396E-14</v>
      </c>
      <c r="CV129" s="14">
        <f t="shared" si="95"/>
        <v>1.0682447123141398E-12</v>
      </c>
      <c r="CW129" s="22">
        <f t="shared" si="67"/>
        <v>1.978932943548152E-12</v>
      </c>
      <c r="CX129" s="62">
        <f t="shared" si="68"/>
        <v>293.3333333333353</v>
      </c>
      <c r="CY129" s="62">
        <f ca="1">AVERAGE(OFFSET($CX$3,0,0,'Données projet'!$E$13+1,1))-AVERAGE(OFFSET($H$3,0,0,'Données projet'!$E$13+1,1))</f>
        <v>260.02504691866199</v>
      </c>
      <c r="CZ129" s="62">
        <f t="shared" si="96"/>
        <v>270.11268336406368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1.4951275032765887</v>
      </c>
      <c r="DG129" s="23">
        <f>EXP(-LN(2)/25)*DG128+(1-EXP(-LN(2)/25))/(LN(2)/25)*Calculateur!DB129*Calculateur!DD129*VLOOKUP('Données projet'!$B$13,Paramètres!$A$1:$I$89,3,0)*0.475*44/12</f>
        <v>1.1477358273309706</v>
      </c>
      <c r="DH129" s="23">
        <f>EXP(-LN(2)/2)*DH128+(1-EXP(-LN(2)/2))/(LN(2)/2)*DB129*DE129*VLOOKUP('Données projet'!$B$13,Paramètres!$A$1:$I$89,3,0)*0.475*44/12</f>
        <v>2.2524065975644603E-14</v>
      </c>
      <c r="DI129" s="24">
        <f t="shared" si="69"/>
        <v>2.6428633306075819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-1.7053025658242404E-13</v>
      </c>
      <c r="DP129" s="18">
        <f>DO129*VLOOKUP('Données projet'!$B$14,Paramètres!$A$1:$I$89,3,0)*VLOOKUP('Données projet'!$B$14,Paramètres!$A$1:$I$89,5,0)</f>
        <v>-1.3567387213697657E-13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312.53381881960331</v>
      </c>
      <c r="DU129" s="62">
        <f t="shared" si="98"/>
        <v>342.06887933351783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5.4978954722173515E-14</v>
      </c>
      <c r="EL129" s="14">
        <f t="shared" si="99"/>
        <v>8.8550225887742724E-13</v>
      </c>
      <c r="EM129" s="22">
        <f t="shared" si="73"/>
        <v>1.6380047803526383E-12</v>
      </c>
      <c r="EN129" s="62">
        <f t="shared" si="74"/>
        <v>293.33333333333496</v>
      </c>
      <c r="EO129" s="62">
        <f ca="1">AVERAGE(OFFSET($EN$3,0,0,'Données projet'!$E$15+1,1))-AVERAGE(OFFSET($H$3,0,0,'Données projet'!$E$15+1,1))</f>
        <v>255.59755832175625</v>
      </c>
      <c r="EP129" s="62">
        <f t="shared" si="100"/>
        <v>154.0840647586964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197.08445731383847</v>
      </c>
      <c r="FK129" s="62">
        <f t="shared" si="102"/>
        <v>157.12482557016511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861.22632540732639</v>
      </c>
      <c r="S130" s="62">
        <f ca="1">AVERAGE(OFFSET($R$3,0,0,'Données projet'!$E$9+1,1))-AVERAGE(OFFSET($H$3,0,0,'Données projet'!$E$9+1,1))</f>
        <v>428.8489304403459</v>
      </c>
      <c r="T130" s="62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2">
        <f t="shared" si="59"/>
        <v>928.13702117418029</v>
      </c>
      <c r="AN130" s="62">
        <f ca="1">AVERAGE(OFFSET($AM$3,0,0,'Données projet'!$E$10+1,1))-AVERAGE(OFFSET($H$3,0,0,'Données projet'!$E$10+1,1))</f>
        <v>475.47920969424894</v>
      </c>
      <c r="AO130" s="62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2.8421709430404007E-13</v>
      </c>
      <c r="BE130" s="14">
        <f>BD130*VLOOKUP('Données projet'!$B$11,Paramètres!$A$1:$I$89,3,0)*VLOOKUP('Données projet'!$B$11,Paramètres!$A$1:$I$89,5,0)</f>
        <v>1.3301360013429075E-13</v>
      </c>
      <c r="BF130" s="14">
        <f t="shared" si="91"/>
        <v>1.9329766731057041E-12</v>
      </c>
      <c r="BG130" s="22">
        <f t="shared" si="61"/>
        <v>3.5982663925596575E-12</v>
      </c>
      <c r="BH130" s="62">
        <f t="shared" si="62"/>
        <v>293.3333333333369</v>
      </c>
      <c r="BI130" s="62">
        <f ca="1">AVERAGE(OFFSET($BH$3,0,0,'Données projet'!$E$11+1,1))-AVERAGE(OFFSET($H$3,0,0,'Données projet'!$E$11+1,1))</f>
        <v>246.73711856758143</v>
      </c>
      <c r="BJ130" s="62">
        <f t="shared" si="92"/>
        <v>145.54897745089966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6.3550942286383367E-14</v>
      </c>
      <c r="CA130" s="14">
        <f t="shared" si="93"/>
        <v>1.0064464192543978E-12</v>
      </c>
      <c r="CB130" s="22">
        <f t="shared" si="64"/>
        <v>1.8635787380168604E-12</v>
      </c>
      <c r="CC130" s="62">
        <f t="shared" si="65"/>
        <v>293.33333333333519</v>
      </c>
      <c r="CD130" s="62">
        <f ca="1">AVERAGE(OFFSET($CC$3,0,0,'Données projet'!$E$12+1,1))-AVERAGE(OFFSET($H$3,0,0,'Données projet'!$E$12+1,1))</f>
        <v>321.13335003345236</v>
      </c>
      <c r="CE130" s="62">
        <f t="shared" si="94"/>
        <v>301.26825075712128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1.4004106315097156</v>
      </c>
      <c r="CM130" s="23">
        <f>EXP(-LN(2)/2)*CM129+(1-EXP(-LN(2)/2))/(LN(2)/2)*CG130*CJ130*VLOOKUP('Données projet'!$B$12,Paramètres!$A$1:$I$89,3,0)*0.475*44/12</f>
        <v>2.4772747155025496E-14</v>
      </c>
      <c r="CN130" s="24">
        <f t="shared" si="66"/>
        <v>1.4004106315097404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6.7984728957526396E-14</v>
      </c>
      <c r="CV130" s="14">
        <f t="shared" si="95"/>
        <v>1.0682447123141398E-12</v>
      </c>
      <c r="CW130" s="22">
        <f t="shared" si="67"/>
        <v>1.978932943548152E-12</v>
      </c>
      <c r="CX130" s="62">
        <f t="shared" si="68"/>
        <v>293.3333333333353</v>
      </c>
      <c r="CY130" s="62">
        <f ca="1">AVERAGE(OFFSET($CX$3,0,0,'Données projet'!$E$13+1,1))-AVERAGE(OFFSET($H$3,0,0,'Données projet'!$E$13+1,1))</f>
        <v>260.02504691866199</v>
      </c>
      <c r="CZ130" s="62">
        <f t="shared" si="96"/>
        <v>270.11268336406368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1.4658089648750654</v>
      </c>
      <c r="DG130" s="23">
        <f>EXP(-LN(2)/25)*DG129+(1-EXP(-LN(2)/25))/(LN(2)/25)*Calculateur!DB130*Calculateur!DD130*VLOOKUP('Données projet'!$B$13,Paramètres!$A$1:$I$89,3,0)*0.475*44/12</f>
        <v>1.1163509307758013</v>
      </c>
      <c r="DH130" s="23">
        <f>EXP(-LN(2)/2)*DH129+(1-EXP(-LN(2)/2))/(LN(2)/2)*DB130*DE130*VLOOKUP('Données projet'!$B$13,Paramètres!$A$1:$I$89,3,0)*0.475*44/12</f>
        <v>1.5926919791271488E-14</v>
      </c>
      <c r="DI130" s="24">
        <f t="shared" si="69"/>
        <v>2.5821598956508827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-1.7053025658242404E-13</v>
      </c>
      <c r="DP130" s="18">
        <f>DO130*VLOOKUP('Données projet'!$B$14,Paramètres!$A$1:$I$89,3,0)*VLOOKUP('Données projet'!$B$14,Paramètres!$A$1:$I$89,5,0)</f>
        <v>-1.3567387213697657E-13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312.53381881960331</v>
      </c>
      <c r="DU130" s="62">
        <f t="shared" si="98"/>
        <v>342.06887933351783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5.4978954722173515E-14</v>
      </c>
      <c r="EL130" s="14">
        <f t="shared" si="99"/>
        <v>8.8550225887742724E-13</v>
      </c>
      <c r="EM130" s="22">
        <f t="shared" si="73"/>
        <v>1.6380047803526383E-12</v>
      </c>
      <c r="EN130" s="62">
        <f t="shared" si="74"/>
        <v>293.33333333333496</v>
      </c>
      <c r="EO130" s="62">
        <f ca="1">AVERAGE(OFFSET($EN$3,0,0,'Données projet'!$E$15+1,1))-AVERAGE(OFFSET($H$3,0,0,'Données projet'!$E$15+1,1))</f>
        <v>255.59755832175625</v>
      </c>
      <c r="EP130" s="62">
        <f t="shared" si="100"/>
        <v>154.0840647586964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197.08445731383847</v>
      </c>
      <c r="FK130" s="62">
        <f t="shared" si="102"/>
        <v>157.12482557016511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867.3419851494366</v>
      </c>
      <c r="S131" s="62">
        <f ca="1">AVERAGE(OFFSET($R$3,0,0,'Données projet'!$E$9+1,1))-AVERAGE(OFFSET($H$3,0,0,'Données projet'!$E$9+1,1))</f>
        <v>428.8489304403459</v>
      </c>
      <c r="T131" s="62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2">
        <f t="shared" si="59"/>
        <v>934.9749355519632</v>
      </c>
      <c r="AN131" s="62">
        <f ca="1">AVERAGE(OFFSET($AM$3,0,0,'Données projet'!$E$10+1,1))-AVERAGE(OFFSET($H$3,0,0,'Données projet'!$E$10+1,1))</f>
        <v>475.47920969424894</v>
      </c>
      <c r="AO131" s="62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2.8421709430404007E-13</v>
      </c>
      <c r="BE131" s="14">
        <f>BD131*VLOOKUP('Données projet'!$B$11,Paramètres!$A$1:$I$89,3,0)*VLOOKUP('Données projet'!$B$11,Paramètres!$A$1:$I$89,5,0)</f>
        <v>1.3301360013429075E-13</v>
      </c>
      <c r="BF131" s="14">
        <f t="shared" si="91"/>
        <v>1.9329766731057041E-12</v>
      </c>
      <c r="BG131" s="22">
        <f t="shared" si="61"/>
        <v>3.5982663925596575E-12</v>
      </c>
      <c r="BH131" s="62">
        <f t="shared" si="62"/>
        <v>293.3333333333369</v>
      </c>
      <c r="BI131" s="62">
        <f ca="1">AVERAGE(OFFSET($BH$3,0,0,'Données projet'!$E$11+1,1))-AVERAGE(OFFSET($H$3,0,0,'Données projet'!$E$11+1,1))</f>
        <v>246.73711856758143</v>
      </c>
      <c r="BJ131" s="62">
        <f t="shared" si="92"/>
        <v>145.54897745089966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6.3550942286383367E-14</v>
      </c>
      <c r="CA131" s="14">
        <f t="shared" si="93"/>
        <v>1.0064464192543978E-12</v>
      </c>
      <c r="CB131" s="22">
        <f t="shared" si="64"/>
        <v>1.8635787380168604E-12</v>
      </c>
      <c r="CC131" s="62">
        <f t="shared" si="65"/>
        <v>293.33333333333519</v>
      </c>
      <c r="CD131" s="62">
        <f ca="1">AVERAGE(OFFSET($CC$3,0,0,'Données projet'!$E$12+1,1))-AVERAGE(OFFSET($H$3,0,0,'Données projet'!$E$12+1,1))</f>
        <v>321.13335003345236</v>
      </c>
      <c r="CE131" s="62">
        <f t="shared" si="94"/>
        <v>301.26825075712128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1.362116329146688</v>
      </c>
      <c r="CM131" s="23">
        <f>EXP(-LN(2)/2)*CM130+(1-EXP(-LN(2)/2))/(LN(2)/2)*CG131*CJ131*VLOOKUP('Données projet'!$B$12,Paramètres!$A$1:$I$89,3,0)*0.475*44/12</f>
        <v>1.7516977501938281E-14</v>
      </c>
      <c r="CN131" s="24">
        <f t="shared" si="66"/>
        <v>1.3621163291467056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6.7984728957526396E-14</v>
      </c>
      <c r="CV131" s="14">
        <f t="shared" si="95"/>
        <v>1.0682447123141398E-12</v>
      </c>
      <c r="CW131" s="22">
        <f t="shared" si="67"/>
        <v>1.978932943548152E-12</v>
      </c>
      <c r="CX131" s="62">
        <f t="shared" si="68"/>
        <v>293.3333333333353</v>
      </c>
      <c r="CY131" s="62">
        <f ca="1">AVERAGE(OFFSET($CX$3,0,0,'Données projet'!$E$13+1,1))-AVERAGE(OFFSET($H$3,0,0,'Données projet'!$E$13+1,1))</f>
        <v>260.02504691866199</v>
      </c>
      <c r="CZ131" s="62">
        <f t="shared" si="96"/>
        <v>270.11268336406368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1.4370653451290534</v>
      </c>
      <c r="DG131" s="23">
        <f>EXP(-LN(2)/25)*DG130+(1-EXP(-LN(2)/25))/(LN(2)/25)*Calculateur!DB131*Calculateur!DD131*VLOOKUP('Données projet'!$B$13,Paramètres!$A$1:$I$89,3,0)*0.475*44/12</f>
        <v>1.085824255867393</v>
      </c>
      <c r="DH131" s="23">
        <f>EXP(-LN(2)/2)*DH130+(1-EXP(-LN(2)/2))/(LN(2)/2)*DB131*DE131*VLOOKUP('Données projet'!$B$13,Paramètres!$A$1:$I$89,3,0)*0.475*44/12</f>
        <v>1.1262032987822301E-14</v>
      </c>
      <c r="DI131" s="24">
        <f t="shared" si="69"/>
        <v>2.5228896009964576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-1.7053025658242404E-13</v>
      </c>
      <c r="DP131" s="18">
        <f>DO131*VLOOKUP('Données projet'!$B$14,Paramètres!$A$1:$I$89,3,0)*VLOOKUP('Données projet'!$B$14,Paramètres!$A$1:$I$89,5,0)</f>
        <v>-1.3567387213697657E-13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312.53381881960331</v>
      </c>
      <c r="DU131" s="62">
        <f t="shared" si="98"/>
        <v>342.06887933351783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5.4978954722173515E-14</v>
      </c>
      <c r="EL131" s="14">
        <f t="shared" si="99"/>
        <v>8.8550225887742724E-13</v>
      </c>
      <c r="EM131" s="22">
        <f t="shared" si="73"/>
        <v>1.6380047803526383E-12</v>
      </c>
      <c r="EN131" s="62">
        <f t="shared" si="74"/>
        <v>293.33333333333496</v>
      </c>
      <c r="EO131" s="62">
        <f ca="1">AVERAGE(OFFSET($EN$3,0,0,'Données projet'!$E$15+1,1))-AVERAGE(OFFSET($H$3,0,0,'Données projet'!$E$15+1,1))</f>
        <v>255.59755832175625</v>
      </c>
      <c r="EP131" s="62">
        <f t="shared" si="100"/>
        <v>154.0840647586964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197.08445731383847</v>
      </c>
      <c r="FK131" s="62">
        <f t="shared" si="102"/>
        <v>157.12482557016511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873.4562845657872</v>
      </c>
      <c r="S132" s="62">
        <f ca="1">AVERAGE(OFFSET($R$3,0,0,'Données projet'!$E$9+1,1))-AVERAGE(OFFSET($H$3,0,0,'Données projet'!$E$9+1,1))</f>
        <v>428.8489304403459</v>
      </c>
      <c r="T132" s="62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2">
        <f t="shared" ref="AM132:AM195" si="113">AL132+(AD132+AE132)*44/12</f>
        <v>941.81134551289711</v>
      </c>
      <c r="AN132" s="62">
        <f ca="1">AVERAGE(OFFSET($AM$3,0,0,'Données projet'!$E$10+1,1))-AVERAGE(OFFSET($H$3,0,0,'Données projet'!$E$10+1,1))</f>
        <v>475.47920969424894</v>
      </c>
      <c r="AO132" s="62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2.8421709430404007E-13</v>
      </c>
      <c r="BE132" s="14">
        <f>BD132*VLOOKUP('Données projet'!$B$11,Paramètres!$A$1:$I$89,3,0)*VLOOKUP('Données projet'!$B$11,Paramètres!$A$1:$I$89,5,0)</f>
        <v>1.3301360013429075E-13</v>
      </c>
      <c r="BF132" s="14">
        <f t="shared" si="91"/>
        <v>1.9329766731057041E-12</v>
      </c>
      <c r="BG132" s="22">
        <f t="shared" ref="BG132:BG153" si="115">(BE132+BF132)*0.475*44/12</f>
        <v>3.5982663925596575E-12</v>
      </c>
      <c r="BH132" s="62">
        <f t="shared" ref="BH132:BH195" si="116">BG132+(AY132+AZ132)*44/12</f>
        <v>293.3333333333369</v>
      </c>
      <c r="BI132" s="62">
        <f ca="1">AVERAGE(OFFSET($BH$3,0,0,'Données projet'!$E$11+1,1))-AVERAGE(OFFSET($H$3,0,0,'Données projet'!$E$11+1,1))</f>
        <v>246.73711856758143</v>
      </c>
      <c r="BJ132" s="62">
        <f t="shared" si="92"/>
        <v>145.54897745089966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6.3550942286383367E-14</v>
      </c>
      <c r="CA132" s="14">
        <f t="shared" si="93"/>
        <v>1.0064464192543978E-12</v>
      </c>
      <c r="CB132" s="22">
        <f t="shared" ref="CB132:CB153" si="118">(BZ132+CA132)*0.475*44/12</f>
        <v>1.8635787380168604E-12</v>
      </c>
      <c r="CC132" s="62">
        <f t="shared" ref="CC132:CC195" si="119">CB132+(BT132+BU132)*44/12</f>
        <v>293.33333333333519</v>
      </c>
      <c r="CD132" s="62">
        <f ca="1">AVERAGE(OFFSET($CC$3,0,0,'Données projet'!$E$12+1,1))-AVERAGE(OFFSET($H$3,0,0,'Données projet'!$E$12+1,1))</f>
        <v>321.13335003345236</v>
      </c>
      <c r="CE132" s="62">
        <f t="shared" si="94"/>
        <v>301.26825075712128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1.3248691864955873</v>
      </c>
      <c r="CM132" s="23">
        <f>EXP(-LN(2)/2)*CM131+(1-EXP(-LN(2)/2))/(LN(2)/2)*CG132*CJ132*VLOOKUP('Données projet'!$B$12,Paramètres!$A$1:$I$89,3,0)*0.475*44/12</f>
        <v>1.2386373577512748E-14</v>
      </c>
      <c r="CN132" s="24">
        <f t="shared" ref="CN132:CN153" si="120">SUM(CK132:CM132)</f>
        <v>1.3248691864955997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6.7984728957526396E-14</v>
      </c>
      <c r="CV132" s="14">
        <f t="shared" si="95"/>
        <v>1.0682447123141398E-12</v>
      </c>
      <c r="CW132" s="22">
        <f t="shared" ref="CW132:CW153" si="121">(CU132+CV132)*0.475*44/12</f>
        <v>1.978932943548152E-12</v>
      </c>
      <c r="CX132" s="62">
        <f t="shared" ref="CX132:CX195" si="122">CW132+(CO132+CP132)*44/12</f>
        <v>293.3333333333353</v>
      </c>
      <c r="CY132" s="62">
        <f ca="1">AVERAGE(OFFSET($CX$3,0,0,'Données projet'!$E$13+1,1))-AVERAGE(OFFSET($H$3,0,0,'Données projet'!$E$13+1,1))</f>
        <v>260.02504691866199</v>
      </c>
      <c r="CZ132" s="62">
        <f t="shared" si="96"/>
        <v>270.11268336406368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1.4088853702343838</v>
      </c>
      <c r="DG132" s="23">
        <f>EXP(-LN(2)/25)*DG131+(1-EXP(-LN(2)/25))/(LN(2)/25)*Calculateur!DB132*Calculateur!DD132*VLOOKUP('Données projet'!$B$13,Paramètres!$A$1:$I$89,3,0)*0.475*44/12</f>
        <v>1.0561323344896831</v>
      </c>
      <c r="DH132" s="23">
        <f>EXP(-LN(2)/2)*DH131+(1-EXP(-LN(2)/2))/(LN(2)/2)*DB132*DE132*VLOOKUP('Données projet'!$B$13,Paramètres!$A$1:$I$89,3,0)*0.475*44/12</f>
        <v>7.963459895635744E-15</v>
      </c>
      <c r="DI132" s="24">
        <f t="shared" ref="DI132:DI153" si="123">SUM(DF132:DH132)</f>
        <v>2.4650177047240751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-1.7053025658242404E-13</v>
      </c>
      <c r="DP132" s="18">
        <f>DO132*VLOOKUP('Données projet'!$B$14,Paramètres!$A$1:$I$89,3,0)*VLOOKUP('Données projet'!$B$14,Paramètres!$A$1:$I$89,5,0)</f>
        <v>-1.3567387213697657E-13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312.53381881960331</v>
      </c>
      <c r="DU132" s="62">
        <f t="shared" si="98"/>
        <v>342.06887933351783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5.4978954722173515E-14</v>
      </c>
      <c r="EL132" s="14">
        <f t="shared" si="99"/>
        <v>8.8550225887742724E-13</v>
      </c>
      <c r="EM132" s="22">
        <f t="shared" ref="EM132:EM153" si="127">(EK132+EL132)*0.475*44/12</f>
        <v>1.6380047803526383E-12</v>
      </c>
      <c r="EN132" s="62">
        <f t="shared" ref="EN132:EN195" si="128">EM132+(EE132+EF132)*44/12</f>
        <v>293.33333333333496</v>
      </c>
      <c r="EO132" s="62">
        <f ca="1">AVERAGE(OFFSET($EN$3,0,0,'Données projet'!$E$15+1,1))-AVERAGE(OFFSET($H$3,0,0,'Données projet'!$E$15+1,1))</f>
        <v>255.59755832175625</v>
      </c>
      <c r="EP132" s="62">
        <f t="shared" si="100"/>
        <v>154.0840647586964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197.08445731383847</v>
      </c>
      <c r="FK132" s="62">
        <f t="shared" si="102"/>
        <v>157.12482557016511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879.56924002052051</v>
      </c>
      <c r="S133" s="62">
        <f ca="1">AVERAGE(OFFSET($R$3,0,0,'Données projet'!$E$9+1,1))-AVERAGE(OFFSET($H$3,0,0,'Données projet'!$E$9+1,1))</f>
        <v>428.8489304403459</v>
      </c>
      <c r="T133" s="62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2">
        <f t="shared" si="113"/>
        <v>948.6462691544782</v>
      </c>
      <c r="AN133" s="62">
        <f ca="1">AVERAGE(OFFSET($AM$3,0,0,'Données projet'!$E$10+1,1))-AVERAGE(OFFSET($H$3,0,0,'Données projet'!$E$10+1,1))</f>
        <v>475.47920969424894</v>
      </c>
      <c r="AO133" s="62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2.8421709430404007E-13</v>
      </c>
      <c r="BE133" s="14">
        <f>BD133*VLOOKUP('Données projet'!$B$11,Paramètres!$A$1:$I$89,3,0)*VLOOKUP('Données projet'!$B$11,Paramètres!$A$1:$I$89,5,0)</f>
        <v>1.3301360013429075E-13</v>
      </c>
      <c r="BF133" s="14">
        <f t="shared" ref="BF133:BF153" si="145">EXP(-1.0587+0.8836*LN(BE133)+0.284)</f>
        <v>1.9329766731057041E-12</v>
      </c>
      <c r="BG133" s="22">
        <f t="shared" si="115"/>
        <v>3.5982663925596575E-12</v>
      </c>
      <c r="BH133" s="62">
        <f t="shared" si="116"/>
        <v>293.3333333333369</v>
      </c>
      <c r="BI133" s="62">
        <f ca="1">AVERAGE(OFFSET($BH$3,0,0,'Données projet'!$E$11+1,1))-AVERAGE(OFFSET($H$3,0,0,'Données projet'!$E$11+1,1))</f>
        <v>246.73711856758143</v>
      </c>
      <c r="BJ133" s="62">
        <f t="shared" ref="BJ133:BJ196" si="146">$BJ$3</f>
        <v>145.54897745089966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6.3550942286383367E-14</v>
      </c>
      <c r="CA133" s="14">
        <f t="shared" ref="CA133:CA153" si="147">EXP(-1.0587+0.8836*LN(BZ133)+0.284)</f>
        <v>1.0064464192543978E-12</v>
      </c>
      <c r="CB133" s="22">
        <f t="shared" si="118"/>
        <v>1.8635787380168604E-12</v>
      </c>
      <c r="CC133" s="62">
        <f t="shared" si="119"/>
        <v>293.33333333333519</v>
      </c>
      <c r="CD133" s="62">
        <f ca="1">AVERAGE(OFFSET($CC$3,0,0,'Données projet'!$E$12+1,1))-AVERAGE(OFFSET($H$3,0,0,'Données projet'!$E$12+1,1))</f>
        <v>321.13335003345236</v>
      </c>
      <c r="CE133" s="62">
        <f t="shared" ref="CE133:CE196" si="148">$CE$3</f>
        <v>301.26825075712128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1.288640568919023</v>
      </c>
      <c r="CM133" s="23">
        <f>EXP(-LN(2)/2)*CM132+(1-EXP(-LN(2)/2))/(LN(2)/2)*CG133*CJ133*VLOOKUP('Données projet'!$B$12,Paramètres!$A$1:$I$89,3,0)*0.475*44/12</f>
        <v>8.7584887509691404E-15</v>
      </c>
      <c r="CN133" s="24">
        <f t="shared" si="120"/>
        <v>1.2886405689190317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6.7984728957526396E-14</v>
      </c>
      <c r="CV133" s="14">
        <f t="shared" ref="CV133:CV153" si="149">EXP(-1.0587+0.8836*LN(CU133)+0.284)</f>
        <v>1.0682447123141398E-12</v>
      </c>
      <c r="CW133" s="22">
        <f t="shared" si="121"/>
        <v>1.978932943548152E-12</v>
      </c>
      <c r="CX133" s="62">
        <f t="shared" si="122"/>
        <v>293.3333333333353</v>
      </c>
      <c r="CY133" s="62">
        <f ca="1">AVERAGE(OFFSET($CX$3,0,0,'Données projet'!$E$13+1,1))-AVERAGE(OFFSET($H$3,0,0,'Données projet'!$E$13+1,1))</f>
        <v>260.02504691866199</v>
      </c>
      <c r="CZ133" s="62">
        <f t="shared" ref="CZ133:CZ196" si="150">$CZ$3</f>
        <v>270.11268336406368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1.3812579874593109</v>
      </c>
      <c r="DG133" s="23">
        <f>EXP(-LN(2)/25)*DG132+(1-EXP(-LN(2)/25))/(LN(2)/25)*Calculateur!DB133*Calculateur!DD133*VLOOKUP('Données projet'!$B$13,Paramètres!$A$1:$I$89,3,0)*0.475*44/12</f>
        <v>1.027252340263477</v>
      </c>
      <c r="DH133" s="23">
        <f>EXP(-LN(2)/2)*DH132+(1-EXP(-LN(2)/2))/(LN(2)/2)*DB133*DE133*VLOOKUP('Données projet'!$B$13,Paramètres!$A$1:$I$89,3,0)*0.475*44/12</f>
        <v>5.6310164939111507E-15</v>
      </c>
      <c r="DI133" s="24">
        <f t="shared" si="123"/>
        <v>2.4085103277227939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-1.7053025658242404E-13</v>
      </c>
      <c r="DP133" s="18">
        <f>DO133*VLOOKUP('Données projet'!$B$14,Paramètres!$A$1:$I$89,3,0)*VLOOKUP('Données projet'!$B$14,Paramètres!$A$1:$I$89,5,0)</f>
        <v>-1.3567387213697657E-13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312.53381881960331</v>
      </c>
      <c r="DU133" s="62">
        <f t="shared" ref="DU133:DU196" si="152">$DU$3</f>
        <v>342.06887933351783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5.4978954722173515E-14</v>
      </c>
      <c r="EL133" s="14">
        <f t="shared" ref="EL133:EL153" si="153">EXP(-1.0587+0.8836*LN(EK133)+0.284)</f>
        <v>8.8550225887742724E-13</v>
      </c>
      <c r="EM133" s="22">
        <f t="shared" si="127"/>
        <v>1.6380047803526383E-12</v>
      </c>
      <c r="EN133" s="62">
        <f t="shared" si="128"/>
        <v>293.33333333333496</v>
      </c>
      <c r="EO133" s="62">
        <f ca="1">AVERAGE(OFFSET($EN$3,0,0,'Données projet'!$E$15+1,1))-AVERAGE(OFFSET($H$3,0,0,'Données projet'!$E$15+1,1))</f>
        <v>255.59755832175625</v>
      </c>
      <c r="EP133" s="62">
        <f t="shared" ref="EP133:EP196" si="154">$EP$3</f>
        <v>154.0840647586964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197.08445731383847</v>
      </c>
      <c r="FK133" s="62">
        <f t="shared" ref="FK133:FK196" si="156">$FK$3</f>
        <v>157.12482557016511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825.45983568521592</v>
      </c>
      <c r="S134" s="62">
        <f ca="1">AVERAGE(OFFSET($R$3,0,0,'Données projet'!$E$9+1,1))-AVERAGE(OFFSET($H$3,0,0,'Données projet'!$E$9+1,1))</f>
        <v>428.8489304403459</v>
      </c>
      <c r="T134" s="62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2">
        <f t="shared" si="113"/>
        <v>888.14687913280409</v>
      </c>
      <c r="AN134" s="62">
        <f ca="1">AVERAGE(OFFSET($AM$3,0,0,'Données projet'!$E$10+1,1))-AVERAGE(OFFSET($H$3,0,0,'Données projet'!$E$10+1,1))</f>
        <v>475.47920969424894</v>
      </c>
      <c r="AO134" s="62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2.8421709430404007E-13</v>
      </c>
      <c r="BE134" s="14">
        <f>BD134*VLOOKUP('Données projet'!$B$11,Paramètres!$A$1:$I$89,3,0)*VLOOKUP('Données projet'!$B$11,Paramètres!$A$1:$I$89,5,0)</f>
        <v>1.3301360013429075E-13</v>
      </c>
      <c r="BF134" s="14">
        <f t="shared" si="145"/>
        <v>1.9329766731057041E-12</v>
      </c>
      <c r="BG134" s="22">
        <f t="shared" si="115"/>
        <v>3.5982663925596575E-12</v>
      </c>
      <c r="BH134" s="62">
        <f t="shared" si="116"/>
        <v>293.3333333333369</v>
      </c>
      <c r="BI134" s="62">
        <f ca="1">AVERAGE(OFFSET($BH$3,0,0,'Données projet'!$E$11+1,1))-AVERAGE(OFFSET($H$3,0,0,'Données projet'!$E$11+1,1))</f>
        <v>246.73711856758143</v>
      </c>
      <c r="BJ134" s="62">
        <f t="shared" si="146"/>
        <v>145.54897745089966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6.3550942286383367E-14</v>
      </c>
      <c r="CA134" s="14">
        <f t="shared" si="147"/>
        <v>1.0064464192543978E-12</v>
      </c>
      <c r="CB134" s="22">
        <f t="shared" si="118"/>
        <v>1.8635787380168604E-12</v>
      </c>
      <c r="CC134" s="62">
        <f t="shared" si="119"/>
        <v>293.33333333333519</v>
      </c>
      <c r="CD134" s="62">
        <f ca="1">AVERAGE(OFFSET($CC$3,0,0,'Données projet'!$E$12+1,1))-AVERAGE(OFFSET($H$3,0,0,'Données projet'!$E$12+1,1))</f>
        <v>321.13335003345236</v>
      </c>
      <c r="CE134" s="62">
        <f t="shared" si="148"/>
        <v>301.26825075712128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1.2534026247952701</v>
      </c>
      <c r="CM134" s="23">
        <f>EXP(-LN(2)/2)*CM133+(1-EXP(-LN(2)/2))/(LN(2)/2)*CG134*CJ134*VLOOKUP('Données projet'!$B$12,Paramètres!$A$1:$I$89,3,0)*0.475*44/12</f>
        <v>6.1931867887563739E-15</v>
      </c>
      <c r="CN134" s="24">
        <f t="shared" si="120"/>
        <v>1.2534026247952763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6.7984728957526396E-14</v>
      </c>
      <c r="CV134" s="14">
        <f t="shared" si="149"/>
        <v>1.0682447123141398E-12</v>
      </c>
      <c r="CW134" s="22">
        <f t="shared" si="121"/>
        <v>1.978932943548152E-12</v>
      </c>
      <c r="CX134" s="62">
        <f t="shared" si="122"/>
        <v>293.3333333333353</v>
      </c>
      <c r="CY134" s="62">
        <f ca="1">AVERAGE(OFFSET($CX$3,0,0,'Données projet'!$E$13+1,1))-AVERAGE(OFFSET($H$3,0,0,'Données projet'!$E$13+1,1))</f>
        <v>260.02504691866199</v>
      </c>
      <c r="CZ134" s="62">
        <f t="shared" si="150"/>
        <v>270.11268336406368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1.3541723608094178</v>
      </c>
      <c r="DG134" s="23">
        <f>EXP(-LN(2)/25)*DG133+(1-EXP(-LN(2)/25))/(LN(2)/25)*Calculateur!DB134*Calculateur!DD134*VLOOKUP('Données projet'!$B$13,Paramètres!$A$1:$I$89,3,0)*0.475*44/12</f>
        <v>0.99916207099811949</v>
      </c>
      <c r="DH134" s="23">
        <f>EXP(-LN(2)/2)*DH133+(1-EXP(-LN(2)/2))/(LN(2)/2)*DB134*DE134*VLOOKUP('Données projet'!$B$13,Paramètres!$A$1:$I$89,3,0)*0.475*44/12</f>
        <v>3.981729947817872E-15</v>
      </c>
      <c r="DI134" s="24">
        <f t="shared" si="123"/>
        <v>2.3533344318075415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-1.7053025658242404E-13</v>
      </c>
      <c r="DP134" s="18">
        <f>DO134*VLOOKUP('Données projet'!$B$14,Paramètres!$A$1:$I$89,3,0)*VLOOKUP('Données projet'!$B$14,Paramètres!$A$1:$I$89,5,0)</f>
        <v>-1.3567387213697657E-13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312.53381881960331</v>
      </c>
      <c r="DU134" s="62">
        <f t="shared" si="152"/>
        <v>342.06887933351783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5.4978954722173515E-14</v>
      </c>
      <c r="EL134" s="14">
        <f t="shared" si="153"/>
        <v>8.8550225887742724E-13</v>
      </c>
      <c r="EM134" s="22">
        <f t="shared" si="127"/>
        <v>1.6380047803526383E-12</v>
      </c>
      <c r="EN134" s="62">
        <f t="shared" si="128"/>
        <v>293.33333333333496</v>
      </c>
      <c r="EO134" s="62">
        <f ca="1">AVERAGE(OFFSET($EN$3,0,0,'Données projet'!$E$15+1,1))-AVERAGE(OFFSET($H$3,0,0,'Données projet'!$E$15+1,1))</f>
        <v>255.59755832175625</v>
      </c>
      <c r="EP134" s="62">
        <f t="shared" si="154"/>
        <v>154.0840647586964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197.08445731383847</v>
      </c>
      <c r="FK134" s="62">
        <f t="shared" si="156"/>
        <v>157.12482557016511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830.62702157178455</v>
      </c>
      <c r="S135" s="62">
        <f ca="1">AVERAGE(OFFSET($R$3,0,0,'Données projet'!$E$9+1,1))-AVERAGE(OFFSET($H$3,0,0,'Données projet'!$E$9+1,1))</f>
        <v>428.8489304403459</v>
      </c>
      <c r="T135" s="62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2">
        <f t="shared" si="113"/>
        <v>893.92421921427535</v>
      </c>
      <c r="AN135" s="62">
        <f ca="1">AVERAGE(OFFSET($AM$3,0,0,'Données projet'!$E$10+1,1))-AVERAGE(OFFSET($H$3,0,0,'Données projet'!$E$10+1,1))</f>
        <v>475.47920969424894</v>
      </c>
      <c r="AO135" s="62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2.8421709430404007E-13</v>
      </c>
      <c r="BE135" s="14">
        <f>BD135*VLOOKUP('Données projet'!$B$11,Paramètres!$A$1:$I$89,3,0)*VLOOKUP('Données projet'!$B$11,Paramètres!$A$1:$I$89,5,0)</f>
        <v>1.3301360013429075E-13</v>
      </c>
      <c r="BF135" s="14">
        <f t="shared" si="145"/>
        <v>1.9329766731057041E-12</v>
      </c>
      <c r="BG135" s="22">
        <f t="shared" si="115"/>
        <v>3.5982663925596575E-12</v>
      </c>
      <c r="BH135" s="62">
        <f t="shared" si="116"/>
        <v>293.3333333333369</v>
      </c>
      <c r="BI135" s="62">
        <f ca="1">AVERAGE(OFFSET($BH$3,0,0,'Données projet'!$E$11+1,1))-AVERAGE(OFFSET($H$3,0,0,'Données projet'!$E$11+1,1))</f>
        <v>246.73711856758143</v>
      </c>
      <c r="BJ135" s="62">
        <f t="shared" si="146"/>
        <v>145.54897745089966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6.3550942286383367E-14</v>
      </c>
      <c r="CA135" s="14">
        <f t="shared" si="147"/>
        <v>1.0064464192543978E-12</v>
      </c>
      <c r="CB135" s="22">
        <f t="shared" si="118"/>
        <v>1.8635787380168604E-12</v>
      </c>
      <c r="CC135" s="62">
        <f t="shared" si="119"/>
        <v>293.33333333333519</v>
      </c>
      <c r="CD135" s="62">
        <f ca="1">AVERAGE(OFFSET($CC$3,0,0,'Données projet'!$E$12+1,1))-AVERAGE(OFFSET($H$3,0,0,'Données projet'!$E$12+1,1))</f>
        <v>321.13335003345236</v>
      </c>
      <c r="CE135" s="62">
        <f t="shared" si="148"/>
        <v>301.26825075712128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1.2191282641066641</v>
      </c>
      <c r="CM135" s="23">
        <f>EXP(-LN(2)/2)*CM134+(1-EXP(-LN(2)/2))/(LN(2)/2)*CG135*CJ135*VLOOKUP('Données projet'!$B$12,Paramètres!$A$1:$I$89,3,0)*0.475*44/12</f>
        <v>4.3792443754845702E-15</v>
      </c>
      <c r="CN135" s="24">
        <f t="shared" si="120"/>
        <v>1.2191282641066685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6.7984728957526396E-14</v>
      </c>
      <c r="CV135" s="14">
        <f t="shared" si="149"/>
        <v>1.0682447123141398E-12</v>
      </c>
      <c r="CW135" s="22">
        <f t="shared" si="121"/>
        <v>1.978932943548152E-12</v>
      </c>
      <c r="CX135" s="62">
        <f t="shared" si="122"/>
        <v>293.3333333333353</v>
      </c>
      <c r="CY135" s="62">
        <f ca="1">AVERAGE(OFFSET($CX$3,0,0,'Données projet'!$E$13+1,1))-AVERAGE(OFFSET($H$3,0,0,'Données projet'!$E$13+1,1))</f>
        <v>260.02504691866199</v>
      </c>
      <c r="CZ135" s="62">
        <f t="shared" si="150"/>
        <v>270.11268336406368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1.327617866777528</v>
      </c>
      <c r="DG135" s="23">
        <f>EXP(-LN(2)/25)*DG134+(1-EXP(-LN(2)/25))/(LN(2)/25)*Calculateur!DB135*Calculateur!DD135*VLOOKUP('Données projet'!$B$13,Paramètres!$A$1:$I$89,3,0)*0.475*44/12</f>
        <v>0.97183993162302618</v>
      </c>
      <c r="DH135" s="23">
        <f>EXP(-LN(2)/2)*DH134+(1-EXP(-LN(2)/2))/(LN(2)/2)*DB135*DE135*VLOOKUP('Données projet'!$B$13,Paramètres!$A$1:$I$89,3,0)*0.475*44/12</f>
        <v>2.8155082469555753E-15</v>
      </c>
      <c r="DI135" s="24">
        <f t="shared" si="123"/>
        <v>2.2994577984005566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-1.7053025658242404E-13</v>
      </c>
      <c r="DP135" s="18">
        <f>DO135*VLOOKUP('Données projet'!$B$14,Paramètres!$A$1:$I$89,3,0)*VLOOKUP('Données projet'!$B$14,Paramètres!$A$1:$I$89,5,0)</f>
        <v>-1.3567387213697657E-13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312.53381881960331</v>
      </c>
      <c r="DU135" s="62">
        <f t="shared" si="152"/>
        <v>342.06887933351783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5.4978954722173515E-14</v>
      </c>
      <c r="EL135" s="14">
        <f t="shared" si="153"/>
        <v>8.8550225887742724E-13</v>
      </c>
      <c r="EM135" s="22">
        <f t="shared" si="127"/>
        <v>1.6380047803526383E-12</v>
      </c>
      <c r="EN135" s="62">
        <f t="shared" si="128"/>
        <v>293.33333333333496</v>
      </c>
      <c r="EO135" s="62">
        <f ca="1">AVERAGE(OFFSET($EN$3,0,0,'Données projet'!$E$15+1,1))-AVERAGE(OFFSET($H$3,0,0,'Données projet'!$E$15+1,1))</f>
        <v>255.59755832175625</v>
      </c>
      <c r="EP135" s="62">
        <f t="shared" si="154"/>
        <v>154.0840647586964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197.08445731383847</v>
      </c>
      <c r="FK135" s="62">
        <f t="shared" si="156"/>
        <v>157.12482557016511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835.7931630761725</v>
      </c>
      <c r="S136" s="62">
        <f ca="1">AVERAGE(OFFSET($R$3,0,0,'Données projet'!$E$9+1,1))-AVERAGE(OFFSET($H$3,0,0,'Données projet'!$E$9+1,1))</f>
        <v>428.8489304403459</v>
      </c>
      <c r="T136" s="62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2">
        <f t="shared" si="113"/>
        <v>899.70040428847096</v>
      </c>
      <c r="AN136" s="62">
        <f ca="1">AVERAGE(OFFSET($AM$3,0,0,'Données projet'!$E$10+1,1))-AVERAGE(OFFSET($H$3,0,0,'Données projet'!$E$10+1,1))</f>
        <v>475.47920969424894</v>
      </c>
      <c r="AO136" s="62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2.8421709430404007E-13</v>
      </c>
      <c r="BE136" s="14">
        <f>BD136*VLOOKUP('Données projet'!$B$11,Paramètres!$A$1:$I$89,3,0)*VLOOKUP('Données projet'!$B$11,Paramètres!$A$1:$I$89,5,0)</f>
        <v>1.3301360013429075E-13</v>
      </c>
      <c r="BF136" s="14">
        <f t="shared" si="145"/>
        <v>1.9329766731057041E-12</v>
      </c>
      <c r="BG136" s="22">
        <f t="shared" si="115"/>
        <v>3.5982663925596575E-12</v>
      </c>
      <c r="BH136" s="62">
        <f t="shared" si="116"/>
        <v>293.3333333333369</v>
      </c>
      <c r="BI136" s="62">
        <f ca="1">AVERAGE(OFFSET($BH$3,0,0,'Données projet'!$E$11+1,1))-AVERAGE(OFFSET($H$3,0,0,'Données projet'!$E$11+1,1))</f>
        <v>246.73711856758143</v>
      </c>
      <c r="BJ136" s="62">
        <f t="shared" si="146"/>
        <v>145.54897745089966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6.3550942286383367E-14</v>
      </c>
      <c r="CA136" s="14">
        <f t="shared" si="147"/>
        <v>1.0064464192543978E-12</v>
      </c>
      <c r="CB136" s="22">
        <f t="shared" si="118"/>
        <v>1.8635787380168604E-12</v>
      </c>
      <c r="CC136" s="62">
        <f t="shared" si="119"/>
        <v>293.33333333333519</v>
      </c>
      <c r="CD136" s="62">
        <f ca="1">AVERAGE(OFFSET($CC$3,0,0,'Données projet'!$E$12+1,1))-AVERAGE(OFFSET($H$3,0,0,'Données projet'!$E$12+1,1))</f>
        <v>321.13335003345236</v>
      </c>
      <c r="CE136" s="62">
        <f t="shared" si="148"/>
        <v>301.26825075712128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1.1857911376134982</v>
      </c>
      <c r="CM136" s="23">
        <f>EXP(-LN(2)/2)*CM135+(1-EXP(-LN(2)/2))/(LN(2)/2)*CG136*CJ136*VLOOKUP('Données projet'!$B$12,Paramètres!$A$1:$I$89,3,0)*0.475*44/12</f>
        <v>3.096593394378187E-15</v>
      </c>
      <c r="CN136" s="24">
        <f t="shared" si="120"/>
        <v>1.1857911376135013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6.7984728957526396E-14</v>
      </c>
      <c r="CV136" s="14">
        <f t="shared" si="149"/>
        <v>1.0682447123141398E-12</v>
      </c>
      <c r="CW136" s="22">
        <f t="shared" si="121"/>
        <v>1.978932943548152E-12</v>
      </c>
      <c r="CX136" s="62">
        <f t="shared" si="122"/>
        <v>293.3333333333353</v>
      </c>
      <c r="CY136" s="62">
        <f ca="1">AVERAGE(OFFSET($CX$3,0,0,'Données projet'!$E$13+1,1))-AVERAGE(OFFSET($H$3,0,0,'Données projet'!$E$13+1,1))</f>
        <v>260.02504691866199</v>
      </c>
      <c r="CZ136" s="62">
        <f t="shared" si="150"/>
        <v>270.11268336406368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1.3015840901769615</v>
      </c>
      <c r="DG136" s="23">
        <f>EXP(-LN(2)/25)*DG135+(1-EXP(-LN(2)/25))/(LN(2)/25)*Calculateur!DB136*Calculateur!DD136*VLOOKUP('Données projet'!$B$13,Paramètres!$A$1:$I$89,3,0)*0.475*44/12</f>
        <v>0.94526491758595366</v>
      </c>
      <c r="DH136" s="23">
        <f>EXP(-LN(2)/2)*DH135+(1-EXP(-LN(2)/2))/(LN(2)/2)*DB136*DE136*VLOOKUP('Données projet'!$B$13,Paramètres!$A$1:$I$89,3,0)*0.475*44/12</f>
        <v>1.990864973908936E-15</v>
      </c>
      <c r="DI136" s="24">
        <f t="shared" si="123"/>
        <v>2.2468490077629171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-1.7053025658242404E-13</v>
      </c>
      <c r="DP136" s="18">
        <f>DO136*VLOOKUP('Données projet'!$B$14,Paramètres!$A$1:$I$89,3,0)*VLOOKUP('Données projet'!$B$14,Paramètres!$A$1:$I$89,5,0)</f>
        <v>-1.3567387213697657E-13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312.53381881960331</v>
      </c>
      <c r="DU136" s="62">
        <f t="shared" si="152"/>
        <v>342.06887933351783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5.4978954722173515E-14</v>
      </c>
      <c r="EL136" s="14">
        <f t="shared" si="153"/>
        <v>8.8550225887742724E-13</v>
      </c>
      <c r="EM136" s="22">
        <f t="shared" si="127"/>
        <v>1.6380047803526383E-12</v>
      </c>
      <c r="EN136" s="62">
        <f t="shared" si="128"/>
        <v>293.33333333333496</v>
      </c>
      <c r="EO136" s="62">
        <f ca="1">AVERAGE(OFFSET($EN$3,0,0,'Données projet'!$E$15+1,1))-AVERAGE(OFFSET($H$3,0,0,'Données projet'!$E$15+1,1))</f>
        <v>255.59755832175625</v>
      </c>
      <c r="EP136" s="62">
        <f t="shared" si="154"/>
        <v>154.0840647586964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197.08445731383847</v>
      </c>
      <c r="FK136" s="62">
        <f t="shared" si="156"/>
        <v>157.12482557016511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840.958271553038</v>
      </c>
      <c r="S137" s="62">
        <f ca="1">AVERAGE(OFFSET($R$3,0,0,'Données projet'!$E$9+1,1))-AVERAGE(OFFSET($H$3,0,0,'Données projet'!$E$9+1,1))</f>
        <v>428.8489304403459</v>
      </c>
      <c r="T137" s="62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2">
        <f t="shared" si="113"/>
        <v>905.47544691277926</v>
      </c>
      <c r="AN137" s="62">
        <f ca="1">AVERAGE(OFFSET($AM$3,0,0,'Données projet'!$E$10+1,1))-AVERAGE(OFFSET($H$3,0,0,'Données projet'!$E$10+1,1))</f>
        <v>475.47920969424894</v>
      </c>
      <c r="AO137" s="62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2.8421709430404007E-13</v>
      </c>
      <c r="BE137" s="14">
        <f>BD137*VLOOKUP('Données projet'!$B$11,Paramètres!$A$1:$I$89,3,0)*VLOOKUP('Données projet'!$B$11,Paramètres!$A$1:$I$89,5,0)</f>
        <v>1.3301360013429075E-13</v>
      </c>
      <c r="BF137" s="14">
        <f t="shared" si="145"/>
        <v>1.9329766731057041E-12</v>
      </c>
      <c r="BG137" s="22">
        <f t="shared" si="115"/>
        <v>3.5982663925596575E-12</v>
      </c>
      <c r="BH137" s="62">
        <f t="shared" si="116"/>
        <v>293.3333333333369</v>
      </c>
      <c r="BI137" s="62">
        <f ca="1">AVERAGE(OFFSET($BH$3,0,0,'Données projet'!$E$11+1,1))-AVERAGE(OFFSET($H$3,0,0,'Données projet'!$E$11+1,1))</f>
        <v>246.73711856758143</v>
      </c>
      <c r="BJ137" s="62">
        <f t="shared" si="146"/>
        <v>145.54897745089966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6.3550942286383367E-14</v>
      </c>
      <c r="CA137" s="14">
        <f t="shared" si="147"/>
        <v>1.0064464192543978E-12</v>
      </c>
      <c r="CB137" s="22">
        <f t="shared" si="118"/>
        <v>1.8635787380168604E-12</v>
      </c>
      <c r="CC137" s="62">
        <f t="shared" si="119"/>
        <v>293.33333333333519</v>
      </c>
      <c r="CD137" s="62">
        <f ca="1">AVERAGE(OFFSET($CC$3,0,0,'Données projet'!$E$12+1,1))-AVERAGE(OFFSET($H$3,0,0,'Données projet'!$E$12+1,1))</f>
        <v>321.13335003345236</v>
      </c>
      <c r="CE137" s="62">
        <f t="shared" si="148"/>
        <v>301.26825075712128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1.1533656165974113</v>
      </c>
      <c r="CM137" s="23">
        <f>EXP(-LN(2)/2)*CM136+(1-EXP(-LN(2)/2))/(LN(2)/2)*CG137*CJ137*VLOOKUP('Données projet'!$B$12,Paramètres!$A$1:$I$89,3,0)*0.475*44/12</f>
        <v>2.1896221877422851E-15</v>
      </c>
      <c r="CN137" s="24">
        <f t="shared" si="120"/>
        <v>1.1533656165974135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6.7984728957526396E-14</v>
      </c>
      <c r="CV137" s="14">
        <f t="shared" si="149"/>
        <v>1.0682447123141398E-12</v>
      </c>
      <c r="CW137" s="22">
        <f t="shared" si="121"/>
        <v>1.978932943548152E-12</v>
      </c>
      <c r="CX137" s="62">
        <f t="shared" si="122"/>
        <v>293.3333333333353</v>
      </c>
      <c r="CY137" s="62">
        <f ca="1">AVERAGE(OFFSET($CX$3,0,0,'Données projet'!$E$13+1,1))-AVERAGE(OFFSET($H$3,0,0,'Données projet'!$E$13+1,1))</f>
        <v>260.02504691866199</v>
      </c>
      <c r="CZ137" s="62">
        <f t="shared" si="150"/>
        <v>270.11268336406368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1.2760608200564965</v>
      </c>
      <c r="DG137" s="23">
        <f>EXP(-LN(2)/25)*DG136+(1-EXP(-LN(2)/25))/(LN(2)/25)*Calculateur!DB137*Calculateur!DD137*VLOOKUP('Données projet'!$B$13,Paramètres!$A$1:$I$89,3,0)*0.475*44/12</f>
        <v>0.91941659870524417</v>
      </c>
      <c r="DH137" s="23">
        <f>EXP(-LN(2)/2)*DH136+(1-EXP(-LN(2)/2))/(LN(2)/2)*DB137*DE137*VLOOKUP('Données projet'!$B$13,Paramètres!$A$1:$I$89,3,0)*0.475*44/12</f>
        <v>1.4077541234777877E-15</v>
      </c>
      <c r="DI137" s="24">
        <f t="shared" si="123"/>
        <v>2.1954774187617421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-1.7053025658242404E-13</v>
      </c>
      <c r="DP137" s="18">
        <f>DO137*VLOOKUP('Données projet'!$B$14,Paramètres!$A$1:$I$89,3,0)*VLOOKUP('Données projet'!$B$14,Paramètres!$A$1:$I$89,5,0)</f>
        <v>-1.3567387213697657E-13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312.53381881960331</v>
      </c>
      <c r="DU137" s="62">
        <f t="shared" si="152"/>
        <v>342.06887933351783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5.4978954722173515E-14</v>
      </c>
      <c r="EL137" s="14">
        <f t="shared" si="153"/>
        <v>8.8550225887742724E-13</v>
      </c>
      <c r="EM137" s="22">
        <f t="shared" si="127"/>
        <v>1.6380047803526383E-12</v>
      </c>
      <c r="EN137" s="62">
        <f t="shared" si="128"/>
        <v>293.33333333333496</v>
      </c>
      <c r="EO137" s="62">
        <f ca="1">AVERAGE(OFFSET($EN$3,0,0,'Données projet'!$E$15+1,1))-AVERAGE(OFFSET($H$3,0,0,'Données projet'!$E$15+1,1))</f>
        <v>255.59755832175625</v>
      </c>
      <c r="EP137" s="62">
        <f t="shared" si="154"/>
        <v>154.0840647586964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197.08445731383847</v>
      </c>
      <c r="FK137" s="62">
        <f t="shared" si="156"/>
        <v>157.12482557016511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846.12235812526569</v>
      </c>
      <c r="S138" s="62">
        <f ca="1">AVERAGE(OFFSET($R$3,0,0,'Données projet'!$E$9+1,1))-AVERAGE(OFFSET($H$3,0,0,'Données projet'!$E$9+1,1))</f>
        <v>428.8489304403459</v>
      </c>
      <c r="T138" s="62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2">
        <f t="shared" si="113"/>
        <v>911.24935938826479</v>
      </c>
      <c r="AN138" s="62">
        <f ca="1">AVERAGE(OFFSET($AM$3,0,0,'Données projet'!$E$10+1,1))-AVERAGE(OFFSET($H$3,0,0,'Données projet'!$E$10+1,1))</f>
        <v>475.47920969424894</v>
      </c>
      <c r="AO138" s="62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2.8421709430404007E-13</v>
      </c>
      <c r="BE138" s="14">
        <f>BD138*VLOOKUP('Données projet'!$B$11,Paramètres!$A$1:$I$89,3,0)*VLOOKUP('Données projet'!$B$11,Paramètres!$A$1:$I$89,5,0)</f>
        <v>1.3301360013429075E-13</v>
      </c>
      <c r="BF138" s="14">
        <f t="shared" si="145"/>
        <v>1.9329766731057041E-12</v>
      </c>
      <c r="BG138" s="22">
        <f t="shared" si="115"/>
        <v>3.5982663925596575E-12</v>
      </c>
      <c r="BH138" s="62">
        <f t="shared" si="116"/>
        <v>293.3333333333369</v>
      </c>
      <c r="BI138" s="62">
        <f ca="1">AVERAGE(OFFSET($BH$3,0,0,'Données projet'!$E$11+1,1))-AVERAGE(OFFSET($H$3,0,0,'Données projet'!$E$11+1,1))</f>
        <v>246.73711856758143</v>
      </c>
      <c r="BJ138" s="62">
        <f t="shared" si="146"/>
        <v>145.54897745089966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6.3550942286383367E-14</v>
      </c>
      <c r="CA138" s="14">
        <f t="shared" si="147"/>
        <v>1.0064464192543978E-12</v>
      </c>
      <c r="CB138" s="22">
        <f t="shared" si="118"/>
        <v>1.8635787380168604E-12</v>
      </c>
      <c r="CC138" s="62">
        <f t="shared" si="119"/>
        <v>293.33333333333519</v>
      </c>
      <c r="CD138" s="62">
        <f ca="1">AVERAGE(OFFSET($CC$3,0,0,'Données projet'!$E$12+1,1))-AVERAGE(OFFSET($H$3,0,0,'Données projet'!$E$12+1,1))</f>
        <v>321.13335003345236</v>
      </c>
      <c r="CE138" s="62">
        <f t="shared" si="148"/>
        <v>301.26825075712128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1.1218267731586933</v>
      </c>
      <c r="CM138" s="23">
        <f>EXP(-LN(2)/2)*CM137+(1-EXP(-LN(2)/2))/(LN(2)/2)*CG138*CJ138*VLOOKUP('Données projet'!$B$12,Paramètres!$A$1:$I$89,3,0)*0.475*44/12</f>
        <v>1.5482966971890935E-15</v>
      </c>
      <c r="CN138" s="24">
        <f t="shared" si="120"/>
        <v>1.1218267731586948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6.7984728957526396E-14</v>
      </c>
      <c r="CV138" s="14">
        <f t="shared" si="149"/>
        <v>1.0682447123141398E-12</v>
      </c>
      <c r="CW138" s="22">
        <f t="shared" si="121"/>
        <v>1.978932943548152E-12</v>
      </c>
      <c r="CX138" s="62">
        <f t="shared" si="122"/>
        <v>293.3333333333353</v>
      </c>
      <c r="CY138" s="62">
        <f ca="1">AVERAGE(OFFSET($CX$3,0,0,'Données projet'!$E$13+1,1))-AVERAGE(OFFSET($H$3,0,0,'Données projet'!$E$13+1,1))</f>
        <v>260.02504691866199</v>
      </c>
      <c r="CZ138" s="62">
        <f t="shared" si="150"/>
        <v>270.11268336406368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1.251038045695436</v>
      </c>
      <c r="DG138" s="23">
        <f>EXP(-LN(2)/25)*DG137+(1-EXP(-LN(2)/25))/(LN(2)/25)*Calculateur!DB138*Calculateur!DD138*VLOOKUP('Données projet'!$B$13,Paramètres!$A$1:$I$89,3,0)*0.475*44/12</f>
        <v>0.8942751034636317</v>
      </c>
      <c r="DH138" s="23">
        <f>EXP(-LN(2)/2)*DH137+(1-EXP(-LN(2)/2))/(LN(2)/2)*DB138*DE138*VLOOKUP('Données projet'!$B$13,Paramètres!$A$1:$I$89,3,0)*0.475*44/12</f>
        <v>9.9543248695446801E-16</v>
      </c>
      <c r="DI138" s="24">
        <f t="shared" si="123"/>
        <v>2.1453131491590685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-1.7053025658242404E-13</v>
      </c>
      <c r="DP138" s="18">
        <f>DO138*VLOOKUP('Données projet'!$B$14,Paramètres!$A$1:$I$89,3,0)*VLOOKUP('Données projet'!$B$14,Paramètres!$A$1:$I$89,5,0)</f>
        <v>-1.3567387213697657E-13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312.53381881960331</v>
      </c>
      <c r="DU138" s="62">
        <f t="shared" si="152"/>
        <v>342.06887933351783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5.4978954722173515E-14</v>
      </c>
      <c r="EL138" s="14">
        <f t="shared" si="153"/>
        <v>8.8550225887742724E-13</v>
      </c>
      <c r="EM138" s="22">
        <f t="shared" si="127"/>
        <v>1.6380047803526383E-12</v>
      </c>
      <c r="EN138" s="62">
        <f t="shared" si="128"/>
        <v>293.33333333333496</v>
      </c>
      <c r="EO138" s="62">
        <f ca="1">AVERAGE(OFFSET($EN$3,0,0,'Données projet'!$E$15+1,1))-AVERAGE(OFFSET($H$3,0,0,'Données projet'!$E$15+1,1))</f>
        <v>255.59755832175625</v>
      </c>
      <c r="EP138" s="62">
        <f t="shared" si="154"/>
        <v>154.0840647586964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197.08445731383847</v>
      </c>
      <c r="FK138" s="62">
        <f t="shared" si="156"/>
        <v>157.12482557016511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851.28543369086674</v>
      </c>
      <c r="S139" s="62">
        <f ca="1">AVERAGE(OFFSET($R$3,0,0,'Données projet'!$E$9+1,1))-AVERAGE(OFFSET($H$3,0,0,'Données projet'!$E$9+1,1))</f>
        <v>428.8489304403459</v>
      </c>
      <c r="T139" s="62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2">
        <f t="shared" si="113"/>
        <v>917.02215376729873</v>
      </c>
      <c r="AN139" s="62">
        <f ca="1">AVERAGE(OFFSET($AM$3,0,0,'Données projet'!$E$10+1,1))-AVERAGE(OFFSET($H$3,0,0,'Données projet'!$E$10+1,1))</f>
        <v>475.47920969424894</v>
      </c>
      <c r="AO139" s="62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2.8421709430404007E-13</v>
      </c>
      <c r="BE139" s="14">
        <f>BD139*VLOOKUP('Données projet'!$B$11,Paramètres!$A$1:$I$89,3,0)*VLOOKUP('Données projet'!$B$11,Paramètres!$A$1:$I$89,5,0)</f>
        <v>1.3301360013429075E-13</v>
      </c>
      <c r="BF139" s="14">
        <f t="shared" si="145"/>
        <v>1.9329766731057041E-12</v>
      </c>
      <c r="BG139" s="22">
        <f t="shared" si="115"/>
        <v>3.5982663925596575E-12</v>
      </c>
      <c r="BH139" s="62">
        <f t="shared" si="116"/>
        <v>293.3333333333369</v>
      </c>
      <c r="BI139" s="62">
        <f ca="1">AVERAGE(OFFSET($BH$3,0,0,'Données projet'!$E$11+1,1))-AVERAGE(OFFSET($H$3,0,0,'Données projet'!$E$11+1,1))</f>
        <v>246.73711856758143</v>
      </c>
      <c r="BJ139" s="62">
        <f t="shared" si="146"/>
        <v>145.54897745089966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6.3550942286383367E-14</v>
      </c>
      <c r="CA139" s="14">
        <f t="shared" si="147"/>
        <v>1.0064464192543978E-12</v>
      </c>
      <c r="CB139" s="22">
        <f t="shared" si="118"/>
        <v>1.8635787380168604E-12</v>
      </c>
      <c r="CC139" s="62">
        <f t="shared" si="119"/>
        <v>293.33333333333519</v>
      </c>
      <c r="CD139" s="62">
        <f ca="1">AVERAGE(OFFSET($CC$3,0,0,'Données projet'!$E$12+1,1))-AVERAGE(OFFSET($H$3,0,0,'Données projet'!$E$12+1,1))</f>
        <v>321.13335003345236</v>
      </c>
      <c r="CE139" s="62">
        <f t="shared" si="148"/>
        <v>301.26825075712128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1.0911503610523627</v>
      </c>
      <c r="CM139" s="23">
        <f>EXP(-LN(2)/2)*CM138+(1-EXP(-LN(2)/2))/(LN(2)/2)*CG139*CJ139*VLOOKUP('Données projet'!$B$12,Paramètres!$A$1:$I$89,3,0)*0.475*44/12</f>
        <v>1.0948110938711425E-15</v>
      </c>
      <c r="CN139" s="24">
        <f t="shared" si="120"/>
        <v>1.0911503610523638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6.7984728957526396E-14</v>
      </c>
      <c r="CV139" s="14">
        <f t="shared" si="149"/>
        <v>1.0682447123141398E-12</v>
      </c>
      <c r="CW139" s="22">
        <f t="shared" si="121"/>
        <v>1.978932943548152E-12</v>
      </c>
      <c r="CX139" s="62">
        <f t="shared" si="122"/>
        <v>293.3333333333353</v>
      </c>
      <c r="CY139" s="62">
        <f ca="1">AVERAGE(OFFSET($CX$3,0,0,'Données projet'!$E$13+1,1))-AVERAGE(OFFSET($H$3,0,0,'Données projet'!$E$13+1,1))</f>
        <v>260.02504691866199</v>
      </c>
      <c r="CZ139" s="62">
        <f t="shared" si="150"/>
        <v>270.11268336406368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1.2265059526772106</v>
      </c>
      <c r="DG139" s="23">
        <f>EXP(-LN(2)/25)*DG138+(1-EXP(-LN(2)/25))/(LN(2)/25)*Calculateur!DB139*Calculateur!DD139*VLOOKUP('Données projet'!$B$13,Paramètres!$A$1:$I$89,3,0)*0.475*44/12</f>
        <v>0.86982110373153487</v>
      </c>
      <c r="DH139" s="23">
        <f>EXP(-LN(2)/2)*DH138+(1-EXP(-LN(2)/2))/(LN(2)/2)*DB139*DE139*VLOOKUP('Données projet'!$B$13,Paramètres!$A$1:$I$89,3,0)*0.475*44/12</f>
        <v>7.0387706173889383E-16</v>
      </c>
      <c r="DI139" s="24">
        <f t="shared" si="123"/>
        <v>2.0963270564087466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-1.7053025658242404E-13</v>
      </c>
      <c r="DP139" s="18">
        <f>DO139*VLOOKUP('Données projet'!$B$14,Paramètres!$A$1:$I$89,3,0)*VLOOKUP('Données projet'!$B$14,Paramètres!$A$1:$I$89,5,0)</f>
        <v>-1.3567387213697657E-13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312.53381881960331</v>
      </c>
      <c r="DU139" s="62">
        <f t="shared" si="152"/>
        <v>342.06887933351783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5.4978954722173515E-14</v>
      </c>
      <c r="EL139" s="14">
        <f t="shared" si="153"/>
        <v>8.8550225887742724E-13</v>
      </c>
      <c r="EM139" s="22">
        <f t="shared" si="127"/>
        <v>1.6380047803526383E-12</v>
      </c>
      <c r="EN139" s="62">
        <f t="shared" si="128"/>
        <v>293.33333333333496</v>
      </c>
      <c r="EO139" s="62">
        <f ca="1">AVERAGE(OFFSET($EN$3,0,0,'Données projet'!$E$15+1,1))-AVERAGE(OFFSET($H$3,0,0,'Données projet'!$E$15+1,1))</f>
        <v>255.59755832175625</v>
      </c>
      <c r="EP139" s="62">
        <f t="shared" si="154"/>
        <v>154.0840647586964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197.08445731383847</v>
      </c>
      <c r="FK139" s="62">
        <f t="shared" si="156"/>
        <v>157.12482557016511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856.44750892960883</v>
      </c>
      <c r="S140" s="62">
        <f ca="1">AVERAGE(OFFSET($R$3,0,0,'Données projet'!$E$9+1,1))-AVERAGE(OFFSET($H$3,0,0,'Données projet'!$E$9+1,1))</f>
        <v>428.8489304403459</v>
      </c>
      <c r="T140" s="62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2">
        <f t="shared" si="113"/>
        <v>922.79384186089305</v>
      </c>
      <c r="AN140" s="62">
        <f ca="1">AVERAGE(OFFSET($AM$3,0,0,'Données projet'!$E$10+1,1))-AVERAGE(OFFSET($H$3,0,0,'Données projet'!$E$10+1,1))</f>
        <v>475.47920969424894</v>
      </c>
      <c r="AO140" s="62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2.8421709430404007E-13</v>
      </c>
      <c r="BE140" s="14">
        <f>BD140*VLOOKUP('Données projet'!$B$11,Paramètres!$A$1:$I$89,3,0)*VLOOKUP('Données projet'!$B$11,Paramètres!$A$1:$I$89,5,0)</f>
        <v>1.3301360013429075E-13</v>
      </c>
      <c r="BF140" s="14">
        <f t="shared" si="145"/>
        <v>1.9329766731057041E-12</v>
      </c>
      <c r="BG140" s="22">
        <f t="shared" si="115"/>
        <v>3.5982663925596575E-12</v>
      </c>
      <c r="BH140" s="62">
        <f t="shared" si="116"/>
        <v>293.3333333333369</v>
      </c>
      <c r="BI140" s="62">
        <f ca="1">AVERAGE(OFFSET($BH$3,0,0,'Données projet'!$E$11+1,1))-AVERAGE(OFFSET($H$3,0,0,'Données projet'!$E$11+1,1))</f>
        <v>246.73711856758143</v>
      </c>
      <c r="BJ140" s="62">
        <f t="shared" si="146"/>
        <v>145.54897745089966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6.3550942286383367E-14</v>
      </c>
      <c r="CA140" s="14">
        <f t="shared" si="147"/>
        <v>1.0064464192543978E-12</v>
      </c>
      <c r="CB140" s="22">
        <f t="shared" si="118"/>
        <v>1.8635787380168604E-12</v>
      </c>
      <c r="CC140" s="62">
        <f t="shared" si="119"/>
        <v>293.33333333333519</v>
      </c>
      <c r="CD140" s="62">
        <f ca="1">AVERAGE(OFFSET($CC$3,0,0,'Données projet'!$E$12+1,1))-AVERAGE(OFFSET($H$3,0,0,'Données projet'!$E$12+1,1))</f>
        <v>321.13335003345236</v>
      </c>
      <c r="CE140" s="62">
        <f t="shared" si="148"/>
        <v>301.26825075712128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1.0613127970482823</v>
      </c>
      <c r="CM140" s="23">
        <f>EXP(-LN(2)/2)*CM139+(1-EXP(-LN(2)/2))/(LN(2)/2)*CG140*CJ140*VLOOKUP('Données projet'!$B$12,Paramètres!$A$1:$I$89,3,0)*0.475*44/12</f>
        <v>7.7414834859454674E-16</v>
      </c>
      <c r="CN140" s="24">
        <f t="shared" si="120"/>
        <v>1.061312797048283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6.7984728957526396E-14</v>
      </c>
      <c r="CV140" s="14">
        <f t="shared" si="149"/>
        <v>1.0682447123141398E-12</v>
      </c>
      <c r="CW140" s="22">
        <f t="shared" si="121"/>
        <v>1.978932943548152E-12</v>
      </c>
      <c r="CX140" s="62">
        <f t="shared" si="122"/>
        <v>293.3333333333353</v>
      </c>
      <c r="CY140" s="62">
        <f ca="1">AVERAGE(OFFSET($CX$3,0,0,'Données projet'!$E$13+1,1))-AVERAGE(OFFSET($H$3,0,0,'Données projet'!$E$13+1,1))</f>
        <v>260.02504691866199</v>
      </c>
      <c r="CZ140" s="62">
        <f t="shared" si="150"/>
        <v>270.11268336406368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1.2024549190399734</v>
      </c>
      <c r="DG140" s="23">
        <f>EXP(-LN(2)/25)*DG139+(1-EXP(-LN(2)/25))/(LN(2)/25)*Calculateur!DB140*Calculateur!DD140*VLOOKUP('Données projet'!$B$13,Paramètres!$A$1:$I$89,3,0)*0.475*44/12</f>
        <v>0.84603579990809219</v>
      </c>
      <c r="DH140" s="23">
        <f>EXP(-LN(2)/2)*DH139+(1-EXP(-LN(2)/2))/(LN(2)/2)*DB140*DE140*VLOOKUP('Données projet'!$B$13,Paramètres!$A$1:$I$89,3,0)*0.475*44/12</f>
        <v>4.97716243477234E-16</v>
      </c>
      <c r="DI140" s="24">
        <f t="shared" si="123"/>
        <v>2.0484907189480661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-1.7053025658242404E-13</v>
      </c>
      <c r="DP140" s="18">
        <f>DO140*VLOOKUP('Données projet'!$B$14,Paramètres!$A$1:$I$89,3,0)*VLOOKUP('Données projet'!$B$14,Paramètres!$A$1:$I$89,5,0)</f>
        <v>-1.3567387213697657E-13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312.53381881960331</v>
      </c>
      <c r="DU140" s="62">
        <f t="shared" si="152"/>
        <v>342.06887933351783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5.4978954722173515E-14</v>
      </c>
      <c r="EL140" s="14">
        <f t="shared" si="153"/>
        <v>8.8550225887742724E-13</v>
      </c>
      <c r="EM140" s="22">
        <f t="shared" si="127"/>
        <v>1.6380047803526383E-12</v>
      </c>
      <c r="EN140" s="62">
        <f t="shared" si="128"/>
        <v>293.33333333333496</v>
      </c>
      <c r="EO140" s="62">
        <f ca="1">AVERAGE(OFFSET($EN$3,0,0,'Données projet'!$E$15+1,1))-AVERAGE(OFFSET($H$3,0,0,'Données projet'!$E$15+1,1))</f>
        <v>255.59755832175625</v>
      </c>
      <c r="EP140" s="62">
        <f t="shared" si="154"/>
        <v>154.0840647586964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197.08445731383847</v>
      </c>
      <c r="FK140" s="62">
        <f t="shared" si="156"/>
        <v>157.12482557016511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861.60859430939399</v>
      </c>
      <c r="S141" s="62">
        <f ca="1">AVERAGE(OFFSET($R$3,0,0,'Données projet'!$E$9+1,1))-AVERAGE(OFFSET($H$3,0,0,'Données projet'!$E$9+1,1))</f>
        <v>428.8489304403459</v>
      </c>
      <c r="T141" s="62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2">
        <f t="shared" si="113"/>
        <v>928.5644352457507</v>
      </c>
      <c r="AN141" s="62">
        <f ca="1">AVERAGE(OFFSET($AM$3,0,0,'Données projet'!$E$10+1,1))-AVERAGE(OFFSET($H$3,0,0,'Données projet'!$E$10+1,1))</f>
        <v>475.47920969424894</v>
      </c>
      <c r="AO141" s="62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2.8421709430404007E-13</v>
      </c>
      <c r="BE141" s="14">
        <f>BD141*VLOOKUP('Données projet'!$B$11,Paramètres!$A$1:$I$89,3,0)*VLOOKUP('Données projet'!$B$11,Paramètres!$A$1:$I$89,5,0)</f>
        <v>1.3301360013429075E-13</v>
      </c>
      <c r="BF141" s="14">
        <f t="shared" si="145"/>
        <v>1.9329766731057041E-12</v>
      </c>
      <c r="BG141" s="22">
        <f t="shared" si="115"/>
        <v>3.5982663925596575E-12</v>
      </c>
      <c r="BH141" s="62">
        <f t="shared" si="116"/>
        <v>293.3333333333369</v>
      </c>
      <c r="BI141" s="62">
        <f ca="1">AVERAGE(OFFSET($BH$3,0,0,'Données projet'!$E$11+1,1))-AVERAGE(OFFSET($H$3,0,0,'Données projet'!$E$11+1,1))</f>
        <v>246.73711856758143</v>
      </c>
      <c r="BJ141" s="62">
        <f t="shared" si="146"/>
        <v>145.54897745089966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6.3550942286383367E-14</v>
      </c>
      <c r="CA141" s="14">
        <f t="shared" si="147"/>
        <v>1.0064464192543978E-12</v>
      </c>
      <c r="CB141" s="22">
        <f t="shared" si="118"/>
        <v>1.8635787380168604E-12</v>
      </c>
      <c r="CC141" s="62">
        <f t="shared" si="119"/>
        <v>293.33333333333519</v>
      </c>
      <c r="CD141" s="62">
        <f ca="1">AVERAGE(OFFSET($CC$3,0,0,'Données projet'!$E$12+1,1))-AVERAGE(OFFSET($H$3,0,0,'Données projet'!$E$12+1,1))</f>
        <v>321.13335003345236</v>
      </c>
      <c r="CE141" s="62">
        <f t="shared" si="148"/>
        <v>301.26825075712128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1.0322911428009827</v>
      </c>
      <c r="CM141" s="23">
        <f>EXP(-LN(2)/2)*CM140+(1-EXP(-LN(2)/2))/(LN(2)/2)*CG141*CJ141*VLOOKUP('Données projet'!$B$12,Paramètres!$A$1:$I$89,3,0)*0.475*44/12</f>
        <v>5.4740554693557127E-16</v>
      </c>
      <c r="CN141" s="24">
        <f t="shared" si="120"/>
        <v>1.0322911428009831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6.7984728957526396E-14</v>
      </c>
      <c r="CV141" s="14">
        <f t="shared" si="149"/>
        <v>1.0682447123141398E-12</v>
      </c>
      <c r="CW141" s="22">
        <f t="shared" si="121"/>
        <v>1.978932943548152E-12</v>
      </c>
      <c r="CX141" s="62">
        <f t="shared" si="122"/>
        <v>293.3333333333353</v>
      </c>
      <c r="CY141" s="62">
        <f ca="1">AVERAGE(OFFSET($CX$3,0,0,'Données projet'!$E$13+1,1))-AVERAGE(OFFSET($H$3,0,0,'Données projet'!$E$13+1,1))</f>
        <v>260.02504691866199</v>
      </c>
      <c r="CZ141" s="62">
        <f t="shared" si="150"/>
        <v>270.11268336406368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1.1788755115026803</v>
      </c>
      <c r="DG141" s="23">
        <f>EXP(-LN(2)/25)*DG140+(1-EXP(-LN(2)/25))/(LN(2)/25)*Calculateur!DB141*Calculateur!DD141*VLOOKUP('Données projet'!$B$13,Paramètres!$A$1:$I$89,3,0)*0.475*44/12</f>
        <v>0.82290090646851632</v>
      </c>
      <c r="DH141" s="23">
        <f>EXP(-LN(2)/2)*DH140+(1-EXP(-LN(2)/2))/(LN(2)/2)*DB141*DE141*VLOOKUP('Données projet'!$B$13,Paramètres!$A$1:$I$89,3,0)*0.475*44/12</f>
        <v>3.5193853086944692E-16</v>
      </c>
      <c r="DI141" s="24">
        <f t="shared" si="123"/>
        <v>2.0017764179711972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-1.7053025658242404E-13</v>
      </c>
      <c r="DP141" s="18">
        <f>DO141*VLOOKUP('Données projet'!$B$14,Paramètres!$A$1:$I$89,3,0)*VLOOKUP('Données projet'!$B$14,Paramètres!$A$1:$I$89,5,0)</f>
        <v>-1.3567387213697657E-13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312.53381881960331</v>
      </c>
      <c r="DU141" s="62">
        <f t="shared" si="152"/>
        <v>342.06887933351783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5.4978954722173515E-14</v>
      </c>
      <c r="EL141" s="14">
        <f t="shared" si="153"/>
        <v>8.8550225887742724E-13</v>
      </c>
      <c r="EM141" s="22">
        <f t="shared" si="127"/>
        <v>1.6380047803526383E-12</v>
      </c>
      <c r="EN141" s="62">
        <f t="shared" si="128"/>
        <v>293.33333333333496</v>
      </c>
      <c r="EO141" s="62">
        <f ca="1">AVERAGE(OFFSET($EN$3,0,0,'Données projet'!$E$15+1,1))-AVERAGE(OFFSET($H$3,0,0,'Données projet'!$E$15+1,1))</f>
        <v>255.59755832175625</v>
      </c>
      <c r="EP141" s="62">
        <f t="shared" si="154"/>
        <v>154.0840647586964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197.08445731383847</v>
      </c>
      <c r="FK141" s="62">
        <f t="shared" si="156"/>
        <v>157.12482557016511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866.76870009238769</v>
      </c>
      <c r="S142" s="62">
        <f ca="1">AVERAGE(OFFSET($R$3,0,0,'Données projet'!$E$9+1,1))-AVERAGE(OFFSET($H$3,0,0,'Données projet'!$E$9+1,1))</f>
        <v>428.8489304403459</v>
      </c>
      <c r="T142" s="62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2">
        <f t="shared" si="113"/>
        <v>934.33394527104656</v>
      </c>
      <c r="AN142" s="62">
        <f ca="1">AVERAGE(OFFSET($AM$3,0,0,'Données projet'!$E$10+1,1))-AVERAGE(OFFSET($H$3,0,0,'Données projet'!$E$10+1,1))</f>
        <v>475.47920969424894</v>
      </c>
      <c r="AO142" s="62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2.8421709430404007E-13</v>
      </c>
      <c r="BE142" s="14">
        <f>BD142*VLOOKUP('Données projet'!$B$11,Paramètres!$A$1:$I$89,3,0)*VLOOKUP('Données projet'!$B$11,Paramètres!$A$1:$I$89,5,0)</f>
        <v>1.3301360013429075E-13</v>
      </c>
      <c r="BF142" s="14">
        <f t="shared" si="145"/>
        <v>1.9329766731057041E-12</v>
      </c>
      <c r="BG142" s="22">
        <f t="shared" si="115"/>
        <v>3.5982663925596575E-12</v>
      </c>
      <c r="BH142" s="62">
        <f t="shared" si="116"/>
        <v>293.3333333333369</v>
      </c>
      <c r="BI142" s="62">
        <f ca="1">AVERAGE(OFFSET($BH$3,0,0,'Données projet'!$E$11+1,1))-AVERAGE(OFFSET($H$3,0,0,'Données projet'!$E$11+1,1))</f>
        <v>246.73711856758143</v>
      </c>
      <c r="BJ142" s="62">
        <f t="shared" si="146"/>
        <v>145.54897745089966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6.3550942286383367E-14</v>
      </c>
      <c r="CA142" s="14">
        <f t="shared" si="147"/>
        <v>1.0064464192543978E-12</v>
      </c>
      <c r="CB142" s="22">
        <f t="shared" si="118"/>
        <v>1.8635787380168604E-12</v>
      </c>
      <c r="CC142" s="62">
        <f t="shared" si="119"/>
        <v>293.33333333333519</v>
      </c>
      <c r="CD142" s="62">
        <f ca="1">AVERAGE(OFFSET($CC$3,0,0,'Données projet'!$E$12+1,1))-AVERAGE(OFFSET($H$3,0,0,'Données projet'!$E$12+1,1))</f>
        <v>321.13335003345236</v>
      </c>
      <c r="CE142" s="62">
        <f t="shared" si="148"/>
        <v>301.26825075712128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1.0040630872152578</v>
      </c>
      <c r="CM142" s="23">
        <f>EXP(-LN(2)/2)*CM141+(1-EXP(-LN(2)/2))/(LN(2)/2)*CG142*CJ142*VLOOKUP('Données projet'!$B$12,Paramètres!$A$1:$I$89,3,0)*0.475*44/12</f>
        <v>3.8707417429727337E-16</v>
      </c>
      <c r="CN142" s="24">
        <f t="shared" si="120"/>
        <v>1.0040630872152583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6.7984728957526396E-14</v>
      </c>
      <c r="CV142" s="14">
        <f t="shared" si="149"/>
        <v>1.0682447123141398E-12</v>
      </c>
      <c r="CW142" s="22">
        <f t="shared" si="121"/>
        <v>1.978932943548152E-12</v>
      </c>
      <c r="CX142" s="62">
        <f t="shared" si="122"/>
        <v>293.3333333333353</v>
      </c>
      <c r="CY142" s="62">
        <f ca="1">AVERAGE(OFFSET($CX$3,0,0,'Données projet'!$E$13+1,1))-AVERAGE(OFFSET($H$3,0,0,'Données projet'!$E$13+1,1))</f>
        <v>260.02504691866199</v>
      </c>
      <c r="CZ142" s="62">
        <f t="shared" si="150"/>
        <v>270.11268336406368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1.1557584817651751</v>
      </c>
      <c r="DG142" s="23">
        <f>EXP(-LN(2)/25)*DG141+(1-EXP(-LN(2)/25))/(LN(2)/25)*Calculateur!DB142*Calculateur!DD142*VLOOKUP('Données projet'!$B$13,Paramètres!$A$1:$I$89,3,0)*0.475*44/12</f>
        <v>0.80039863790665688</v>
      </c>
      <c r="DH142" s="23">
        <f>EXP(-LN(2)/2)*DH141+(1-EXP(-LN(2)/2))/(LN(2)/2)*DB142*DE142*VLOOKUP('Données projet'!$B$13,Paramètres!$A$1:$I$89,3,0)*0.475*44/12</f>
        <v>2.48858121738617E-16</v>
      </c>
      <c r="DI142" s="24">
        <f t="shared" si="123"/>
        <v>1.9561571196718324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-1.7053025658242404E-13</v>
      </c>
      <c r="DP142" s="18">
        <f>DO142*VLOOKUP('Données projet'!$B$14,Paramètres!$A$1:$I$89,3,0)*VLOOKUP('Données projet'!$B$14,Paramètres!$A$1:$I$89,5,0)</f>
        <v>-1.3567387213697657E-13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312.53381881960331</v>
      </c>
      <c r="DU142" s="62">
        <f t="shared" si="152"/>
        <v>342.06887933351783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5.4978954722173515E-14</v>
      </c>
      <c r="EL142" s="14">
        <f t="shared" si="153"/>
        <v>8.8550225887742724E-13</v>
      </c>
      <c r="EM142" s="22">
        <f t="shared" si="127"/>
        <v>1.6380047803526383E-12</v>
      </c>
      <c r="EN142" s="62">
        <f t="shared" si="128"/>
        <v>293.33333333333496</v>
      </c>
      <c r="EO142" s="62">
        <f ca="1">AVERAGE(OFFSET($EN$3,0,0,'Données projet'!$E$15+1,1))-AVERAGE(OFFSET($H$3,0,0,'Données projet'!$E$15+1,1))</f>
        <v>255.59755832175625</v>
      </c>
      <c r="EP142" s="62">
        <f t="shared" si="154"/>
        <v>154.0840647586964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197.08445731383847</v>
      </c>
      <c r="FK142" s="62">
        <f t="shared" si="156"/>
        <v>157.12482557016511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871.92783634091984</v>
      </c>
      <c r="S143" s="62">
        <f ca="1">AVERAGE(OFFSET($R$3,0,0,'Données projet'!$E$9+1,1))-AVERAGE(OFFSET($H$3,0,0,'Données projet'!$E$9+1,1))</f>
        <v>428.8489304403459</v>
      </c>
      <c r="T143" s="62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2">
        <f t="shared" si="113"/>
        <v>940.10238306495216</v>
      </c>
      <c r="AN143" s="62">
        <f ca="1">AVERAGE(OFFSET($AM$3,0,0,'Données projet'!$E$10+1,1))-AVERAGE(OFFSET($H$3,0,0,'Données projet'!$E$10+1,1))</f>
        <v>475.47920969424894</v>
      </c>
      <c r="AO143" s="62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2.8421709430404007E-13</v>
      </c>
      <c r="BE143" s="14">
        <f>BD143*VLOOKUP('Données projet'!$B$11,Paramètres!$A$1:$I$89,3,0)*VLOOKUP('Données projet'!$B$11,Paramètres!$A$1:$I$89,5,0)</f>
        <v>1.3301360013429075E-13</v>
      </c>
      <c r="BF143" s="14">
        <f t="shared" si="145"/>
        <v>1.9329766731057041E-12</v>
      </c>
      <c r="BG143" s="22">
        <f t="shared" si="115"/>
        <v>3.5982663925596575E-12</v>
      </c>
      <c r="BH143" s="62">
        <f t="shared" si="116"/>
        <v>293.3333333333369</v>
      </c>
      <c r="BI143" s="62">
        <f ca="1">AVERAGE(OFFSET($BH$3,0,0,'Données projet'!$E$11+1,1))-AVERAGE(OFFSET($H$3,0,0,'Données projet'!$E$11+1,1))</f>
        <v>246.73711856758143</v>
      </c>
      <c r="BJ143" s="62">
        <f t="shared" si="146"/>
        <v>145.54897745089966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6.3550942286383367E-14</v>
      </c>
      <c r="CA143" s="14">
        <f t="shared" si="147"/>
        <v>1.0064464192543978E-12</v>
      </c>
      <c r="CB143" s="22">
        <f t="shared" si="118"/>
        <v>1.8635787380168604E-12</v>
      </c>
      <c r="CC143" s="62">
        <f t="shared" si="119"/>
        <v>293.33333333333519</v>
      </c>
      <c r="CD143" s="62">
        <f ca="1">AVERAGE(OFFSET($CC$3,0,0,'Données projet'!$E$12+1,1))-AVERAGE(OFFSET($H$3,0,0,'Données projet'!$E$12+1,1))</f>
        <v>321.13335003345236</v>
      </c>
      <c r="CE143" s="62">
        <f t="shared" si="148"/>
        <v>301.26825075712128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0.97660692929397364</v>
      </c>
      <c r="CM143" s="23">
        <f>EXP(-LN(2)/2)*CM142+(1-EXP(-LN(2)/2))/(LN(2)/2)*CG143*CJ143*VLOOKUP('Données projet'!$B$12,Paramètres!$A$1:$I$89,3,0)*0.475*44/12</f>
        <v>2.7370277346778564E-16</v>
      </c>
      <c r="CN143" s="24">
        <f t="shared" si="120"/>
        <v>0.97660692929397386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6.7984728957526396E-14</v>
      </c>
      <c r="CV143" s="14">
        <f t="shared" si="149"/>
        <v>1.0682447123141398E-12</v>
      </c>
      <c r="CW143" s="22">
        <f t="shared" si="121"/>
        <v>1.978932943548152E-12</v>
      </c>
      <c r="CX143" s="62">
        <f t="shared" si="122"/>
        <v>293.3333333333353</v>
      </c>
      <c r="CY143" s="62">
        <f ca="1">AVERAGE(OFFSET($CX$3,0,0,'Données projet'!$E$13+1,1))-AVERAGE(OFFSET($H$3,0,0,'Données projet'!$E$13+1,1))</f>
        <v>260.02504691866199</v>
      </c>
      <c r="CZ143" s="62">
        <f t="shared" si="150"/>
        <v>270.11268336406368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1.1330947628808266</v>
      </c>
      <c r="DG143" s="23">
        <f>EXP(-LN(2)/25)*DG142+(1-EXP(-LN(2)/25))/(LN(2)/25)*Calculateur!DB143*Calculateur!DD143*VLOOKUP('Données projet'!$B$13,Paramètres!$A$1:$I$89,3,0)*0.475*44/12</f>
        <v>0.77851169506196427</v>
      </c>
      <c r="DH143" s="23">
        <f>EXP(-LN(2)/2)*DH142+(1-EXP(-LN(2)/2))/(LN(2)/2)*DB143*DE143*VLOOKUP('Données projet'!$B$13,Paramètres!$A$1:$I$89,3,0)*0.475*44/12</f>
        <v>1.7596926543472346E-16</v>
      </c>
      <c r="DI143" s="24">
        <f t="shared" si="123"/>
        <v>1.9116064579427909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-1.7053025658242404E-13</v>
      </c>
      <c r="DP143" s="18">
        <f>DO143*VLOOKUP('Données projet'!$B$14,Paramètres!$A$1:$I$89,3,0)*VLOOKUP('Données projet'!$B$14,Paramètres!$A$1:$I$89,5,0)</f>
        <v>-1.3567387213697657E-13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312.53381881960331</v>
      </c>
      <c r="DU143" s="62">
        <f t="shared" si="152"/>
        <v>342.06887933351783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5.4978954722173515E-14</v>
      </c>
      <c r="EL143" s="14">
        <f t="shared" si="153"/>
        <v>8.8550225887742724E-13</v>
      </c>
      <c r="EM143" s="22">
        <f t="shared" si="127"/>
        <v>1.6380047803526383E-12</v>
      </c>
      <c r="EN143" s="62">
        <f t="shared" si="128"/>
        <v>293.33333333333496</v>
      </c>
      <c r="EO143" s="62">
        <f ca="1">AVERAGE(OFFSET($EN$3,0,0,'Données projet'!$E$15+1,1))-AVERAGE(OFFSET($H$3,0,0,'Données projet'!$E$15+1,1))</f>
        <v>255.59755832175625</v>
      </c>
      <c r="EP143" s="62">
        <f t="shared" si="154"/>
        <v>154.0840647586964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197.08445731383847</v>
      </c>
      <c r="FK143" s="62">
        <f t="shared" si="156"/>
        <v>157.12482557016511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824.88563895074731</v>
      </c>
      <c r="S144" s="62">
        <f ca="1">AVERAGE(OFFSET($R$3,0,0,'Données projet'!$E$9+1,1))-AVERAGE(OFFSET($H$3,0,0,'Données projet'!$E$9+1,1))</f>
        <v>428.8489304403459</v>
      </c>
      <c r="T144" s="62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2">
        <f t="shared" si="113"/>
        <v>887.50488060598582</v>
      </c>
      <c r="AN144" s="62">
        <f ca="1">AVERAGE(OFFSET($AM$3,0,0,'Données projet'!$E$10+1,1))-AVERAGE(OFFSET($H$3,0,0,'Données projet'!$E$10+1,1))</f>
        <v>475.47920969424894</v>
      </c>
      <c r="AO144" s="62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2.8421709430404007E-13</v>
      </c>
      <c r="BE144" s="14">
        <f>BD144*VLOOKUP('Données projet'!$B$11,Paramètres!$A$1:$I$89,3,0)*VLOOKUP('Données projet'!$B$11,Paramètres!$A$1:$I$89,5,0)</f>
        <v>1.3301360013429075E-13</v>
      </c>
      <c r="BF144" s="14">
        <f t="shared" si="145"/>
        <v>1.9329766731057041E-12</v>
      </c>
      <c r="BG144" s="22">
        <f t="shared" si="115"/>
        <v>3.5982663925596575E-12</v>
      </c>
      <c r="BH144" s="62">
        <f t="shared" si="116"/>
        <v>293.3333333333369</v>
      </c>
      <c r="BI144" s="62">
        <f ca="1">AVERAGE(OFFSET($BH$3,0,0,'Données projet'!$E$11+1,1))-AVERAGE(OFFSET($H$3,0,0,'Données projet'!$E$11+1,1))</f>
        <v>246.73711856758143</v>
      </c>
      <c r="BJ144" s="62">
        <f t="shared" si="146"/>
        <v>145.54897745089966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6.3550942286383367E-14</v>
      </c>
      <c r="CA144" s="14">
        <f t="shared" si="147"/>
        <v>1.0064464192543978E-12</v>
      </c>
      <c r="CB144" s="22">
        <f t="shared" si="118"/>
        <v>1.8635787380168604E-12</v>
      </c>
      <c r="CC144" s="62">
        <f t="shared" si="119"/>
        <v>293.33333333333519</v>
      </c>
      <c r="CD144" s="62">
        <f ca="1">AVERAGE(OFFSET($CC$3,0,0,'Données projet'!$E$12+1,1))-AVERAGE(OFFSET($H$3,0,0,'Données projet'!$E$12+1,1))</f>
        <v>321.13335003345236</v>
      </c>
      <c r="CE144" s="62">
        <f t="shared" si="148"/>
        <v>301.26825075712128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0.94990156145490356</v>
      </c>
      <c r="CM144" s="23">
        <f>EXP(-LN(2)/2)*CM143+(1-EXP(-LN(2)/2))/(LN(2)/2)*CG144*CJ144*VLOOKUP('Données projet'!$B$12,Paramètres!$A$1:$I$89,3,0)*0.475*44/12</f>
        <v>1.9353708714863669E-16</v>
      </c>
      <c r="CN144" s="24">
        <f t="shared" si="120"/>
        <v>0.94990156145490379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6.7984728957526396E-14</v>
      </c>
      <c r="CV144" s="14">
        <f t="shared" si="149"/>
        <v>1.0682447123141398E-12</v>
      </c>
      <c r="CW144" s="22">
        <f t="shared" si="121"/>
        <v>1.978932943548152E-12</v>
      </c>
      <c r="CX144" s="62">
        <f t="shared" si="122"/>
        <v>293.3333333333353</v>
      </c>
      <c r="CY144" s="62">
        <f ca="1">AVERAGE(OFFSET($CX$3,0,0,'Données projet'!$E$13+1,1))-AVERAGE(OFFSET($H$3,0,0,'Données projet'!$E$13+1,1))</f>
        <v>260.02504691866199</v>
      </c>
      <c r="CZ144" s="62">
        <f t="shared" si="150"/>
        <v>270.11268336406368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1.1108754657002966</v>
      </c>
      <c r="DG144" s="23">
        <f>EXP(-LN(2)/25)*DG143+(1-EXP(-LN(2)/25))/(LN(2)/25)*Calculateur!DB144*Calculateur!DD144*VLOOKUP('Données projet'!$B$13,Paramètres!$A$1:$I$89,3,0)*0.475*44/12</f>
        <v>0.75722325182034411</v>
      </c>
      <c r="DH144" s="23">
        <f>EXP(-LN(2)/2)*DH143+(1-EXP(-LN(2)/2))/(LN(2)/2)*DB144*DE144*VLOOKUP('Données projet'!$B$13,Paramètres!$A$1:$I$89,3,0)*0.475*44/12</f>
        <v>1.244290608693085E-16</v>
      </c>
      <c r="DI144" s="24">
        <f t="shared" si="123"/>
        <v>1.8680987175206409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-1.7053025658242404E-13</v>
      </c>
      <c r="DP144" s="18">
        <f>DO144*VLOOKUP('Données projet'!$B$14,Paramètres!$A$1:$I$89,3,0)*VLOOKUP('Données projet'!$B$14,Paramètres!$A$1:$I$89,5,0)</f>
        <v>-1.3567387213697657E-13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312.53381881960331</v>
      </c>
      <c r="DU144" s="62">
        <f t="shared" si="152"/>
        <v>342.06887933351783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5.4978954722173515E-14</v>
      </c>
      <c r="EL144" s="14">
        <f t="shared" si="153"/>
        <v>8.8550225887742724E-13</v>
      </c>
      <c r="EM144" s="22">
        <f t="shared" si="127"/>
        <v>1.6380047803526383E-12</v>
      </c>
      <c r="EN144" s="62">
        <f t="shared" si="128"/>
        <v>293.33333333333496</v>
      </c>
      <c r="EO144" s="62">
        <f ca="1">AVERAGE(OFFSET($EN$3,0,0,'Données projet'!$E$15+1,1))-AVERAGE(OFFSET($H$3,0,0,'Données projet'!$E$15+1,1))</f>
        <v>255.59755832175625</v>
      </c>
      <c r="EP144" s="62">
        <f t="shared" si="154"/>
        <v>154.0840647586964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197.08445731383847</v>
      </c>
      <c r="FK144" s="62">
        <f t="shared" si="156"/>
        <v>157.12482557016511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829.47884870108419</v>
      </c>
      <c r="S145" s="62">
        <f ca="1">AVERAGE(OFFSET($R$3,0,0,'Données projet'!$E$9+1,1))-AVERAGE(OFFSET($H$3,0,0,'Données projet'!$E$9+1,1))</f>
        <v>428.8489304403459</v>
      </c>
      <c r="T145" s="62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2">
        <f t="shared" si="113"/>
        <v>892.64046612551419</v>
      </c>
      <c r="AN145" s="62">
        <f ca="1">AVERAGE(OFFSET($AM$3,0,0,'Données projet'!$E$10+1,1))-AVERAGE(OFFSET($H$3,0,0,'Données projet'!$E$10+1,1))</f>
        <v>475.47920969424894</v>
      </c>
      <c r="AO145" s="62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2.8421709430404007E-13</v>
      </c>
      <c r="BE145" s="14">
        <f>BD145*VLOOKUP('Données projet'!$B$11,Paramètres!$A$1:$I$89,3,0)*VLOOKUP('Données projet'!$B$11,Paramètres!$A$1:$I$89,5,0)</f>
        <v>1.3301360013429075E-13</v>
      </c>
      <c r="BF145" s="14">
        <f t="shared" si="145"/>
        <v>1.9329766731057041E-12</v>
      </c>
      <c r="BG145" s="22">
        <f t="shared" si="115"/>
        <v>3.5982663925596575E-12</v>
      </c>
      <c r="BH145" s="62">
        <f t="shared" si="116"/>
        <v>293.3333333333369</v>
      </c>
      <c r="BI145" s="62">
        <f ca="1">AVERAGE(OFFSET($BH$3,0,0,'Données projet'!$E$11+1,1))-AVERAGE(OFFSET($H$3,0,0,'Données projet'!$E$11+1,1))</f>
        <v>246.73711856758143</v>
      </c>
      <c r="BJ145" s="62">
        <f t="shared" si="146"/>
        <v>145.54897745089966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6.3550942286383367E-14</v>
      </c>
      <c r="CA145" s="14">
        <f t="shared" si="147"/>
        <v>1.0064464192543978E-12</v>
      </c>
      <c r="CB145" s="22">
        <f t="shared" si="118"/>
        <v>1.8635787380168604E-12</v>
      </c>
      <c r="CC145" s="62">
        <f t="shared" si="119"/>
        <v>293.33333333333519</v>
      </c>
      <c r="CD145" s="62">
        <f ca="1">AVERAGE(OFFSET($CC$3,0,0,'Données projet'!$E$12+1,1))-AVERAGE(OFFSET($H$3,0,0,'Données projet'!$E$12+1,1))</f>
        <v>321.13335003345236</v>
      </c>
      <c r="CE145" s="62">
        <f t="shared" si="148"/>
        <v>301.26825075712128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0.9239264533037671</v>
      </c>
      <c r="CM145" s="23">
        <f>EXP(-LN(2)/2)*CM144+(1-EXP(-LN(2)/2))/(LN(2)/2)*CG145*CJ145*VLOOKUP('Données projet'!$B$12,Paramètres!$A$1:$I$89,3,0)*0.475*44/12</f>
        <v>1.3685138673389282E-16</v>
      </c>
      <c r="CN145" s="24">
        <f t="shared" si="120"/>
        <v>0.92392645330376721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6.7984728957526396E-14</v>
      </c>
      <c r="CV145" s="14">
        <f t="shared" si="149"/>
        <v>1.0682447123141398E-12</v>
      </c>
      <c r="CW145" s="22">
        <f t="shared" si="121"/>
        <v>1.978932943548152E-12</v>
      </c>
      <c r="CX145" s="62">
        <f t="shared" si="122"/>
        <v>293.3333333333353</v>
      </c>
      <c r="CY145" s="62">
        <f ca="1">AVERAGE(OFFSET($CX$3,0,0,'Données projet'!$E$13+1,1))-AVERAGE(OFFSET($H$3,0,0,'Données projet'!$E$13+1,1))</f>
        <v>260.02504691866199</v>
      </c>
      <c r="CZ145" s="62">
        <f t="shared" si="150"/>
        <v>270.11268336406368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1.0890918753850436</v>
      </c>
      <c r="DG145" s="23">
        <f>EXP(-LN(2)/25)*DG144+(1-EXP(-LN(2)/25))/(LN(2)/25)*Calculateur!DB145*Calculateur!DD145*VLOOKUP('Données projet'!$B$13,Paramètres!$A$1:$I$89,3,0)*0.475*44/12</f>
        <v>0.73651694217867669</v>
      </c>
      <c r="DH145" s="23">
        <f>EXP(-LN(2)/2)*DH144+(1-EXP(-LN(2)/2))/(LN(2)/2)*DB145*DE145*VLOOKUP('Données projet'!$B$13,Paramètres!$A$1:$I$89,3,0)*0.475*44/12</f>
        <v>8.7984632717361729E-17</v>
      </c>
      <c r="DI145" s="24">
        <f t="shared" si="123"/>
        <v>1.8256088175637202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-1.7053025658242404E-13</v>
      </c>
      <c r="DP145" s="18">
        <f>DO145*VLOOKUP('Données projet'!$B$14,Paramètres!$A$1:$I$89,3,0)*VLOOKUP('Données projet'!$B$14,Paramètres!$A$1:$I$89,5,0)</f>
        <v>-1.3567387213697657E-13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312.53381881960331</v>
      </c>
      <c r="DU145" s="62">
        <f t="shared" si="152"/>
        <v>342.06887933351783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5.4978954722173515E-14</v>
      </c>
      <c r="EL145" s="14">
        <f t="shared" si="153"/>
        <v>8.8550225887742724E-13</v>
      </c>
      <c r="EM145" s="22">
        <f t="shared" si="127"/>
        <v>1.6380047803526383E-12</v>
      </c>
      <c r="EN145" s="62">
        <f t="shared" si="128"/>
        <v>293.33333333333496</v>
      </c>
      <c r="EO145" s="62">
        <f ca="1">AVERAGE(OFFSET($EN$3,0,0,'Données projet'!$E$15+1,1))-AVERAGE(OFFSET($H$3,0,0,'Données projet'!$E$15+1,1))</f>
        <v>255.59755832175625</v>
      </c>
      <c r="EP145" s="62">
        <f t="shared" si="154"/>
        <v>154.0840647586964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197.08445731383847</v>
      </c>
      <c r="FK145" s="62">
        <f t="shared" si="156"/>
        <v>157.12482557016511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834.07123124476584</v>
      </c>
      <c r="S146" s="62">
        <f ca="1">AVERAGE(OFFSET($R$3,0,0,'Données projet'!$E$9+1,1))-AVERAGE(OFFSET($H$3,0,0,'Données projet'!$E$9+1,1))</f>
        <v>428.8489304403459</v>
      </c>
      <c r="T146" s="62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2">
        <f t="shared" si="113"/>
        <v>897.77513681738401</v>
      </c>
      <c r="AN146" s="62">
        <f ca="1">AVERAGE(OFFSET($AM$3,0,0,'Données projet'!$E$10+1,1))-AVERAGE(OFFSET($H$3,0,0,'Données projet'!$E$10+1,1))</f>
        <v>475.47920969424894</v>
      </c>
      <c r="AO146" s="62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2.8421709430404007E-13</v>
      </c>
      <c r="BE146" s="14">
        <f>BD146*VLOOKUP('Données projet'!$B$11,Paramètres!$A$1:$I$89,3,0)*VLOOKUP('Données projet'!$B$11,Paramètres!$A$1:$I$89,5,0)</f>
        <v>1.3301360013429075E-13</v>
      </c>
      <c r="BF146" s="14">
        <f t="shared" si="145"/>
        <v>1.9329766731057041E-12</v>
      </c>
      <c r="BG146" s="22">
        <f t="shared" si="115"/>
        <v>3.5982663925596575E-12</v>
      </c>
      <c r="BH146" s="62">
        <f t="shared" si="116"/>
        <v>293.3333333333369</v>
      </c>
      <c r="BI146" s="62">
        <f ca="1">AVERAGE(OFFSET($BH$3,0,0,'Données projet'!$E$11+1,1))-AVERAGE(OFFSET($H$3,0,0,'Données projet'!$E$11+1,1))</f>
        <v>246.73711856758143</v>
      </c>
      <c r="BJ146" s="62">
        <f t="shared" si="146"/>
        <v>145.54897745089966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6.3550942286383367E-14</v>
      </c>
      <c r="CA146" s="14">
        <f t="shared" si="147"/>
        <v>1.0064464192543978E-12</v>
      </c>
      <c r="CB146" s="22">
        <f t="shared" si="118"/>
        <v>1.8635787380168604E-12</v>
      </c>
      <c r="CC146" s="62">
        <f t="shared" si="119"/>
        <v>293.33333333333519</v>
      </c>
      <c r="CD146" s="62">
        <f ca="1">AVERAGE(OFFSET($CC$3,0,0,'Données projet'!$E$12+1,1))-AVERAGE(OFFSET($H$3,0,0,'Données projet'!$E$12+1,1))</f>
        <v>321.13335003345236</v>
      </c>
      <c r="CE146" s="62">
        <f t="shared" si="148"/>
        <v>301.26825075712128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0.89866163585099512</v>
      </c>
      <c r="CM146" s="23">
        <f>EXP(-LN(2)/2)*CM145+(1-EXP(-LN(2)/2))/(LN(2)/2)*CG146*CJ146*VLOOKUP('Données projet'!$B$12,Paramètres!$A$1:$I$89,3,0)*0.475*44/12</f>
        <v>9.6768543574318343E-17</v>
      </c>
      <c r="CN146" s="24">
        <f t="shared" si="120"/>
        <v>0.89866163585099523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6.7984728957526396E-14</v>
      </c>
      <c r="CV146" s="14">
        <f t="shared" si="149"/>
        <v>1.0682447123141398E-12</v>
      </c>
      <c r="CW146" s="22">
        <f t="shared" si="121"/>
        <v>1.978932943548152E-12</v>
      </c>
      <c r="CX146" s="62">
        <f t="shared" si="122"/>
        <v>293.3333333333353</v>
      </c>
      <c r="CY146" s="62">
        <f ca="1">AVERAGE(OFFSET($CX$3,0,0,'Données projet'!$E$13+1,1))-AVERAGE(OFFSET($H$3,0,0,'Données projet'!$E$13+1,1))</f>
        <v>260.02504691866199</v>
      </c>
      <c r="CZ146" s="62">
        <f t="shared" si="150"/>
        <v>270.11268336406368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1.0677354479891947</v>
      </c>
      <c r="DG146" s="23">
        <f>EXP(-LN(2)/25)*DG145+(1-EXP(-LN(2)/25))/(LN(2)/25)*Calculateur!DB146*Calculateur!DD146*VLOOKUP('Données projet'!$B$13,Paramètres!$A$1:$I$89,3,0)*0.475*44/12</f>
        <v>0.71637684766305809</v>
      </c>
      <c r="DH146" s="23">
        <f>EXP(-LN(2)/2)*DH145+(1-EXP(-LN(2)/2))/(LN(2)/2)*DB146*DE146*VLOOKUP('Données projet'!$B$13,Paramètres!$A$1:$I$89,3,0)*0.475*44/12</f>
        <v>6.221453043465425E-17</v>
      </c>
      <c r="DI146" s="24">
        <f t="shared" si="123"/>
        <v>1.7841122956522528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-1.7053025658242404E-13</v>
      </c>
      <c r="DP146" s="18">
        <f>DO146*VLOOKUP('Données projet'!$B$14,Paramètres!$A$1:$I$89,3,0)*VLOOKUP('Données projet'!$B$14,Paramètres!$A$1:$I$89,5,0)</f>
        <v>-1.3567387213697657E-13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312.53381881960331</v>
      </c>
      <c r="DU146" s="62">
        <f t="shared" si="152"/>
        <v>342.06887933351783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5.4978954722173515E-14</v>
      </c>
      <c r="EL146" s="14">
        <f t="shared" si="153"/>
        <v>8.8550225887742724E-13</v>
      </c>
      <c r="EM146" s="22">
        <f t="shared" si="127"/>
        <v>1.6380047803526383E-12</v>
      </c>
      <c r="EN146" s="62">
        <f t="shared" si="128"/>
        <v>293.33333333333496</v>
      </c>
      <c r="EO146" s="62">
        <f ca="1">AVERAGE(OFFSET($EN$3,0,0,'Données projet'!$E$15+1,1))-AVERAGE(OFFSET($H$3,0,0,'Données projet'!$E$15+1,1))</f>
        <v>255.59755832175625</v>
      </c>
      <c r="EP146" s="62">
        <f t="shared" si="154"/>
        <v>154.0840647586964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197.08445731383847</v>
      </c>
      <c r="FK146" s="62">
        <f t="shared" si="156"/>
        <v>157.12482557016511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838.66279460250166</v>
      </c>
      <c r="S147" s="62">
        <f ca="1">AVERAGE(OFFSET($R$3,0,0,'Données projet'!$E$9+1,1))-AVERAGE(OFFSET($H$3,0,0,'Données projet'!$E$9+1,1))</f>
        <v>428.8489304403459</v>
      </c>
      <c r="T147" s="62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2">
        <f t="shared" si="113"/>
        <v>902.90890155188936</v>
      </c>
      <c r="AN147" s="62">
        <f ca="1">AVERAGE(OFFSET($AM$3,0,0,'Données projet'!$E$10+1,1))-AVERAGE(OFFSET($H$3,0,0,'Données projet'!$E$10+1,1))</f>
        <v>475.47920969424894</v>
      </c>
      <c r="AO147" s="62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2.8421709430404007E-13</v>
      </c>
      <c r="BE147" s="14">
        <f>BD147*VLOOKUP('Données projet'!$B$11,Paramètres!$A$1:$I$89,3,0)*VLOOKUP('Données projet'!$B$11,Paramètres!$A$1:$I$89,5,0)</f>
        <v>1.3301360013429075E-13</v>
      </c>
      <c r="BF147" s="14">
        <f t="shared" si="145"/>
        <v>1.9329766731057041E-12</v>
      </c>
      <c r="BG147" s="22">
        <f t="shared" si="115"/>
        <v>3.5982663925596575E-12</v>
      </c>
      <c r="BH147" s="62">
        <f t="shared" si="116"/>
        <v>293.3333333333369</v>
      </c>
      <c r="BI147" s="62">
        <f ca="1">AVERAGE(OFFSET($BH$3,0,0,'Données projet'!$E$11+1,1))-AVERAGE(OFFSET($H$3,0,0,'Données projet'!$E$11+1,1))</f>
        <v>246.73711856758143</v>
      </c>
      <c r="BJ147" s="62">
        <f t="shared" si="146"/>
        <v>145.54897745089966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6.3550942286383367E-14</v>
      </c>
      <c r="CA147" s="14">
        <f t="shared" si="147"/>
        <v>1.0064464192543978E-12</v>
      </c>
      <c r="CB147" s="22">
        <f t="shared" si="118"/>
        <v>1.8635787380168604E-12</v>
      </c>
      <c r="CC147" s="62">
        <f t="shared" si="119"/>
        <v>293.33333333333519</v>
      </c>
      <c r="CD147" s="62">
        <f ca="1">AVERAGE(OFFSET($CC$3,0,0,'Données projet'!$E$12+1,1))-AVERAGE(OFFSET($H$3,0,0,'Données projet'!$E$12+1,1))</f>
        <v>321.13335003345236</v>
      </c>
      <c r="CE147" s="62">
        <f t="shared" si="148"/>
        <v>301.26825075712128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0.87408768616008814</v>
      </c>
      <c r="CM147" s="23">
        <f>EXP(-LN(2)/2)*CM146+(1-EXP(-LN(2)/2))/(LN(2)/2)*CG147*CJ147*VLOOKUP('Données projet'!$B$12,Paramètres!$A$1:$I$89,3,0)*0.475*44/12</f>
        <v>6.8425693366946409E-17</v>
      </c>
      <c r="CN147" s="24">
        <f t="shared" si="120"/>
        <v>0.87408768616008825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6.7984728957526396E-14</v>
      </c>
      <c r="CV147" s="14">
        <f t="shared" si="149"/>
        <v>1.0682447123141398E-12</v>
      </c>
      <c r="CW147" s="22">
        <f t="shared" si="121"/>
        <v>1.978932943548152E-12</v>
      </c>
      <c r="CX147" s="62">
        <f t="shared" si="122"/>
        <v>293.3333333333353</v>
      </c>
      <c r="CY147" s="62">
        <f ca="1">AVERAGE(OFFSET($CX$3,0,0,'Données projet'!$E$13+1,1))-AVERAGE(OFFSET($H$3,0,0,'Données projet'!$E$13+1,1))</f>
        <v>260.02504691866199</v>
      </c>
      <c r="CZ147" s="62">
        <f t="shared" si="150"/>
        <v>270.11268336406368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1.0467978071084438</v>
      </c>
      <c r="DG147" s="23">
        <f>EXP(-LN(2)/25)*DG146+(1-EXP(-LN(2)/25))/(LN(2)/25)*Calculateur!DB147*Calculateur!DD147*VLOOKUP('Données projet'!$B$13,Paramètres!$A$1:$I$89,3,0)*0.475*44/12</f>
        <v>0.69678748509109067</v>
      </c>
      <c r="DH147" s="23">
        <f>EXP(-LN(2)/2)*DH146+(1-EXP(-LN(2)/2))/(LN(2)/2)*DB147*DE147*VLOOKUP('Données projet'!$B$13,Paramètres!$A$1:$I$89,3,0)*0.475*44/12</f>
        <v>4.3992316358680865E-17</v>
      </c>
      <c r="DI147" s="24">
        <f t="shared" si="123"/>
        <v>1.7435852921995345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-1.7053025658242404E-13</v>
      </c>
      <c r="DP147" s="18">
        <f>DO147*VLOOKUP('Données projet'!$B$14,Paramètres!$A$1:$I$89,3,0)*VLOOKUP('Données projet'!$B$14,Paramètres!$A$1:$I$89,5,0)</f>
        <v>-1.3567387213697657E-13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312.53381881960331</v>
      </c>
      <c r="DU147" s="62">
        <f t="shared" si="152"/>
        <v>342.06887933351783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5.4978954722173515E-14</v>
      </c>
      <c r="EL147" s="14">
        <f t="shared" si="153"/>
        <v>8.8550225887742724E-13</v>
      </c>
      <c r="EM147" s="22">
        <f t="shared" si="127"/>
        <v>1.6380047803526383E-12</v>
      </c>
      <c r="EN147" s="62">
        <f t="shared" si="128"/>
        <v>293.33333333333496</v>
      </c>
      <c r="EO147" s="62">
        <f ca="1">AVERAGE(OFFSET($EN$3,0,0,'Données projet'!$E$15+1,1))-AVERAGE(OFFSET($H$3,0,0,'Données projet'!$E$15+1,1))</f>
        <v>255.59755832175625</v>
      </c>
      <c r="EP147" s="62">
        <f t="shared" si="154"/>
        <v>154.0840647586964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197.08445731383847</v>
      </c>
      <c r="FK147" s="62">
        <f t="shared" si="156"/>
        <v>157.12482557016511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843.25354664883753</v>
      </c>
      <c r="S148" s="62">
        <f ca="1">AVERAGE(OFFSET($R$3,0,0,'Données projet'!$E$9+1,1))-AVERAGE(OFFSET($H$3,0,0,'Données projet'!$E$9+1,1))</f>
        <v>428.8489304403459</v>
      </c>
      <c r="T148" s="62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2">
        <f t="shared" si="113"/>
        <v>908.04176903767916</v>
      </c>
      <c r="AN148" s="62">
        <f ca="1">AVERAGE(OFFSET($AM$3,0,0,'Données projet'!$E$10+1,1))-AVERAGE(OFFSET($H$3,0,0,'Données projet'!$E$10+1,1))</f>
        <v>475.47920969424894</v>
      </c>
      <c r="AO148" s="62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2.8421709430404007E-13</v>
      </c>
      <c r="BE148" s="14">
        <f>BD148*VLOOKUP('Données projet'!$B$11,Paramètres!$A$1:$I$89,3,0)*VLOOKUP('Données projet'!$B$11,Paramètres!$A$1:$I$89,5,0)</f>
        <v>1.3301360013429075E-13</v>
      </c>
      <c r="BF148" s="14">
        <f t="shared" si="145"/>
        <v>1.9329766731057041E-12</v>
      </c>
      <c r="BG148" s="22">
        <f t="shared" si="115"/>
        <v>3.5982663925596575E-12</v>
      </c>
      <c r="BH148" s="62">
        <f t="shared" si="116"/>
        <v>293.3333333333369</v>
      </c>
      <c r="BI148" s="62">
        <f ca="1">AVERAGE(OFFSET($BH$3,0,0,'Données projet'!$E$11+1,1))-AVERAGE(OFFSET($H$3,0,0,'Données projet'!$E$11+1,1))</f>
        <v>246.73711856758143</v>
      </c>
      <c r="BJ148" s="62">
        <f t="shared" si="146"/>
        <v>145.54897745089966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6.3550942286383367E-14</v>
      </c>
      <c r="CA148" s="14">
        <f t="shared" si="147"/>
        <v>1.0064464192543978E-12</v>
      </c>
      <c r="CB148" s="22">
        <f t="shared" si="118"/>
        <v>1.8635787380168604E-12</v>
      </c>
      <c r="CC148" s="62">
        <f t="shared" si="119"/>
        <v>293.33333333333519</v>
      </c>
      <c r="CD148" s="62">
        <f ca="1">AVERAGE(OFFSET($CC$3,0,0,'Données projet'!$E$12+1,1))-AVERAGE(OFFSET($H$3,0,0,'Données projet'!$E$12+1,1))</f>
        <v>321.13335003345236</v>
      </c>
      <c r="CE148" s="62">
        <f t="shared" si="148"/>
        <v>301.26825075712128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0.8501857124157669</v>
      </c>
      <c r="CM148" s="23">
        <f>EXP(-LN(2)/2)*CM147+(1-EXP(-LN(2)/2))/(LN(2)/2)*CG148*CJ148*VLOOKUP('Données projet'!$B$12,Paramètres!$A$1:$I$89,3,0)*0.475*44/12</f>
        <v>4.8384271787159171E-17</v>
      </c>
      <c r="CN148" s="24">
        <f t="shared" si="120"/>
        <v>0.8501857124157669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6.7984728957526396E-14</v>
      </c>
      <c r="CV148" s="14">
        <f t="shared" si="149"/>
        <v>1.0682447123141398E-12</v>
      </c>
      <c r="CW148" s="22">
        <f t="shared" si="121"/>
        <v>1.978932943548152E-12</v>
      </c>
      <c r="CX148" s="62">
        <f t="shared" si="122"/>
        <v>293.3333333333353</v>
      </c>
      <c r="CY148" s="62">
        <f ca="1">AVERAGE(OFFSET($CX$3,0,0,'Données projet'!$E$13+1,1))-AVERAGE(OFFSET($H$3,0,0,'Données projet'!$E$13+1,1))</f>
        <v>260.02504691866199</v>
      </c>
      <c r="CZ148" s="62">
        <f t="shared" si="150"/>
        <v>270.11268336406368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1.0262707405946645</v>
      </c>
      <c r="DG148" s="23">
        <f>EXP(-LN(2)/25)*DG147+(1-EXP(-LN(2)/25))/(LN(2)/25)*Calculateur!DB148*Calculateur!DD148*VLOOKUP('Données projet'!$B$13,Paramètres!$A$1:$I$89,3,0)*0.475*44/12</f>
        <v>0.67773379466881345</v>
      </c>
      <c r="DH148" s="23">
        <f>EXP(-LN(2)/2)*DH147+(1-EXP(-LN(2)/2))/(LN(2)/2)*DB148*DE148*VLOOKUP('Données projet'!$B$13,Paramètres!$A$1:$I$89,3,0)*0.475*44/12</f>
        <v>3.1107265217327125E-17</v>
      </c>
      <c r="DI148" s="24">
        <f t="shared" si="123"/>
        <v>1.7040045352634778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-1.7053025658242404E-13</v>
      </c>
      <c r="DP148" s="18">
        <f>DO148*VLOOKUP('Données projet'!$B$14,Paramètres!$A$1:$I$89,3,0)*VLOOKUP('Données projet'!$B$14,Paramètres!$A$1:$I$89,5,0)</f>
        <v>-1.3567387213697657E-13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312.53381881960331</v>
      </c>
      <c r="DU148" s="62">
        <f t="shared" si="152"/>
        <v>342.06887933351783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5.4978954722173515E-14</v>
      </c>
      <c r="EL148" s="14">
        <f t="shared" si="153"/>
        <v>8.8550225887742724E-13</v>
      </c>
      <c r="EM148" s="22">
        <f t="shared" si="127"/>
        <v>1.6380047803526383E-12</v>
      </c>
      <c r="EN148" s="62">
        <f t="shared" si="128"/>
        <v>293.33333333333496</v>
      </c>
      <c r="EO148" s="62">
        <f ca="1">AVERAGE(OFFSET($EN$3,0,0,'Données projet'!$E$15+1,1))-AVERAGE(OFFSET($H$3,0,0,'Données projet'!$E$15+1,1))</f>
        <v>255.59755832175625</v>
      </c>
      <c r="EP148" s="62">
        <f t="shared" si="154"/>
        <v>154.0840647586964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197.08445731383847</v>
      </c>
      <c r="FK148" s="62">
        <f t="shared" si="156"/>
        <v>157.12482557016511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847.84349511604432</v>
      </c>
      <c r="S149" s="62">
        <f ca="1">AVERAGE(OFFSET($R$3,0,0,'Données projet'!$E$9+1,1))-AVERAGE(OFFSET($H$3,0,0,'Données projet'!$E$9+1,1))</f>
        <v>428.8489304403459</v>
      </c>
      <c r="T149" s="62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2">
        <f t="shared" si="113"/>
        <v>913.17374782605748</v>
      </c>
      <c r="AN149" s="62">
        <f ca="1">AVERAGE(OFFSET($AM$3,0,0,'Données projet'!$E$10+1,1))-AVERAGE(OFFSET($H$3,0,0,'Données projet'!$E$10+1,1))</f>
        <v>475.47920969424894</v>
      </c>
      <c r="AO149" s="62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2.8421709430404007E-13</v>
      </c>
      <c r="BE149" s="14">
        <f>BD149*VLOOKUP('Données projet'!$B$11,Paramètres!$A$1:$I$89,3,0)*VLOOKUP('Données projet'!$B$11,Paramètres!$A$1:$I$89,5,0)</f>
        <v>1.3301360013429075E-13</v>
      </c>
      <c r="BF149" s="14">
        <f t="shared" si="145"/>
        <v>1.9329766731057041E-12</v>
      </c>
      <c r="BG149" s="22">
        <f t="shared" si="115"/>
        <v>3.5982663925596575E-12</v>
      </c>
      <c r="BH149" s="62">
        <f t="shared" si="116"/>
        <v>293.3333333333369</v>
      </c>
      <c r="BI149" s="62">
        <f ca="1">AVERAGE(OFFSET($BH$3,0,0,'Données projet'!$E$11+1,1))-AVERAGE(OFFSET($H$3,0,0,'Données projet'!$E$11+1,1))</f>
        <v>246.73711856758143</v>
      </c>
      <c r="BJ149" s="62">
        <f t="shared" si="146"/>
        <v>145.54897745089966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6.3550942286383367E-14</v>
      </c>
      <c r="CA149" s="14">
        <f t="shared" si="147"/>
        <v>1.0064464192543978E-12</v>
      </c>
      <c r="CB149" s="22">
        <f t="shared" si="118"/>
        <v>1.8635787380168604E-12</v>
      </c>
      <c r="CC149" s="62">
        <f t="shared" si="119"/>
        <v>293.33333333333519</v>
      </c>
      <c r="CD149" s="62">
        <f ca="1">AVERAGE(OFFSET($CC$3,0,0,'Données projet'!$E$12+1,1))-AVERAGE(OFFSET($H$3,0,0,'Données projet'!$E$12+1,1))</f>
        <v>321.13335003345236</v>
      </c>
      <c r="CE149" s="62">
        <f t="shared" si="148"/>
        <v>301.26825075712128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0.82693733940043423</v>
      </c>
      <c r="CM149" s="23">
        <f>EXP(-LN(2)/2)*CM148+(1-EXP(-LN(2)/2))/(LN(2)/2)*CG149*CJ149*VLOOKUP('Données projet'!$B$12,Paramètres!$A$1:$I$89,3,0)*0.475*44/12</f>
        <v>3.4212846683473205E-17</v>
      </c>
      <c r="CN149" s="24">
        <f t="shared" si="120"/>
        <v>0.82693733940043423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6.7984728957526396E-14</v>
      </c>
      <c r="CV149" s="14">
        <f t="shared" si="149"/>
        <v>1.0682447123141398E-12</v>
      </c>
      <c r="CW149" s="22">
        <f t="shared" si="121"/>
        <v>1.978932943548152E-12</v>
      </c>
      <c r="CX149" s="62">
        <f t="shared" si="122"/>
        <v>293.3333333333353</v>
      </c>
      <c r="CY149" s="62">
        <f ca="1">AVERAGE(OFFSET($CX$3,0,0,'Données projet'!$E$13+1,1))-AVERAGE(OFFSET($H$3,0,0,'Données projet'!$E$13+1,1))</f>
        <v>260.02504691866199</v>
      </c>
      <c r="CZ149" s="62">
        <f t="shared" si="150"/>
        <v>270.11268336406368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1.0061461973349461</v>
      </c>
      <c r="DG149" s="23">
        <f>EXP(-LN(2)/25)*DG148+(1-EXP(-LN(2)/25))/(LN(2)/25)*Calculateur!DB149*Calculateur!DD149*VLOOKUP('Données projet'!$B$13,Paramètres!$A$1:$I$89,3,0)*0.475*44/12</f>
        <v>0.6592011284131235</v>
      </c>
      <c r="DH149" s="23">
        <f>EXP(-LN(2)/2)*DH148+(1-EXP(-LN(2)/2))/(LN(2)/2)*DB149*DE149*VLOOKUP('Données projet'!$B$13,Paramètres!$A$1:$I$89,3,0)*0.475*44/12</f>
        <v>2.1996158179340432E-17</v>
      </c>
      <c r="DI149" s="24">
        <f t="shared" si="123"/>
        <v>1.6653473257480695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-1.7053025658242404E-13</v>
      </c>
      <c r="DP149" s="18">
        <f>DO149*VLOOKUP('Données projet'!$B$14,Paramètres!$A$1:$I$89,3,0)*VLOOKUP('Données projet'!$B$14,Paramètres!$A$1:$I$89,5,0)</f>
        <v>-1.3567387213697657E-13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312.53381881960331</v>
      </c>
      <c r="DU149" s="62">
        <f t="shared" si="152"/>
        <v>342.06887933351783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5.4978954722173515E-14</v>
      </c>
      <c r="EL149" s="14">
        <f t="shared" si="153"/>
        <v>8.8550225887742724E-13</v>
      </c>
      <c r="EM149" s="22">
        <f t="shared" si="127"/>
        <v>1.6380047803526383E-12</v>
      </c>
      <c r="EN149" s="62">
        <f t="shared" si="128"/>
        <v>293.33333333333496</v>
      </c>
      <c r="EO149" s="62">
        <f ca="1">AVERAGE(OFFSET($EN$3,0,0,'Données projet'!$E$15+1,1))-AVERAGE(OFFSET($H$3,0,0,'Données projet'!$E$15+1,1))</f>
        <v>255.59755832175625</v>
      </c>
      <c r="EP149" s="62">
        <f t="shared" si="154"/>
        <v>154.0840647586964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197.08445731383847</v>
      </c>
      <c r="FK149" s="62">
        <f t="shared" si="156"/>
        <v>157.12482557016511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852.43264759787166</v>
      </c>
      <c r="S150" s="62">
        <f ca="1">AVERAGE(OFFSET($R$3,0,0,'Données projet'!$E$9+1,1))-AVERAGE(OFFSET($H$3,0,0,'Données projet'!$E$9+1,1))</f>
        <v>428.8489304403459</v>
      </c>
      <c r="T150" s="62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2">
        <f t="shared" si="113"/>
        <v>918.30484631513332</v>
      </c>
      <c r="AN150" s="62">
        <f ca="1">AVERAGE(OFFSET($AM$3,0,0,'Données projet'!$E$10+1,1))-AVERAGE(OFFSET($H$3,0,0,'Données projet'!$E$10+1,1))</f>
        <v>475.47920969424894</v>
      </c>
      <c r="AO150" s="62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2.8421709430404007E-13</v>
      </c>
      <c r="BE150" s="14">
        <f>BD150*VLOOKUP('Données projet'!$B$11,Paramètres!$A$1:$I$89,3,0)*VLOOKUP('Données projet'!$B$11,Paramètres!$A$1:$I$89,5,0)</f>
        <v>1.3301360013429075E-13</v>
      </c>
      <c r="BF150" s="14">
        <f t="shared" si="145"/>
        <v>1.9329766731057041E-12</v>
      </c>
      <c r="BG150" s="22">
        <f t="shared" si="115"/>
        <v>3.5982663925596575E-12</v>
      </c>
      <c r="BH150" s="62">
        <f t="shared" si="116"/>
        <v>293.3333333333369</v>
      </c>
      <c r="BI150" s="62">
        <f ca="1">AVERAGE(OFFSET($BH$3,0,0,'Données projet'!$E$11+1,1))-AVERAGE(OFFSET($H$3,0,0,'Données projet'!$E$11+1,1))</f>
        <v>246.73711856758143</v>
      </c>
      <c r="BJ150" s="62">
        <f t="shared" si="146"/>
        <v>145.54897745089966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6.3550942286383367E-14</v>
      </c>
      <c r="CA150" s="14">
        <f t="shared" si="147"/>
        <v>1.0064464192543978E-12</v>
      </c>
      <c r="CB150" s="22">
        <f t="shared" si="118"/>
        <v>1.8635787380168604E-12</v>
      </c>
      <c r="CC150" s="62">
        <f t="shared" si="119"/>
        <v>293.33333333333519</v>
      </c>
      <c r="CD150" s="62">
        <f ca="1">AVERAGE(OFFSET($CC$3,0,0,'Données projet'!$E$12+1,1))-AVERAGE(OFFSET($H$3,0,0,'Données projet'!$E$12+1,1))</f>
        <v>321.13335003345236</v>
      </c>
      <c r="CE150" s="62">
        <f t="shared" si="148"/>
        <v>301.26825075712128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0.80432469436778464</v>
      </c>
      <c r="CM150" s="23">
        <f>EXP(-LN(2)/2)*CM149+(1-EXP(-LN(2)/2))/(LN(2)/2)*CG150*CJ150*VLOOKUP('Données projet'!$B$12,Paramètres!$A$1:$I$89,3,0)*0.475*44/12</f>
        <v>2.4192135893579586E-17</v>
      </c>
      <c r="CN150" s="24">
        <f t="shared" si="120"/>
        <v>0.80432469436778464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6.7984728957526396E-14</v>
      </c>
      <c r="CV150" s="14">
        <f t="shared" si="149"/>
        <v>1.0682447123141398E-12</v>
      </c>
      <c r="CW150" s="22">
        <f t="shared" si="121"/>
        <v>1.978932943548152E-12</v>
      </c>
      <c r="CX150" s="62">
        <f t="shared" si="122"/>
        <v>293.3333333333353</v>
      </c>
      <c r="CY150" s="62">
        <f ca="1">AVERAGE(OFFSET($CX$3,0,0,'Données projet'!$E$13+1,1))-AVERAGE(OFFSET($H$3,0,0,'Données projet'!$E$13+1,1))</f>
        <v>260.02504691866199</v>
      </c>
      <c r="CZ150" s="62">
        <f t="shared" si="150"/>
        <v>270.11268336406368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0.98641628409379156</v>
      </c>
      <c r="DG150" s="23">
        <f>EXP(-LN(2)/25)*DG149+(1-EXP(-LN(2)/25))/(LN(2)/25)*Calculateur!DB150*Calculateur!DD150*VLOOKUP('Données projet'!$B$13,Paramètres!$A$1:$I$89,3,0)*0.475*44/12</f>
        <v>0.64117523889078587</v>
      </c>
      <c r="DH150" s="23">
        <f>EXP(-LN(2)/2)*DH149+(1-EXP(-LN(2)/2))/(LN(2)/2)*DB150*DE150*VLOOKUP('Données projet'!$B$13,Paramètres!$A$1:$I$89,3,0)*0.475*44/12</f>
        <v>1.5553632608663563E-17</v>
      </c>
      <c r="DI150" s="24">
        <f t="shared" si="123"/>
        <v>1.6275915229845774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-1.7053025658242404E-13</v>
      </c>
      <c r="DP150" s="18">
        <f>DO150*VLOOKUP('Données projet'!$B$14,Paramètres!$A$1:$I$89,3,0)*VLOOKUP('Données projet'!$B$14,Paramètres!$A$1:$I$89,5,0)</f>
        <v>-1.3567387213697657E-13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312.53381881960331</v>
      </c>
      <c r="DU150" s="62">
        <f t="shared" si="152"/>
        <v>342.06887933351783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5.4978954722173515E-14</v>
      </c>
      <c r="EL150" s="14">
        <f t="shared" si="153"/>
        <v>8.8550225887742724E-13</v>
      </c>
      <c r="EM150" s="22">
        <f t="shared" si="127"/>
        <v>1.6380047803526383E-12</v>
      </c>
      <c r="EN150" s="62">
        <f t="shared" si="128"/>
        <v>293.33333333333496</v>
      </c>
      <c r="EO150" s="62">
        <f ca="1">AVERAGE(OFFSET($EN$3,0,0,'Données projet'!$E$15+1,1))-AVERAGE(OFFSET($H$3,0,0,'Données projet'!$E$15+1,1))</f>
        <v>255.59755832175625</v>
      </c>
      <c r="EP150" s="62">
        <f t="shared" si="154"/>
        <v>154.0840647586964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197.08445731383847</v>
      </c>
      <c r="FK150" s="62">
        <f t="shared" si="156"/>
        <v>157.12482557016511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857.02101155317064</v>
      </c>
      <c r="S151" s="62">
        <f ca="1">AVERAGE(OFFSET($R$3,0,0,'Données projet'!$E$9+1,1))-AVERAGE(OFFSET($H$3,0,0,'Données projet'!$E$9+1,1))</f>
        <v>428.8489304403459</v>
      </c>
      <c r="T151" s="62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2">
        <f t="shared" si="113"/>
        <v>923.43507275382922</v>
      </c>
      <c r="AN151" s="62">
        <f ca="1">AVERAGE(OFFSET($AM$3,0,0,'Données projet'!$E$10+1,1))-AVERAGE(OFFSET($H$3,0,0,'Données projet'!$E$10+1,1))</f>
        <v>475.47920969424894</v>
      </c>
      <c r="AO151" s="62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2.8421709430404007E-13</v>
      </c>
      <c r="BE151" s="14">
        <f>BD151*VLOOKUP('Données projet'!$B$11,Paramètres!$A$1:$I$89,3,0)*VLOOKUP('Données projet'!$B$11,Paramètres!$A$1:$I$89,5,0)</f>
        <v>1.3301360013429075E-13</v>
      </c>
      <c r="BF151" s="14">
        <f t="shared" si="145"/>
        <v>1.9329766731057041E-12</v>
      </c>
      <c r="BG151" s="22">
        <f t="shared" si="115"/>
        <v>3.5982663925596575E-12</v>
      </c>
      <c r="BH151" s="62">
        <f t="shared" si="116"/>
        <v>293.3333333333369</v>
      </c>
      <c r="BI151" s="62">
        <f ca="1">AVERAGE(OFFSET($BH$3,0,0,'Données projet'!$E$11+1,1))-AVERAGE(OFFSET($H$3,0,0,'Données projet'!$E$11+1,1))</f>
        <v>246.73711856758143</v>
      </c>
      <c r="BJ151" s="62">
        <f t="shared" si="146"/>
        <v>145.54897745089966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6.3550942286383367E-14</v>
      </c>
      <c r="CA151" s="14">
        <f t="shared" si="147"/>
        <v>1.0064464192543978E-12</v>
      </c>
      <c r="CB151" s="22">
        <f t="shared" si="118"/>
        <v>1.8635787380168604E-12</v>
      </c>
      <c r="CC151" s="62">
        <f t="shared" si="119"/>
        <v>293.33333333333519</v>
      </c>
      <c r="CD151" s="62">
        <f ca="1">AVERAGE(OFFSET($CC$3,0,0,'Données projet'!$E$12+1,1))-AVERAGE(OFFSET($H$3,0,0,'Données projet'!$E$12+1,1))</f>
        <v>321.13335003345236</v>
      </c>
      <c r="CE151" s="62">
        <f t="shared" si="148"/>
        <v>301.26825075712128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0.78233039330270016</v>
      </c>
      <c r="CM151" s="23">
        <f>EXP(-LN(2)/2)*CM150+(1-EXP(-LN(2)/2))/(LN(2)/2)*CG151*CJ151*VLOOKUP('Données projet'!$B$12,Paramètres!$A$1:$I$89,3,0)*0.475*44/12</f>
        <v>1.7106423341736602E-17</v>
      </c>
      <c r="CN151" s="24">
        <f t="shared" si="120"/>
        <v>0.78233039330270016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6.7984728957526396E-14</v>
      </c>
      <c r="CV151" s="14">
        <f t="shared" si="149"/>
        <v>1.0682447123141398E-12</v>
      </c>
      <c r="CW151" s="22">
        <f t="shared" si="121"/>
        <v>1.978932943548152E-12</v>
      </c>
      <c r="CX151" s="62">
        <f t="shared" si="122"/>
        <v>293.3333333333353</v>
      </c>
      <c r="CY151" s="62">
        <f ca="1">AVERAGE(OFFSET($CX$3,0,0,'Données projet'!$E$13+1,1))-AVERAGE(OFFSET($H$3,0,0,'Données projet'!$E$13+1,1))</f>
        <v>260.02504691866199</v>
      </c>
      <c r="CZ151" s="62">
        <f t="shared" si="150"/>
        <v>270.11268336406368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0.96707326241723712</v>
      </c>
      <c r="DG151" s="23">
        <f>EXP(-LN(2)/25)*DG150+(1-EXP(-LN(2)/25))/(LN(2)/25)*Calculateur!DB151*Calculateur!DD151*VLOOKUP('Données projet'!$B$13,Paramètres!$A$1:$I$89,3,0)*0.475*44/12</f>
        <v>0.62364226826537694</v>
      </c>
      <c r="DH151" s="23">
        <f>EXP(-LN(2)/2)*DH150+(1-EXP(-LN(2)/2))/(LN(2)/2)*DB151*DE151*VLOOKUP('Données projet'!$B$13,Paramètres!$A$1:$I$89,3,0)*0.475*44/12</f>
        <v>1.0998079089670216E-17</v>
      </c>
      <c r="DI151" s="24">
        <f t="shared" si="123"/>
        <v>1.5907155306826142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-1.7053025658242404E-13</v>
      </c>
      <c r="DP151" s="18">
        <f>DO151*VLOOKUP('Données projet'!$B$14,Paramètres!$A$1:$I$89,3,0)*VLOOKUP('Données projet'!$B$14,Paramètres!$A$1:$I$89,5,0)</f>
        <v>-1.3567387213697657E-13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312.53381881960331</v>
      </c>
      <c r="DU151" s="62">
        <f t="shared" si="152"/>
        <v>342.06887933351783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5.4978954722173515E-14</v>
      </c>
      <c r="EL151" s="14">
        <f t="shared" si="153"/>
        <v>8.8550225887742724E-13</v>
      </c>
      <c r="EM151" s="22">
        <f t="shared" si="127"/>
        <v>1.6380047803526383E-12</v>
      </c>
      <c r="EN151" s="62">
        <f t="shared" si="128"/>
        <v>293.33333333333496</v>
      </c>
      <c r="EO151" s="62">
        <f ca="1">AVERAGE(OFFSET($EN$3,0,0,'Données projet'!$E$15+1,1))-AVERAGE(OFFSET($H$3,0,0,'Données projet'!$E$15+1,1))</f>
        <v>255.59755832175625</v>
      </c>
      <c r="EP151" s="62">
        <f t="shared" si="154"/>
        <v>154.0840647586964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197.08445731383847</v>
      </c>
      <c r="FK151" s="62">
        <f t="shared" si="156"/>
        <v>157.12482557016511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861.60859430939354</v>
      </c>
      <c r="S152" s="62">
        <f ca="1">AVERAGE(OFFSET($R$3,0,0,'Données projet'!$E$9+1,1))-AVERAGE(OFFSET($H$3,0,0,'Données projet'!$E$9+1,1))</f>
        <v>428.8489304403459</v>
      </c>
      <c r="T152" s="62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2">
        <f t="shared" si="113"/>
        <v>928.56443524575025</v>
      </c>
      <c r="AN152" s="62">
        <f ca="1">AVERAGE(OFFSET($AM$3,0,0,'Données projet'!$E$10+1,1))-AVERAGE(OFFSET($H$3,0,0,'Données projet'!$E$10+1,1))</f>
        <v>475.47920969424894</v>
      </c>
      <c r="AO152" s="62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2.8421709430404007E-13</v>
      </c>
      <c r="BE152" s="14">
        <f>BD152*VLOOKUP('Données projet'!$B$11,Paramètres!$A$1:$I$89,3,0)*VLOOKUP('Données projet'!$B$11,Paramètres!$A$1:$I$89,5,0)</f>
        <v>1.3301360013429075E-13</v>
      </c>
      <c r="BF152" s="14">
        <f t="shared" si="145"/>
        <v>1.9329766731057041E-12</v>
      </c>
      <c r="BG152" s="22">
        <f t="shared" si="115"/>
        <v>3.5982663925596575E-12</v>
      </c>
      <c r="BH152" s="62">
        <f t="shared" si="116"/>
        <v>293.3333333333369</v>
      </c>
      <c r="BI152" s="62">
        <f ca="1">AVERAGE(OFFSET($BH$3,0,0,'Données projet'!$E$11+1,1))-AVERAGE(OFFSET($H$3,0,0,'Données projet'!$E$11+1,1))</f>
        <v>246.73711856758143</v>
      </c>
      <c r="BJ152" s="62">
        <f t="shared" si="146"/>
        <v>145.54897745089966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6.3550942286383367E-14</v>
      </c>
      <c r="CA152" s="14">
        <f t="shared" si="147"/>
        <v>1.0064464192543978E-12</v>
      </c>
      <c r="CB152" s="22">
        <f t="shared" si="118"/>
        <v>1.8635787380168604E-12</v>
      </c>
      <c r="CC152" s="62">
        <f t="shared" si="119"/>
        <v>293.33333333333519</v>
      </c>
      <c r="CD152" s="62">
        <f ca="1">AVERAGE(OFFSET($CC$3,0,0,'Données projet'!$E$12+1,1))-AVERAGE(OFFSET($H$3,0,0,'Données projet'!$E$12+1,1))</f>
        <v>321.13335003345236</v>
      </c>
      <c r="CE152" s="62">
        <f t="shared" si="148"/>
        <v>301.26825075712128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0.7609375275568705</v>
      </c>
      <c r="CM152" s="23">
        <f>EXP(-LN(2)/2)*CM151+(1-EXP(-LN(2)/2))/(LN(2)/2)*CG152*CJ152*VLOOKUP('Données projet'!$B$12,Paramètres!$A$1:$I$89,3,0)*0.475*44/12</f>
        <v>1.2096067946789793E-17</v>
      </c>
      <c r="CN152" s="24">
        <f t="shared" si="120"/>
        <v>0.7609375275568705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6.7984728957526396E-14</v>
      </c>
      <c r="CV152" s="14">
        <f t="shared" si="149"/>
        <v>1.0682447123141398E-12</v>
      </c>
      <c r="CW152" s="22">
        <f t="shared" si="121"/>
        <v>1.978932943548152E-12</v>
      </c>
      <c r="CX152" s="62">
        <f t="shared" si="122"/>
        <v>293.3333333333353</v>
      </c>
      <c r="CY152" s="62">
        <f ca="1">AVERAGE(OFFSET($CX$3,0,0,'Données projet'!$E$13+1,1))-AVERAGE(OFFSET($H$3,0,0,'Données projet'!$E$13+1,1))</f>
        <v>260.02504691866199</v>
      </c>
      <c r="CZ152" s="62">
        <f t="shared" si="150"/>
        <v>270.11268336406368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0.94810954559768168</v>
      </c>
      <c r="DG152" s="23">
        <f>EXP(-LN(2)/25)*DG151+(1-EXP(-LN(2)/25))/(LN(2)/25)*Calculateur!DB152*Calculateur!DD152*VLOOKUP('Données projet'!$B$13,Paramètres!$A$1:$I$89,3,0)*0.475*44/12</f>
        <v>0.60658873764373866</v>
      </c>
      <c r="DH152" s="23">
        <f>EXP(-LN(2)/2)*DH151+(1-EXP(-LN(2)/2))/(LN(2)/2)*DB152*DE152*VLOOKUP('Données projet'!$B$13,Paramètres!$A$1:$I$89,3,0)*0.475*44/12</f>
        <v>7.7768163043317813E-18</v>
      </c>
      <c r="DI152" s="24">
        <f t="shared" si="123"/>
        <v>1.5546982832414202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-1.7053025658242404E-13</v>
      </c>
      <c r="DP152" s="18">
        <f>DO152*VLOOKUP('Données projet'!$B$14,Paramètres!$A$1:$I$89,3,0)*VLOOKUP('Données projet'!$B$14,Paramètres!$A$1:$I$89,5,0)</f>
        <v>-1.3567387213697657E-13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312.53381881960331</v>
      </c>
      <c r="DU152" s="62">
        <f t="shared" si="152"/>
        <v>342.06887933351783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5.4978954722173515E-14</v>
      </c>
      <c r="EL152" s="14">
        <f t="shared" si="153"/>
        <v>8.8550225887742724E-13</v>
      </c>
      <c r="EM152" s="22">
        <f t="shared" si="127"/>
        <v>1.6380047803526383E-12</v>
      </c>
      <c r="EN152" s="62">
        <f t="shared" si="128"/>
        <v>293.33333333333496</v>
      </c>
      <c r="EO152" s="62">
        <f ca="1">AVERAGE(OFFSET($EN$3,0,0,'Données projet'!$E$15+1,1))-AVERAGE(OFFSET($H$3,0,0,'Données projet'!$E$15+1,1))</f>
        <v>255.59755832175625</v>
      </c>
      <c r="EP152" s="62">
        <f t="shared" si="154"/>
        <v>154.0840647586964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197.08445731383847</v>
      </c>
      <c r="FK152" s="62">
        <f t="shared" si="156"/>
        <v>157.12482557016511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866.19540306597469</v>
      </c>
      <c r="S153" s="62">
        <f ca="1">AVERAGE(OFFSET($R$3,0,0,'Données projet'!$E$9+1,1))-AVERAGE(OFFSET($H$3,0,0,'Données projet'!$E$9+1,1))</f>
        <v>428.8489304403459</v>
      </c>
      <c r="T153" s="62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2">
        <f t="shared" si="113"/>
        <v>933.69294175292316</v>
      </c>
      <c r="AN153" s="62">
        <f ca="1">AVERAGE(OFFSET($AM$3,0,0,'Données projet'!$E$10+1,1))-AVERAGE(OFFSET($H$3,0,0,'Données projet'!$E$10+1,1))</f>
        <v>475.47920969424894</v>
      </c>
      <c r="AO153" s="62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2.8421709430404007E-13</v>
      </c>
      <c r="BE153" s="14">
        <f>BD153*VLOOKUP('Données projet'!$B$11,Paramètres!$A$1:$I$89,3,0)*VLOOKUP('Données projet'!$B$11,Paramètres!$A$1:$I$89,5,0)</f>
        <v>1.3301360013429075E-13</v>
      </c>
      <c r="BF153" s="14">
        <f t="shared" si="145"/>
        <v>1.9329766731057041E-12</v>
      </c>
      <c r="BG153" s="22">
        <f t="shared" si="115"/>
        <v>3.5982663925596575E-12</v>
      </c>
      <c r="BH153" s="62">
        <f t="shared" si="116"/>
        <v>293.3333333333369</v>
      </c>
      <c r="BI153" s="62">
        <f ca="1">AVERAGE(OFFSET($BH$3,0,0,'Données projet'!$E$11+1,1))-AVERAGE(OFFSET($H$3,0,0,'Données projet'!$E$11+1,1))</f>
        <v>246.73711856758143</v>
      </c>
      <c r="BJ153" s="62">
        <f t="shared" si="146"/>
        <v>145.54897745089966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6.3550942286383367E-14</v>
      </c>
      <c r="CA153" s="14">
        <f t="shared" si="147"/>
        <v>1.0064464192543978E-12</v>
      </c>
      <c r="CB153" s="22">
        <f t="shared" si="118"/>
        <v>1.8635787380168604E-12</v>
      </c>
      <c r="CC153" s="62">
        <f t="shared" si="119"/>
        <v>293.33333333333519</v>
      </c>
      <c r="CD153" s="62">
        <f ca="1">AVERAGE(OFFSET($CC$3,0,0,'Données projet'!$E$12+1,1))-AVERAGE(OFFSET($H$3,0,0,'Données projet'!$E$12+1,1))</f>
        <v>321.13335003345236</v>
      </c>
      <c r="CE153" s="62">
        <f t="shared" si="148"/>
        <v>301.26825075712128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0.74012965084986249</v>
      </c>
      <c r="CM153" s="23">
        <f>EXP(-LN(2)/2)*CM152+(1-EXP(-LN(2)/2))/(LN(2)/2)*CG153*CJ153*VLOOKUP('Données projet'!$B$12,Paramètres!$A$1:$I$89,3,0)*0.475*44/12</f>
        <v>8.5532116708683011E-18</v>
      </c>
      <c r="CN153" s="24">
        <f t="shared" si="120"/>
        <v>0.74012965084986249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6.7984728957526396E-14</v>
      </c>
      <c r="CV153" s="14">
        <f t="shared" si="149"/>
        <v>1.0682447123141398E-12</v>
      </c>
      <c r="CW153" s="22">
        <f t="shared" si="121"/>
        <v>1.978932943548152E-12</v>
      </c>
      <c r="CX153" s="62">
        <f t="shared" si="122"/>
        <v>293.3333333333353</v>
      </c>
      <c r="CY153" s="62">
        <f ca="1">AVERAGE(OFFSET($CX$3,0,0,'Données projet'!$E$13+1,1))-AVERAGE(OFFSET($H$3,0,0,'Données projet'!$E$13+1,1))</f>
        <v>260.02504691866199</v>
      </c>
      <c r="CZ153" s="62">
        <f t="shared" si="150"/>
        <v>270.11268336406368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0.92951769569823262</v>
      </c>
      <c r="DG153" s="23">
        <f>EXP(-LN(2)/25)*DG152+(1-EXP(-LN(2)/25))/(LN(2)/25)*Calculateur!DB153*Calculateur!DD153*VLOOKUP('Données projet'!$B$13,Paramètres!$A$1:$I$89,3,0)*0.475*44/12</f>
        <v>0.59000153671375533</v>
      </c>
      <c r="DH153" s="23">
        <f>EXP(-LN(2)/2)*DH152+(1-EXP(-LN(2)/2))/(LN(2)/2)*DB153*DE153*VLOOKUP('Données projet'!$B$13,Paramètres!$A$1:$I$89,3,0)*0.475*44/12</f>
        <v>5.4990395448351081E-18</v>
      </c>
      <c r="DI153" s="24">
        <f t="shared" si="123"/>
        <v>1.5195192324119879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-1.7053025658242404E-13</v>
      </c>
      <c r="DP153" s="18">
        <f>DO153*VLOOKUP('Données projet'!$B$14,Paramètres!$A$1:$I$89,3,0)*VLOOKUP('Données projet'!$B$14,Paramètres!$A$1:$I$89,5,0)</f>
        <v>-1.3567387213697657E-13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312.53381881960331</v>
      </c>
      <c r="DU153" s="62">
        <f t="shared" si="152"/>
        <v>342.06887933351783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5.4978954722173515E-14</v>
      </c>
      <c r="EL153" s="14">
        <f t="shared" si="153"/>
        <v>8.8550225887742724E-13</v>
      </c>
      <c r="EM153" s="22">
        <f t="shared" si="127"/>
        <v>1.6380047803526383E-12</v>
      </c>
      <c r="EN153" s="62">
        <f t="shared" si="128"/>
        <v>293.33333333333496</v>
      </c>
      <c r="EO153" s="62">
        <f ca="1">AVERAGE(OFFSET($EN$3,0,0,'Données projet'!$E$15+1,1))-AVERAGE(OFFSET($H$3,0,0,'Données projet'!$E$15+1,1))</f>
        <v>255.59755832175625</v>
      </c>
      <c r="EP153" s="62">
        <f t="shared" si="154"/>
        <v>154.0840647586964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197.08445731383847</v>
      </c>
      <c r="FK153" s="62">
        <f t="shared" si="156"/>
        <v>157.12482557016511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428.8489304403459</v>
      </c>
      <c r="T154" s="62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475.47920969424894</v>
      </c>
      <c r="AO154" s="62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2.8421709430404007E-13</v>
      </c>
      <c r="BE154" s="14">
        <f>BD154*VLOOKUP('Données projet'!$B$11,Paramètres!$A$1:$I$89,3,0)*VLOOKUP('Données projet'!$B$11,Paramètres!$A$1:$I$89,5,0)</f>
        <v>1.3301360013429075E-13</v>
      </c>
      <c r="BF154" s="14">
        <f t="shared" ref="BF154:BF203" si="167">EXP(-1.0587+0.8836*LN(BE154)+0.284)</f>
        <v>1.9329766731057041E-12</v>
      </c>
      <c r="BG154" s="22">
        <f t="shared" ref="BG154:BG203" si="168">(BE154+BF154)*0.475*44/12</f>
        <v>3.5982663925596575E-12</v>
      </c>
      <c r="BH154" s="62">
        <f t="shared" si="116"/>
        <v>293.3333333333369</v>
      </c>
      <c r="BI154" s="62">
        <f ca="1">AVERAGE(OFFSET($BH$3,0,0,'Données projet'!$E$11+1,1))-AVERAGE(OFFSET($H$3,0,0,'Données projet'!$E$11+1,1))</f>
        <v>246.73711856758143</v>
      </c>
      <c r="BJ154" s="62">
        <f t="shared" si="146"/>
        <v>145.54897745089966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6.3550942286383367E-14</v>
      </c>
      <c r="CA154" s="14">
        <f t="shared" ref="CA154:CA203" si="170">EXP(-1.0587+0.8836*LN(BZ154)+0.284)</f>
        <v>1.0064464192543978E-12</v>
      </c>
      <c r="CB154" s="22">
        <f t="shared" ref="CB154:CB203" si="171">(BZ154+CA154)*0.475*44/12</f>
        <v>1.8635787380168604E-12</v>
      </c>
      <c r="CC154" s="62">
        <f t="shared" si="119"/>
        <v>293.33333333333519</v>
      </c>
      <c r="CD154" s="62">
        <f ca="1">AVERAGE(OFFSET($CC$3,0,0,'Données projet'!$E$12+1,1))-AVERAGE(OFFSET($H$3,0,0,'Données projet'!$E$12+1,1))</f>
        <v>321.13335003345236</v>
      </c>
      <c r="CE154" s="62">
        <f t="shared" si="148"/>
        <v>301.26825075712128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0.71989076662564622</v>
      </c>
      <c r="CM154" s="23">
        <f>EXP(-LN(2)/2)*CM153+(1-EXP(-LN(2)/2))/(LN(2)/2)*CG154*CJ154*VLOOKUP('Données projet'!$B$12,Paramètres!$A$1:$I$89,3,0)*0.475*44/12</f>
        <v>6.0480339733948964E-18</v>
      </c>
      <c r="CN154" s="24">
        <f t="shared" ref="CN154:CN203" si="172">SUM(CK154:CM154)</f>
        <v>0.71989076662564622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6.7984728957526396E-14</v>
      </c>
      <c r="CV154" s="14">
        <f t="shared" ref="CV154:CV203" si="173">EXP(-1.0587+0.8836*LN(CU154)+0.284)</f>
        <v>1.0682447123141398E-12</v>
      </c>
      <c r="CW154" s="22">
        <f t="shared" ref="CW154:CW203" si="174">(CU154+CV154)*0.475*44/12</f>
        <v>1.978932943548152E-12</v>
      </c>
      <c r="CX154" s="62">
        <f t="shared" si="122"/>
        <v>293.3333333333353</v>
      </c>
      <c r="CY154" s="62">
        <f ca="1">AVERAGE(OFFSET($CX$3,0,0,'Données projet'!$E$13+1,1))-AVERAGE(OFFSET($H$3,0,0,'Données projet'!$E$13+1,1))</f>
        <v>260.02504691866199</v>
      </c>
      <c r="CZ154" s="62">
        <f t="shared" si="150"/>
        <v>270.11268336406368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0.911290420635403</v>
      </c>
      <c r="DG154" s="23">
        <f>EXP(-LN(2)/25)*DG153+(1-EXP(-LN(2)/25))/(LN(2)/25)*Calculateur!DB154*Calculateur!DD154*VLOOKUP('Données projet'!$B$13,Paramètres!$A$1:$I$89,3,0)*0.475*44/12</f>
        <v>0.57386791366548529</v>
      </c>
      <c r="DH154" s="23">
        <f>EXP(-LN(2)/2)*DH153+(1-EXP(-LN(2)/2))/(LN(2)/2)*DB154*DE154*VLOOKUP('Données projet'!$B$13,Paramètres!$A$1:$I$89,3,0)*0.475*44/12</f>
        <v>3.8884081521658906E-18</v>
      </c>
      <c r="DI154" s="24">
        <f t="shared" ref="DI154:DI203" si="175">SUM(DF154:DH154)</f>
        <v>1.4851583343008883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-1.7053025658242404E-13</v>
      </c>
      <c r="DP154" s="18">
        <f>DO154*VLOOKUP('Données projet'!$B$14,Paramètres!$A$1:$I$89,3,0)*VLOOKUP('Données projet'!$B$14,Paramètres!$A$1:$I$89,5,0)</f>
        <v>-1.3567387213697657E-13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312.53381881960331</v>
      </c>
      <c r="DU154" s="62">
        <f t="shared" si="152"/>
        <v>342.06887933351783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5.4978954722173515E-14</v>
      </c>
      <c r="EL154" s="14">
        <f t="shared" ref="EL154:EL203" si="179">EXP(-1.0587+0.8836*LN(EK154)+0.284)</f>
        <v>8.8550225887742724E-13</v>
      </c>
      <c r="EM154" s="22">
        <f t="shared" ref="EM154:EM203" si="180">(EK154+EL154)*0.475*44/12</f>
        <v>1.6380047803526383E-12</v>
      </c>
      <c r="EN154" s="62">
        <f t="shared" si="128"/>
        <v>293.33333333333496</v>
      </c>
      <c r="EO154" s="62">
        <f ca="1">AVERAGE(OFFSET($EN$3,0,0,'Données projet'!$E$15+1,1))-AVERAGE(OFFSET($H$3,0,0,'Données projet'!$E$15+1,1))</f>
        <v>255.59755832175625</v>
      </c>
      <c r="EP154" s="62">
        <f t="shared" si="154"/>
        <v>154.0840647586964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197.08445731383847</v>
      </c>
      <c r="FK154" s="62">
        <f t="shared" si="156"/>
        <v>157.12482557016511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428.8489304403459</v>
      </c>
      <c r="T155" s="62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475.47920969424894</v>
      </c>
      <c r="AO155" s="62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2.8421709430404007E-13</v>
      </c>
      <c r="BE155" s="14">
        <f>BD155*VLOOKUP('Données projet'!$B$11,Paramètres!$A$1:$I$89,3,0)*VLOOKUP('Données projet'!$B$11,Paramètres!$A$1:$I$89,5,0)</f>
        <v>1.3301360013429075E-13</v>
      </c>
      <c r="BF155" s="14">
        <f t="shared" si="167"/>
        <v>1.9329766731057041E-12</v>
      </c>
      <c r="BG155" s="22">
        <f t="shared" si="168"/>
        <v>3.5982663925596575E-12</v>
      </c>
      <c r="BH155" s="62">
        <f t="shared" si="116"/>
        <v>293.3333333333369</v>
      </c>
      <c r="BI155" s="62">
        <f ca="1">AVERAGE(OFFSET($BH$3,0,0,'Données projet'!$E$11+1,1))-AVERAGE(OFFSET($H$3,0,0,'Données projet'!$E$11+1,1))</f>
        <v>246.73711856758143</v>
      </c>
      <c r="BJ155" s="62">
        <f t="shared" si="146"/>
        <v>145.54897745089966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6.3550942286383367E-14</v>
      </c>
      <c r="CA155" s="14">
        <f t="shared" si="170"/>
        <v>1.0064464192543978E-12</v>
      </c>
      <c r="CB155" s="22">
        <f t="shared" si="171"/>
        <v>1.8635787380168604E-12</v>
      </c>
      <c r="CC155" s="62">
        <f t="shared" si="119"/>
        <v>293.33333333333519</v>
      </c>
      <c r="CD155" s="62">
        <f ca="1">AVERAGE(OFFSET($CC$3,0,0,'Données projet'!$E$12+1,1))-AVERAGE(OFFSET($H$3,0,0,'Données projet'!$E$12+1,1))</f>
        <v>321.13335003345236</v>
      </c>
      <c r="CE155" s="62">
        <f t="shared" si="148"/>
        <v>301.26825075712128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0.70020531575485778</v>
      </c>
      <c r="CM155" s="23">
        <f>EXP(-LN(2)/2)*CM154+(1-EXP(-LN(2)/2))/(LN(2)/2)*CG155*CJ155*VLOOKUP('Données projet'!$B$12,Paramètres!$A$1:$I$89,3,0)*0.475*44/12</f>
        <v>4.2766058354341506E-18</v>
      </c>
      <c r="CN155" s="24">
        <f t="shared" si="172"/>
        <v>0.70020531575485778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6.7984728957526396E-14</v>
      </c>
      <c r="CV155" s="14">
        <f t="shared" si="173"/>
        <v>1.0682447123141398E-12</v>
      </c>
      <c r="CW155" s="22">
        <f t="shared" si="174"/>
        <v>1.978932943548152E-12</v>
      </c>
      <c r="CX155" s="62">
        <f t="shared" si="122"/>
        <v>293.3333333333353</v>
      </c>
      <c r="CY155" s="62">
        <f ca="1">AVERAGE(OFFSET($CX$3,0,0,'Données projet'!$E$13+1,1))-AVERAGE(OFFSET($H$3,0,0,'Données projet'!$E$13+1,1))</f>
        <v>260.02504691866199</v>
      </c>
      <c r="CZ155" s="62">
        <f t="shared" si="150"/>
        <v>270.11268336406368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0.89342057131901542</v>
      </c>
      <c r="DG155" s="23">
        <f>EXP(-LN(2)/25)*DG154+(1-EXP(-LN(2)/25))/(LN(2)/25)*Calculateur!DB155*Calculateur!DD155*VLOOKUP('Données projet'!$B$13,Paramètres!$A$1:$I$89,3,0)*0.475*44/12</f>
        <v>0.55817546538790064</v>
      </c>
      <c r="DH155" s="23">
        <f>EXP(-LN(2)/2)*DH154+(1-EXP(-LN(2)/2))/(LN(2)/2)*DB155*DE155*VLOOKUP('Données projet'!$B$13,Paramètres!$A$1:$I$89,3,0)*0.475*44/12</f>
        <v>2.749519772417554E-18</v>
      </c>
      <c r="DI155" s="24">
        <f t="shared" si="175"/>
        <v>1.4515960367069161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-1.7053025658242404E-13</v>
      </c>
      <c r="DP155" s="18">
        <f>DO155*VLOOKUP('Données projet'!$B$14,Paramètres!$A$1:$I$89,3,0)*VLOOKUP('Données projet'!$B$14,Paramètres!$A$1:$I$89,5,0)</f>
        <v>-1.3567387213697657E-13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312.53381881960331</v>
      </c>
      <c r="DU155" s="62">
        <f t="shared" si="152"/>
        <v>342.06887933351783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5.4978954722173515E-14</v>
      </c>
      <c r="EL155" s="14">
        <f t="shared" si="179"/>
        <v>8.8550225887742724E-13</v>
      </c>
      <c r="EM155" s="22">
        <f t="shared" si="180"/>
        <v>1.6380047803526383E-12</v>
      </c>
      <c r="EN155" s="62">
        <f t="shared" si="128"/>
        <v>293.33333333333496</v>
      </c>
      <c r="EO155" s="62">
        <f ca="1">AVERAGE(OFFSET($EN$3,0,0,'Données projet'!$E$15+1,1))-AVERAGE(OFFSET($H$3,0,0,'Données projet'!$E$15+1,1))</f>
        <v>255.59755832175625</v>
      </c>
      <c r="EP155" s="62">
        <f t="shared" si="154"/>
        <v>154.0840647586964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197.08445731383847</v>
      </c>
      <c r="FK155" s="62">
        <f t="shared" si="156"/>
        <v>157.12482557016511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428.8489304403459</v>
      </c>
      <c r="T156" s="62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475.47920969424894</v>
      </c>
      <c r="AO156" s="62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2.8421709430404007E-13</v>
      </c>
      <c r="BE156" s="14">
        <f>BD156*VLOOKUP('Données projet'!$B$11,Paramètres!$A$1:$I$89,3,0)*VLOOKUP('Données projet'!$B$11,Paramètres!$A$1:$I$89,5,0)</f>
        <v>1.3301360013429075E-13</v>
      </c>
      <c r="BF156" s="14">
        <f t="shared" si="167"/>
        <v>1.9329766731057041E-12</v>
      </c>
      <c r="BG156" s="22">
        <f t="shared" si="168"/>
        <v>3.5982663925596575E-12</v>
      </c>
      <c r="BH156" s="62">
        <f t="shared" si="116"/>
        <v>293.3333333333369</v>
      </c>
      <c r="BI156" s="62">
        <f ca="1">AVERAGE(OFFSET($BH$3,0,0,'Données projet'!$E$11+1,1))-AVERAGE(OFFSET($H$3,0,0,'Données projet'!$E$11+1,1))</f>
        <v>246.73711856758143</v>
      </c>
      <c r="BJ156" s="62">
        <f t="shared" si="146"/>
        <v>145.54897745089966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6.3550942286383367E-14</v>
      </c>
      <c r="CA156" s="14">
        <f t="shared" si="170"/>
        <v>1.0064464192543978E-12</v>
      </c>
      <c r="CB156" s="22">
        <f t="shared" si="171"/>
        <v>1.8635787380168604E-12</v>
      </c>
      <c r="CC156" s="62">
        <f t="shared" si="119"/>
        <v>293.33333333333519</v>
      </c>
      <c r="CD156" s="62">
        <f ca="1">AVERAGE(OFFSET($CC$3,0,0,'Données projet'!$E$12+1,1))-AVERAGE(OFFSET($H$3,0,0,'Données projet'!$E$12+1,1))</f>
        <v>321.13335003345236</v>
      </c>
      <c r="CE156" s="62">
        <f t="shared" si="148"/>
        <v>301.26825075712128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0.681058164573344</v>
      </c>
      <c r="CM156" s="23">
        <f>EXP(-LN(2)/2)*CM155+(1-EXP(-LN(2)/2))/(LN(2)/2)*CG156*CJ156*VLOOKUP('Données projet'!$B$12,Paramètres!$A$1:$I$89,3,0)*0.475*44/12</f>
        <v>3.0240169866974482E-18</v>
      </c>
      <c r="CN156" s="24">
        <f t="shared" si="172"/>
        <v>0.681058164573344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6.7984728957526396E-14</v>
      </c>
      <c r="CV156" s="14">
        <f t="shared" si="173"/>
        <v>1.0682447123141398E-12</v>
      </c>
      <c r="CW156" s="22">
        <f t="shared" si="174"/>
        <v>1.978932943548152E-12</v>
      </c>
      <c r="CX156" s="62">
        <f t="shared" si="122"/>
        <v>293.3333333333353</v>
      </c>
      <c r="CY156" s="62">
        <f ca="1">AVERAGE(OFFSET($CX$3,0,0,'Données projet'!$E$13+1,1))-AVERAGE(OFFSET($H$3,0,0,'Données projet'!$E$13+1,1))</f>
        <v>260.02504691866199</v>
      </c>
      <c r="CZ156" s="62">
        <f t="shared" si="150"/>
        <v>270.11268336406368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0.87590113884819043</v>
      </c>
      <c r="DG156" s="23">
        <f>EXP(-LN(2)/25)*DG155+(1-EXP(-LN(2)/25))/(LN(2)/25)*Calculateur!DB156*Calculateur!DD156*VLOOKUP('Données projet'!$B$13,Paramètres!$A$1:$I$89,3,0)*0.475*44/12</f>
        <v>0.54291212793369648</v>
      </c>
      <c r="DH156" s="23">
        <f>EXP(-LN(2)/2)*DH155+(1-EXP(-LN(2)/2))/(LN(2)/2)*DB156*DE156*VLOOKUP('Données projet'!$B$13,Paramètres!$A$1:$I$89,3,0)*0.475*44/12</f>
        <v>1.9442040760829453E-18</v>
      </c>
      <c r="DI156" s="24">
        <f t="shared" si="175"/>
        <v>1.4188132667818869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-1.7053025658242404E-13</v>
      </c>
      <c r="DP156" s="18">
        <f>DO156*VLOOKUP('Données projet'!$B$14,Paramètres!$A$1:$I$89,3,0)*VLOOKUP('Données projet'!$B$14,Paramètres!$A$1:$I$89,5,0)</f>
        <v>-1.3567387213697657E-13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312.53381881960331</v>
      </c>
      <c r="DU156" s="62">
        <f t="shared" si="152"/>
        <v>342.06887933351783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5.4978954722173515E-14</v>
      </c>
      <c r="EL156" s="14">
        <f t="shared" si="179"/>
        <v>8.8550225887742724E-13</v>
      </c>
      <c r="EM156" s="22">
        <f t="shared" si="180"/>
        <v>1.6380047803526383E-12</v>
      </c>
      <c r="EN156" s="62">
        <f t="shared" si="128"/>
        <v>293.33333333333496</v>
      </c>
      <c r="EO156" s="62">
        <f ca="1">AVERAGE(OFFSET($EN$3,0,0,'Données projet'!$E$15+1,1))-AVERAGE(OFFSET($H$3,0,0,'Données projet'!$E$15+1,1))</f>
        <v>255.59755832175625</v>
      </c>
      <c r="EP156" s="62">
        <f t="shared" si="154"/>
        <v>154.0840647586964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197.08445731383847</v>
      </c>
      <c r="FK156" s="62">
        <f t="shared" si="156"/>
        <v>157.12482557016511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428.8489304403459</v>
      </c>
      <c r="T157" s="62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475.47920969424894</v>
      </c>
      <c r="AO157" s="62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2.8421709430404007E-13</v>
      </c>
      <c r="BE157" s="14">
        <f>BD157*VLOOKUP('Données projet'!$B$11,Paramètres!$A$1:$I$89,3,0)*VLOOKUP('Données projet'!$B$11,Paramètres!$A$1:$I$89,5,0)</f>
        <v>1.3301360013429075E-13</v>
      </c>
      <c r="BF157" s="14">
        <f t="shared" si="167"/>
        <v>1.9329766731057041E-12</v>
      </c>
      <c r="BG157" s="22">
        <f t="shared" si="168"/>
        <v>3.5982663925596575E-12</v>
      </c>
      <c r="BH157" s="62">
        <f t="shared" si="116"/>
        <v>293.3333333333369</v>
      </c>
      <c r="BI157" s="62">
        <f ca="1">AVERAGE(OFFSET($BH$3,0,0,'Données projet'!$E$11+1,1))-AVERAGE(OFFSET($H$3,0,0,'Données projet'!$E$11+1,1))</f>
        <v>246.73711856758143</v>
      </c>
      <c r="BJ157" s="62">
        <f t="shared" si="146"/>
        <v>145.54897745089966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6.3550942286383367E-14</v>
      </c>
      <c r="CA157" s="14">
        <f t="shared" si="170"/>
        <v>1.0064464192543978E-12</v>
      </c>
      <c r="CB157" s="22">
        <f t="shared" si="171"/>
        <v>1.8635787380168604E-12</v>
      </c>
      <c r="CC157" s="62">
        <f t="shared" si="119"/>
        <v>293.33333333333519</v>
      </c>
      <c r="CD157" s="62">
        <f ca="1">AVERAGE(OFFSET($CC$3,0,0,'Données projet'!$E$12+1,1))-AVERAGE(OFFSET($H$3,0,0,'Données projet'!$E$12+1,1))</f>
        <v>321.13335003345236</v>
      </c>
      <c r="CE157" s="62">
        <f t="shared" si="148"/>
        <v>301.26825075712128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0.66243459324779363</v>
      </c>
      <c r="CM157" s="23">
        <f>EXP(-LN(2)/2)*CM156+(1-EXP(-LN(2)/2))/(LN(2)/2)*CG157*CJ157*VLOOKUP('Données projet'!$B$12,Paramètres!$A$1:$I$89,3,0)*0.475*44/12</f>
        <v>2.1383029177170753E-18</v>
      </c>
      <c r="CN157" s="24">
        <f t="shared" si="172"/>
        <v>0.66243459324779363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6.7984728957526396E-14</v>
      </c>
      <c r="CV157" s="14">
        <f t="shared" si="173"/>
        <v>1.0682447123141398E-12</v>
      </c>
      <c r="CW157" s="22">
        <f t="shared" si="174"/>
        <v>1.978932943548152E-12</v>
      </c>
      <c r="CX157" s="62">
        <f t="shared" si="122"/>
        <v>293.3333333333353</v>
      </c>
      <c r="CY157" s="62">
        <f ca="1">AVERAGE(OFFSET($CX$3,0,0,'Données projet'!$E$13+1,1))-AVERAGE(OFFSET($H$3,0,0,'Données projet'!$E$13+1,1))</f>
        <v>260.02504691866199</v>
      </c>
      <c r="CZ157" s="62">
        <f t="shared" si="150"/>
        <v>270.11268336406368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0.85872525176231962</v>
      </c>
      <c r="DG157" s="23">
        <f>EXP(-LN(2)/25)*DG156+(1-EXP(-LN(2)/25))/(LN(2)/25)*Calculateur!DB157*Calculateur!DD157*VLOOKUP('Données projet'!$B$13,Paramètres!$A$1:$I$89,3,0)*0.475*44/12</f>
        <v>0.52806616724484157</v>
      </c>
      <c r="DH157" s="23">
        <f>EXP(-LN(2)/2)*DH156+(1-EXP(-LN(2)/2))/(LN(2)/2)*DB157*DE157*VLOOKUP('Données projet'!$B$13,Paramètres!$A$1:$I$89,3,0)*0.475*44/12</f>
        <v>1.374759886208777E-18</v>
      </c>
      <c r="DI157" s="24">
        <f t="shared" si="175"/>
        <v>1.3867914190071611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-1.7053025658242404E-13</v>
      </c>
      <c r="DP157" s="18">
        <f>DO157*VLOOKUP('Données projet'!$B$14,Paramètres!$A$1:$I$89,3,0)*VLOOKUP('Données projet'!$B$14,Paramètres!$A$1:$I$89,5,0)</f>
        <v>-1.3567387213697657E-13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312.53381881960331</v>
      </c>
      <c r="DU157" s="62">
        <f t="shared" si="152"/>
        <v>342.06887933351783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5.4978954722173515E-14</v>
      </c>
      <c r="EL157" s="14">
        <f t="shared" si="179"/>
        <v>8.8550225887742724E-13</v>
      </c>
      <c r="EM157" s="22">
        <f t="shared" si="180"/>
        <v>1.6380047803526383E-12</v>
      </c>
      <c r="EN157" s="62">
        <f t="shared" si="128"/>
        <v>293.33333333333496</v>
      </c>
      <c r="EO157" s="62">
        <f ca="1">AVERAGE(OFFSET($EN$3,0,0,'Données projet'!$E$15+1,1))-AVERAGE(OFFSET($H$3,0,0,'Données projet'!$E$15+1,1))</f>
        <v>255.59755832175625</v>
      </c>
      <c r="EP157" s="62">
        <f t="shared" si="154"/>
        <v>154.0840647586964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197.08445731383847</v>
      </c>
      <c r="FK157" s="62">
        <f t="shared" si="156"/>
        <v>157.12482557016511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428.8489304403459</v>
      </c>
      <c r="T158" s="62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475.47920969424894</v>
      </c>
      <c r="AO158" s="62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2.8421709430404007E-13</v>
      </c>
      <c r="BE158" s="14">
        <f>BD158*VLOOKUP('Données projet'!$B$11,Paramètres!$A$1:$I$89,3,0)*VLOOKUP('Données projet'!$B$11,Paramètres!$A$1:$I$89,5,0)</f>
        <v>1.3301360013429075E-13</v>
      </c>
      <c r="BF158" s="14">
        <f t="shared" si="167"/>
        <v>1.9329766731057041E-12</v>
      </c>
      <c r="BG158" s="22">
        <f t="shared" si="168"/>
        <v>3.5982663925596575E-12</v>
      </c>
      <c r="BH158" s="62">
        <f t="shared" si="116"/>
        <v>293.3333333333369</v>
      </c>
      <c r="BI158" s="62">
        <f ca="1">AVERAGE(OFFSET($BH$3,0,0,'Données projet'!$E$11+1,1))-AVERAGE(OFFSET($H$3,0,0,'Données projet'!$E$11+1,1))</f>
        <v>246.73711856758143</v>
      </c>
      <c r="BJ158" s="62">
        <f t="shared" si="146"/>
        <v>145.54897745089966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6.3550942286383367E-14</v>
      </c>
      <c r="CA158" s="14">
        <f t="shared" si="170"/>
        <v>1.0064464192543978E-12</v>
      </c>
      <c r="CB158" s="22">
        <f t="shared" si="171"/>
        <v>1.8635787380168604E-12</v>
      </c>
      <c r="CC158" s="62">
        <f t="shared" si="119"/>
        <v>293.33333333333519</v>
      </c>
      <c r="CD158" s="62">
        <f ca="1">AVERAGE(OFFSET($CC$3,0,0,'Données projet'!$E$12+1,1))-AVERAGE(OFFSET($H$3,0,0,'Données projet'!$E$12+1,1))</f>
        <v>321.13335003345236</v>
      </c>
      <c r="CE158" s="62">
        <f t="shared" si="148"/>
        <v>301.26825075712128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0.64432028445951151</v>
      </c>
      <c r="CM158" s="23">
        <f>EXP(-LN(2)/2)*CM157+(1-EXP(-LN(2)/2))/(LN(2)/2)*CG158*CJ158*VLOOKUP('Données projet'!$B$12,Paramètres!$A$1:$I$89,3,0)*0.475*44/12</f>
        <v>1.5120084933487241E-18</v>
      </c>
      <c r="CN158" s="24">
        <f t="shared" si="172"/>
        <v>0.64432028445951151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6.7984728957526396E-14</v>
      </c>
      <c r="CV158" s="14">
        <f t="shared" si="173"/>
        <v>1.0682447123141398E-12</v>
      </c>
      <c r="CW158" s="22">
        <f t="shared" si="174"/>
        <v>1.978932943548152E-12</v>
      </c>
      <c r="CX158" s="62">
        <f t="shared" si="122"/>
        <v>293.3333333333353</v>
      </c>
      <c r="CY158" s="62">
        <f ca="1">AVERAGE(OFFSET($CX$3,0,0,'Données projet'!$E$13+1,1))-AVERAGE(OFFSET($H$3,0,0,'Données projet'!$E$13+1,1))</f>
        <v>260.02504691866199</v>
      </c>
      <c r="CZ158" s="62">
        <f t="shared" si="150"/>
        <v>270.11268336406368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0.84188617334594607</v>
      </c>
      <c r="DG158" s="23">
        <f>EXP(-LN(2)/25)*DG157+(1-EXP(-LN(2)/25))/(LN(2)/25)*Calculateur!DB158*Calculateur!DD158*VLOOKUP('Données projet'!$B$13,Paramètres!$A$1:$I$89,3,0)*0.475*44/12</f>
        <v>0.5136261701317385</v>
      </c>
      <c r="DH158" s="23">
        <f>EXP(-LN(2)/2)*DH157+(1-EXP(-LN(2)/2))/(LN(2)/2)*DB158*DE158*VLOOKUP('Données projet'!$B$13,Paramètres!$A$1:$I$89,3,0)*0.475*44/12</f>
        <v>9.7210203804147266E-19</v>
      </c>
      <c r="DI158" s="24">
        <f t="shared" si="175"/>
        <v>1.3555123434776846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-1.7053025658242404E-13</v>
      </c>
      <c r="DP158" s="18">
        <f>DO158*VLOOKUP('Données projet'!$B$14,Paramètres!$A$1:$I$89,3,0)*VLOOKUP('Données projet'!$B$14,Paramètres!$A$1:$I$89,5,0)</f>
        <v>-1.3567387213697657E-13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312.53381881960331</v>
      </c>
      <c r="DU158" s="62">
        <f t="shared" si="152"/>
        <v>342.06887933351783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5.4978954722173515E-14</v>
      </c>
      <c r="EL158" s="14">
        <f t="shared" si="179"/>
        <v>8.8550225887742724E-13</v>
      </c>
      <c r="EM158" s="22">
        <f t="shared" si="180"/>
        <v>1.6380047803526383E-12</v>
      </c>
      <c r="EN158" s="62">
        <f t="shared" si="128"/>
        <v>293.33333333333496</v>
      </c>
      <c r="EO158" s="62">
        <f ca="1">AVERAGE(OFFSET($EN$3,0,0,'Données projet'!$E$15+1,1))-AVERAGE(OFFSET($H$3,0,0,'Données projet'!$E$15+1,1))</f>
        <v>255.59755832175625</v>
      </c>
      <c r="EP158" s="62">
        <f t="shared" si="154"/>
        <v>154.0840647586964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197.08445731383847</v>
      </c>
      <c r="FK158" s="62">
        <f t="shared" si="156"/>
        <v>157.12482557016511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428.8489304403459</v>
      </c>
      <c r="T159" s="62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475.47920969424894</v>
      </c>
      <c r="AO159" s="62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2.8421709430404007E-13</v>
      </c>
      <c r="BE159" s="14">
        <f>BD159*VLOOKUP('Données projet'!$B$11,Paramètres!$A$1:$I$89,3,0)*VLOOKUP('Données projet'!$B$11,Paramètres!$A$1:$I$89,5,0)</f>
        <v>1.3301360013429075E-13</v>
      </c>
      <c r="BF159" s="14">
        <f t="shared" si="167"/>
        <v>1.9329766731057041E-12</v>
      </c>
      <c r="BG159" s="22">
        <f t="shared" si="168"/>
        <v>3.5982663925596575E-12</v>
      </c>
      <c r="BH159" s="62">
        <f t="shared" si="116"/>
        <v>293.3333333333369</v>
      </c>
      <c r="BI159" s="62">
        <f ca="1">AVERAGE(OFFSET($BH$3,0,0,'Données projet'!$E$11+1,1))-AVERAGE(OFFSET($H$3,0,0,'Données projet'!$E$11+1,1))</f>
        <v>246.73711856758143</v>
      </c>
      <c r="BJ159" s="62">
        <f t="shared" si="146"/>
        <v>145.54897745089966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6.3550942286383367E-14</v>
      </c>
      <c r="CA159" s="14">
        <f t="shared" si="170"/>
        <v>1.0064464192543978E-12</v>
      </c>
      <c r="CB159" s="22">
        <f t="shared" si="171"/>
        <v>1.8635787380168604E-12</v>
      </c>
      <c r="CC159" s="62">
        <f t="shared" si="119"/>
        <v>293.33333333333519</v>
      </c>
      <c r="CD159" s="62">
        <f ca="1">AVERAGE(OFFSET($CC$3,0,0,'Données projet'!$E$12+1,1))-AVERAGE(OFFSET($H$3,0,0,'Données projet'!$E$12+1,1))</f>
        <v>321.13335003345236</v>
      </c>
      <c r="CE159" s="62">
        <f t="shared" si="148"/>
        <v>301.26825075712128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0.62670131239763505</v>
      </c>
      <c r="CM159" s="23">
        <f>EXP(-LN(2)/2)*CM158+(1-EXP(-LN(2)/2))/(LN(2)/2)*CG159*CJ159*VLOOKUP('Données projet'!$B$12,Paramètres!$A$1:$I$89,3,0)*0.475*44/12</f>
        <v>1.0691514588585376E-18</v>
      </c>
      <c r="CN159" s="24">
        <f t="shared" si="172"/>
        <v>0.62670131239763505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6.7984728957526396E-14</v>
      </c>
      <c r="CV159" s="14">
        <f t="shared" si="173"/>
        <v>1.0682447123141398E-12</v>
      </c>
      <c r="CW159" s="22">
        <f t="shared" si="174"/>
        <v>1.978932943548152E-12</v>
      </c>
      <c r="CX159" s="62">
        <f t="shared" si="122"/>
        <v>293.3333333333353</v>
      </c>
      <c r="CY159" s="62">
        <f ca="1">AVERAGE(OFFSET($CX$3,0,0,'Données projet'!$E$13+1,1))-AVERAGE(OFFSET($H$3,0,0,'Données projet'!$E$13+1,1))</f>
        <v>260.02504691866199</v>
      </c>
      <c r="CZ159" s="62">
        <f t="shared" si="150"/>
        <v>270.11268336406368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0.82537729898649392</v>
      </c>
      <c r="DG159" s="23">
        <f>EXP(-LN(2)/25)*DG158+(1-EXP(-LN(2)/25))/(LN(2)/25)*Calculateur!DB159*Calculateur!DD159*VLOOKUP('Données projet'!$B$13,Paramètres!$A$1:$I$89,3,0)*0.475*44/12</f>
        <v>0.49958103549905974</v>
      </c>
      <c r="DH159" s="23">
        <f>EXP(-LN(2)/2)*DH158+(1-EXP(-LN(2)/2))/(LN(2)/2)*DB159*DE159*VLOOKUP('Données projet'!$B$13,Paramètres!$A$1:$I$89,3,0)*0.475*44/12</f>
        <v>6.8737994310438851E-19</v>
      </c>
      <c r="DI159" s="24">
        <f t="shared" si="175"/>
        <v>1.3249583344855536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-1.7053025658242404E-13</v>
      </c>
      <c r="DP159" s="18">
        <f>DO159*VLOOKUP('Données projet'!$B$14,Paramètres!$A$1:$I$89,3,0)*VLOOKUP('Données projet'!$B$14,Paramètres!$A$1:$I$89,5,0)</f>
        <v>-1.3567387213697657E-13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312.53381881960331</v>
      </c>
      <c r="DU159" s="62">
        <f t="shared" si="152"/>
        <v>342.06887933351783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5.4978954722173515E-14</v>
      </c>
      <c r="EL159" s="14">
        <f t="shared" si="179"/>
        <v>8.8550225887742724E-13</v>
      </c>
      <c r="EM159" s="22">
        <f t="shared" si="180"/>
        <v>1.6380047803526383E-12</v>
      </c>
      <c r="EN159" s="62">
        <f t="shared" si="128"/>
        <v>293.33333333333496</v>
      </c>
      <c r="EO159" s="62">
        <f ca="1">AVERAGE(OFFSET($EN$3,0,0,'Données projet'!$E$15+1,1))-AVERAGE(OFFSET($H$3,0,0,'Données projet'!$E$15+1,1))</f>
        <v>255.59755832175625</v>
      </c>
      <c r="EP159" s="62">
        <f t="shared" si="154"/>
        <v>154.0840647586964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197.08445731383847</v>
      </c>
      <c r="FK159" s="62">
        <f t="shared" si="156"/>
        <v>157.12482557016511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428.8489304403459</v>
      </c>
      <c r="T160" s="62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475.47920969424894</v>
      </c>
      <c r="AO160" s="62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2.8421709430404007E-13</v>
      </c>
      <c r="BE160" s="14">
        <f>BD160*VLOOKUP('Données projet'!$B$11,Paramètres!$A$1:$I$89,3,0)*VLOOKUP('Données projet'!$B$11,Paramètres!$A$1:$I$89,5,0)</f>
        <v>1.3301360013429075E-13</v>
      </c>
      <c r="BF160" s="14">
        <f t="shared" si="167"/>
        <v>1.9329766731057041E-12</v>
      </c>
      <c r="BG160" s="22">
        <f t="shared" si="168"/>
        <v>3.5982663925596575E-12</v>
      </c>
      <c r="BH160" s="62">
        <f t="shared" si="116"/>
        <v>293.3333333333369</v>
      </c>
      <c r="BI160" s="62">
        <f ca="1">AVERAGE(OFFSET($BH$3,0,0,'Données projet'!$E$11+1,1))-AVERAGE(OFFSET($H$3,0,0,'Données projet'!$E$11+1,1))</f>
        <v>246.73711856758143</v>
      </c>
      <c r="BJ160" s="62">
        <f t="shared" si="146"/>
        <v>145.54897745089966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6.3550942286383367E-14</v>
      </c>
      <c r="CA160" s="14">
        <f t="shared" si="170"/>
        <v>1.0064464192543978E-12</v>
      </c>
      <c r="CB160" s="22">
        <f t="shared" si="171"/>
        <v>1.8635787380168604E-12</v>
      </c>
      <c r="CC160" s="62">
        <f t="shared" si="119"/>
        <v>293.33333333333519</v>
      </c>
      <c r="CD160" s="62">
        <f ca="1">AVERAGE(OFFSET($CC$3,0,0,'Données projet'!$E$12+1,1))-AVERAGE(OFFSET($H$3,0,0,'Données projet'!$E$12+1,1))</f>
        <v>321.13335003345236</v>
      </c>
      <c r="CE160" s="62">
        <f t="shared" si="148"/>
        <v>301.26825075712128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0.60956413205333204</v>
      </c>
      <c r="CM160" s="23">
        <f>EXP(-LN(2)/2)*CM159+(1-EXP(-LN(2)/2))/(LN(2)/2)*CG160*CJ160*VLOOKUP('Données projet'!$B$12,Paramètres!$A$1:$I$89,3,0)*0.475*44/12</f>
        <v>7.5600424667436205E-19</v>
      </c>
      <c r="CN160" s="24">
        <f t="shared" si="172"/>
        <v>0.60956413205333204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6.7984728957526396E-14</v>
      </c>
      <c r="CV160" s="14">
        <f t="shared" si="173"/>
        <v>1.0682447123141398E-12</v>
      </c>
      <c r="CW160" s="22">
        <f t="shared" si="174"/>
        <v>1.978932943548152E-12</v>
      </c>
      <c r="CX160" s="62">
        <f t="shared" si="122"/>
        <v>293.3333333333353</v>
      </c>
      <c r="CY160" s="62">
        <f ca="1">AVERAGE(OFFSET($CX$3,0,0,'Données projet'!$E$13+1,1))-AVERAGE(OFFSET($H$3,0,0,'Données projet'!$E$13+1,1))</f>
        <v>260.02504691866199</v>
      </c>
      <c r="CZ160" s="62">
        <f t="shared" si="150"/>
        <v>270.11268336406368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0.80919215358381158</v>
      </c>
      <c r="DG160" s="23">
        <f>EXP(-LN(2)/25)*DG159+(1-EXP(-LN(2)/25))/(LN(2)/25)*Calculateur!DB160*Calculateur!DD160*VLOOKUP('Données projet'!$B$13,Paramètres!$A$1:$I$89,3,0)*0.475*44/12</f>
        <v>0.48591996581151309</v>
      </c>
      <c r="DH160" s="23">
        <f>EXP(-LN(2)/2)*DH159+(1-EXP(-LN(2)/2))/(LN(2)/2)*DB160*DE160*VLOOKUP('Données projet'!$B$13,Paramètres!$A$1:$I$89,3,0)*0.475*44/12</f>
        <v>4.8605101902073633E-19</v>
      </c>
      <c r="DI160" s="24">
        <f t="shared" si="175"/>
        <v>1.2951121193953248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-1.7053025658242404E-13</v>
      </c>
      <c r="DP160" s="18">
        <f>DO160*VLOOKUP('Données projet'!$B$14,Paramètres!$A$1:$I$89,3,0)*VLOOKUP('Données projet'!$B$14,Paramètres!$A$1:$I$89,5,0)</f>
        <v>-1.3567387213697657E-13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312.53381881960331</v>
      </c>
      <c r="DU160" s="62">
        <f t="shared" si="152"/>
        <v>342.06887933351783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5.4978954722173515E-14</v>
      </c>
      <c r="EL160" s="14">
        <f t="shared" si="179"/>
        <v>8.8550225887742724E-13</v>
      </c>
      <c r="EM160" s="22">
        <f t="shared" si="180"/>
        <v>1.6380047803526383E-12</v>
      </c>
      <c r="EN160" s="62">
        <f t="shared" si="128"/>
        <v>293.33333333333496</v>
      </c>
      <c r="EO160" s="62">
        <f ca="1">AVERAGE(OFFSET($EN$3,0,0,'Données projet'!$E$15+1,1))-AVERAGE(OFFSET($H$3,0,0,'Données projet'!$E$15+1,1))</f>
        <v>255.59755832175625</v>
      </c>
      <c r="EP160" s="62">
        <f t="shared" si="154"/>
        <v>154.0840647586964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197.08445731383847</v>
      </c>
      <c r="FK160" s="62">
        <f t="shared" si="156"/>
        <v>157.12482557016511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428.8489304403459</v>
      </c>
      <c r="T161" s="62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475.47920969424894</v>
      </c>
      <c r="AO161" s="62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2.8421709430404007E-13</v>
      </c>
      <c r="BE161" s="14">
        <f>BD161*VLOOKUP('Données projet'!$B$11,Paramètres!$A$1:$I$89,3,0)*VLOOKUP('Données projet'!$B$11,Paramètres!$A$1:$I$89,5,0)</f>
        <v>1.3301360013429075E-13</v>
      </c>
      <c r="BF161" s="14">
        <f t="shared" si="167"/>
        <v>1.9329766731057041E-12</v>
      </c>
      <c r="BG161" s="22">
        <f t="shared" si="168"/>
        <v>3.5982663925596575E-12</v>
      </c>
      <c r="BH161" s="62">
        <f t="shared" si="116"/>
        <v>293.3333333333369</v>
      </c>
      <c r="BI161" s="62">
        <f ca="1">AVERAGE(OFFSET($BH$3,0,0,'Données projet'!$E$11+1,1))-AVERAGE(OFFSET($H$3,0,0,'Données projet'!$E$11+1,1))</f>
        <v>246.73711856758143</v>
      </c>
      <c r="BJ161" s="62">
        <f t="shared" si="146"/>
        <v>145.54897745089966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6.3550942286383367E-14</v>
      </c>
      <c r="CA161" s="14">
        <f t="shared" si="170"/>
        <v>1.0064464192543978E-12</v>
      </c>
      <c r="CB161" s="22">
        <f t="shared" si="171"/>
        <v>1.8635787380168604E-12</v>
      </c>
      <c r="CC161" s="62">
        <f t="shared" si="119"/>
        <v>293.33333333333519</v>
      </c>
      <c r="CD161" s="62">
        <f ca="1">AVERAGE(OFFSET($CC$3,0,0,'Données projet'!$E$12+1,1))-AVERAGE(OFFSET($H$3,0,0,'Données projet'!$E$12+1,1))</f>
        <v>321.13335003345236</v>
      </c>
      <c r="CE161" s="62">
        <f t="shared" si="148"/>
        <v>301.26825075712128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0.5928955688067491</v>
      </c>
      <c r="CM161" s="23">
        <f>EXP(-LN(2)/2)*CM160+(1-EXP(-LN(2)/2))/(LN(2)/2)*CG161*CJ161*VLOOKUP('Données projet'!$B$12,Paramètres!$A$1:$I$89,3,0)*0.475*44/12</f>
        <v>5.3457572942926882E-19</v>
      </c>
      <c r="CN161" s="24">
        <f t="shared" si="172"/>
        <v>0.5928955688067491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6.7984728957526396E-14</v>
      </c>
      <c r="CV161" s="14">
        <f t="shared" si="173"/>
        <v>1.0682447123141398E-12</v>
      </c>
      <c r="CW161" s="22">
        <f t="shared" si="174"/>
        <v>1.978932943548152E-12</v>
      </c>
      <c r="CX161" s="62">
        <f t="shared" si="122"/>
        <v>293.3333333333353</v>
      </c>
      <c r="CY161" s="62">
        <f ca="1">AVERAGE(OFFSET($CX$3,0,0,'Données projet'!$E$13+1,1))-AVERAGE(OFFSET($H$3,0,0,'Données projet'!$E$13+1,1))</f>
        <v>260.02504691866199</v>
      </c>
      <c r="CZ161" s="62">
        <f t="shared" si="150"/>
        <v>270.11268336406368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0.79332438901051183</v>
      </c>
      <c r="DG161" s="23">
        <f>EXP(-LN(2)/25)*DG160+(1-EXP(-LN(2)/25))/(LN(2)/25)*Calculateur!DB161*Calculateur!DD161*VLOOKUP('Données projet'!$B$13,Paramètres!$A$1:$I$89,3,0)*0.475*44/12</f>
        <v>0.47263245879297683</v>
      </c>
      <c r="DH161" s="23">
        <f>EXP(-LN(2)/2)*DH160+(1-EXP(-LN(2)/2))/(LN(2)/2)*DB161*DE161*VLOOKUP('Données projet'!$B$13,Paramètres!$A$1:$I$89,3,0)*0.475*44/12</f>
        <v>3.4368997155219425E-19</v>
      </c>
      <c r="DI161" s="24">
        <f t="shared" si="175"/>
        <v>1.2659568478034886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-1.7053025658242404E-13</v>
      </c>
      <c r="DP161" s="18">
        <f>DO161*VLOOKUP('Données projet'!$B$14,Paramètres!$A$1:$I$89,3,0)*VLOOKUP('Données projet'!$B$14,Paramètres!$A$1:$I$89,5,0)</f>
        <v>-1.3567387213697657E-13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312.53381881960331</v>
      </c>
      <c r="DU161" s="62">
        <f t="shared" si="152"/>
        <v>342.06887933351783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5.4978954722173515E-14</v>
      </c>
      <c r="EL161" s="14">
        <f t="shared" si="179"/>
        <v>8.8550225887742724E-13</v>
      </c>
      <c r="EM161" s="22">
        <f t="shared" si="180"/>
        <v>1.6380047803526383E-12</v>
      </c>
      <c r="EN161" s="62">
        <f t="shared" si="128"/>
        <v>293.33333333333496</v>
      </c>
      <c r="EO161" s="62">
        <f ca="1">AVERAGE(OFFSET($EN$3,0,0,'Données projet'!$E$15+1,1))-AVERAGE(OFFSET($H$3,0,0,'Données projet'!$E$15+1,1))</f>
        <v>255.59755832175625</v>
      </c>
      <c r="EP161" s="62">
        <f t="shared" si="154"/>
        <v>154.0840647586964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197.08445731383847</v>
      </c>
      <c r="FK161" s="62">
        <f t="shared" si="156"/>
        <v>157.12482557016511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428.8489304403459</v>
      </c>
      <c r="T162" s="62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475.47920969424894</v>
      </c>
      <c r="AO162" s="62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2.8421709430404007E-13</v>
      </c>
      <c r="BE162" s="14">
        <f>BD162*VLOOKUP('Données projet'!$B$11,Paramètres!$A$1:$I$89,3,0)*VLOOKUP('Données projet'!$B$11,Paramètres!$A$1:$I$89,5,0)</f>
        <v>1.3301360013429075E-13</v>
      </c>
      <c r="BF162" s="14">
        <f t="shared" si="167"/>
        <v>1.9329766731057041E-12</v>
      </c>
      <c r="BG162" s="22">
        <f t="shared" si="168"/>
        <v>3.5982663925596575E-12</v>
      </c>
      <c r="BH162" s="62">
        <f t="shared" si="116"/>
        <v>293.3333333333369</v>
      </c>
      <c r="BI162" s="62">
        <f ca="1">AVERAGE(OFFSET($BH$3,0,0,'Données projet'!$E$11+1,1))-AVERAGE(OFFSET($H$3,0,0,'Données projet'!$E$11+1,1))</f>
        <v>246.73711856758143</v>
      </c>
      <c r="BJ162" s="62">
        <f t="shared" si="146"/>
        <v>145.54897745089966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6.3550942286383367E-14</v>
      </c>
      <c r="CA162" s="14">
        <f t="shared" si="170"/>
        <v>1.0064464192543978E-12</v>
      </c>
      <c r="CB162" s="22">
        <f t="shared" si="171"/>
        <v>1.8635787380168604E-12</v>
      </c>
      <c r="CC162" s="62">
        <f t="shared" si="119"/>
        <v>293.33333333333519</v>
      </c>
      <c r="CD162" s="62">
        <f ca="1">AVERAGE(OFFSET($CC$3,0,0,'Données projet'!$E$12+1,1))-AVERAGE(OFFSET($H$3,0,0,'Données projet'!$E$12+1,1))</f>
        <v>321.13335003345236</v>
      </c>
      <c r="CE162" s="62">
        <f t="shared" si="148"/>
        <v>301.26825075712128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0.57668280829870566</v>
      </c>
      <c r="CM162" s="23">
        <f>EXP(-LN(2)/2)*CM161+(1-EXP(-LN(2)/2))/(LN(2)/2)*CG162*CJ162*VLOOKUP('Données projet'!$B$12,Paramètres!$A$1:$I$89,3,0)*0.475*44/12</f>
        <v>3.7800212333718103E-19</v>
      </c>
      <c r="CN162" s="24">
        <f t="shared" si="172"/>
        <v>0.57668280829870566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6.7984728957526396E-14</v>
      </c>
      <c r="CV162" s="14">
        <f t="shared" si="173"/>
        <v>1.0682447123141398E-12</v>
      </c>
      <c r="CW162" s="22">
        <f t="shared" si="174"/>
        <v>1.978932943548152E-12</v>
      </c>
      <c r="CX162" s="62">
        <f t="shared" si="122"/>
        <v>293.3333333333353</v>
      </c>
      <c r="CY162" s="62">
        <f ca="1">AVERAGE(OFFSET($CX$3,0,0,'Données projet'!$E$13+1,1))-AVERAGE(OFFSET($H$3,0,0,'Données projet'!$E$13+1,1))</f>
        <v>260.02504691866199</v>
      </c>
      <c r="CZ162" s="62">
        <f t="shared" si="150"/>
        <v>270.11268336406368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0.7777677816221138</v>
      </c>
      <c r="DG162" s="23">
        <f>EXP(-LN(2)/25)*DG161+(1-EXP(-LN(2)/25))/(LN(2)/25)*Calculateur!DB162*Calculateur!DD162*VLOOKUP('Données projet'!$B$13,Paramètres!$A$1:$I$89,3,0)*0.475*44/12</f>
        <v>0.45970829935262209</v>
      </c>
      <c r="DH162" s="23">
        <f>EXP(-LN(2)/2)*DH161+(1-EXP(-LN(2)/2))/(LN(2)/2)*DB162*DE162*VLOOKUP('Données projet'!$B$13,Paramètres!$A$1:$I$89,3,0)*0.475*44/12</f>
        <v>2.4302550951036817E-19</v>
      </c>
      <c r="DI162" s="24">
        <f t="shared" si="175"/>
        <v>1.2374760809747358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-1.7053025658242404E-13</v>
      </c>
      <c r="DP162" s="18">
        <f>DO162*VLOOKUP('Données projet'!$B$14,Paramètres!$A$1:$I$89,3,0)*VLOOKUP('Données projet'!$B$14,Paramètres!$A$1:$I$89,5,0)</f>
        <v>-1.3567387213697657E-13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312.53381881960331</v>
      </c>
      <c r="DU162" s="62">
        <f t="shared" si="152"/>
        <v>342.06887933351783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5.4978954722173515E-14</v>
      </c>
      <c r="EL162" s="14">
        <f t="shared" si="179"/>
        <v>8.8550225887742724E-13</v>
      </c>
      <c r="EM162" s="22">
        <f t="shared" si="180"/>
        <v>1.6380047803526383E-12</v>
      </c>
      <c r="EN162" s="62">
        <f t="shared" si="128"/>
        <v>293.33333333333496</v>
      </c>
      <c r="EO162" s="62">
        <f ca="1">AVERAGE(OFFSET($EN$3,0,0,'Données projet'!$E$15+1,1))-AVERAGE(OFFSET($H$3,0,0,'Données projet'!$E$15+1,1))</f>
        <v>255.59755832175625</v>
      </c>
      <c r="EP162" s="62">
        <f t="shared" si="154"/>
        <v>154.0840647586964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197.08445731383847</v>
      </c>
      <c r="FK162" s="62">
        <f t="shared" si="156"/>
        <v>157.12482557016511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428.8489304403459</v>
      </c>
      <c r="T163" s="62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475.47920969424894</v>
      </c>
      <c r="AO163" s="62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2.8421709430404007E-13</v>
      </c>
      <c r="BE163" s="14">
        <f>BD163*VLOOKUP('Données projet'!$B$11,Paramètres!$A$1:$I$89,3,0)*VLOOKUP('Données projet'!$B$11,Paramètres!$A$1:$I$89,5,0)</f>
        <v>1.3301360013429075E-13</v>
      </c>
      <c r="BF163" s="14">
        <f t="shared" si="167"/>
        <v>1.9329766731057041E-12</v>
      </c>
      <c r="BG163" s="22">
        <f t="shared" si="168"/>
        <v>3.5982663925596575E-12</v>
      </c>
      <c r="BH163" s="62">
        <f t="shared" si="116"/>
        <v>293.3333333333369</v>
      </c>
      <c r="BI163" s="62">
        <f ca="1">AVERAGE(OFFSET($BH$3,0,0,'Données projet'!$E$11+1,1))-AVERAGE(OFFSET($H$3,0,0,'Données projet'!$E$11+1,1))</f>
        <v>246.73711856758143</v>
      </c>
      <c r="BJ163" s="62">
        <f t="shared" si="146"/>
        <v>145.54897745089966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6.3550942286383367E-14</v>
      </c>
      <c r="CA163" s="14">
        <f t="shared" si="170"/>
        <v>1.0064464192543978E-12</v>
      </c>
      <c r="CB163" s="22">
        <f t="shared" si="171"/>
        <v>1.8635787380168604E-12</v>
      </c>
      <c r="CC163" s="62">
        <f t="shared" si="119"/>
        <v>293.33333333333519</v>
      </c>
      <c r="CD163" s="62">
        <f ca="1">AVERAGE(OFFSET($CC$3,0,0,'Données projet'!$E$12+1,1))-AVERAGE(OFFSET($H$3,0,0,'Données projet'!$E$12+1,1))</f>
        <v>321.13335003345236</v>
      </c>
      <c r="CE163" s="62">
        <f t="shared" si="148"/>
        <v>301.26825075712128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0.56091338657934664</v>
      </c>
      <c r="CM163" s="23">
        <f>EXP(-LN(2)/2)*CM162+(1-EXP(-LN(2)/2))/(LN(2)/2)*CG163*CJ163*VLOOKUP('Données projet'!$B$12,Paramètres!$A$1:$I$89,3,0)*0.475*44/12</f>
        <v>2.6728786471463441E-19</v>
      </c>
      <c r="CN163" s="24">
        <f t="shared" si="172"/>
        <v>0.56091338657934664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6.7984728957526396E-14</v>
      </c>
      <c r="CV163" s="14">
        <f t="shared" si="173"/>
        <v>1.0682447123141398E-12</v>
      </c>
      <c r="CW163" s="22">
        <f t="shared" si="174"/>
        <v>1.978932943548152E-12</v>
      </c>
      <c r="CX163" s="62">
        <f t="shared" si="122"/>
        <v>293.3333333333353</v>
      </c>
      <c r="CY163" s="62">
        <f ca="1">AVERAGE(OFFSET($CX$3,0,0,'Données projet'!$E$13+1,1))-AVERAGE(OFFSET($H$3,0,0,'Données projet'!$E$13+1,1))</f>
        <v>260.02504691866199</v>
      </c>
      <c r="CZ163" s="62">
        <f t="shared" si="150"/>
        <v>270.11268336406368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0.76251622981600864</v>
      </c>
      <c r="DG163" s="23">
        <f>EXP(-LN(2)/25)*DG162+(1-EXP(-LN(2)/25))/(LN(2)/25)*Calculateur!DB163*Calculateur!DD163*VLOOKUP('Données projet'!$B$13,Paramètres!$A$1:$I$89,3,0)*0.475*44/12</f>
        <v>0.44713755173181585</v>
      </c>
      <c r="DH163" s="23">
        <f>EXP(-LN(2)/2)*DH162+(1-EXP(-LN(2)/2))/(LN(2)/2)*DB163*DE163*VLOOKUP('Données projet'!$B$13,Paramètres!$A$1:$I$89,3,0)*0.475*44/12</f>
        <v>1.7184498577609713E-19</v>
      </c>
      <c r="DI163" s="24">
        <f t="shared" si="175"/>
        <v>1.2096537815478245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-1.7053025658242404E-13</v>
      </c>
      <c r="DP163" s="18">
        <f>DO163*VLOOKUP('Données projet'!$B$14,Paramètres!$A$1:$I$89,3,0)*VLOOKUP('Données projet'!$B$14,Paramètres!$A$1:$I$89,5,0)</f>
        <v>-1.3567387213697657E-13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312.53381881960331</v>
      </c>
      <c r="DU163" s="62">
        <f t="shared" si="152"/>
        <v>342.06887933351783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5.4978954722173515E-14</v>
      </c>
      <c r="EL163" s="14">
        <f t="shared" si="179"/>
        <v>8.8550225887742724E-13</v>
      </c>
      <c r="EM163" s="22">
        <f t="shared" si="180"/>
        <v>1.6380047803526383E-12</v>
      </c>
      <c r="EN163" s="62">
        <f t="shared" si="128"/>
        <v>293.33333333333496</v>
      </c>
      <c r="EO163" s="62">
        <f ca="1">AVERAGE(OFFSET($EN$3,0,0,'Données projet'!$E$15+1,1))-AVERAGE(OFFSET($H$3,0,0,'Données projet'!$E$15+1,1))</f>
        <v>255.59755832175625</v>
      </c>
      <c r="EP163" s="62">
        <f t="shared" si="154"/>
        <v>154.0840647586964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197.08445731383847</v>
      </c>
      <c r="FK163" s="62">
        <f t="shared" si="156"/>
        <v>157.12482557016511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428.8489304403459</v>
      </c>
      <c r="T164" s="62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475.47920969424894</v>
      </c>
      <c r="AO164" s="62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2.8421709430404007E-13</v>
      </c>
      <c r="BE164" s="14">
        <f>BD164*VLOOKUP('Données projet'!$B$11,Paramètres!$A$1:$I$89,3,0)*VLOOKUP('Données projet'!$B$11,Paramètres!$A$1:$I$89,5,0)</f>
        <v>1.3301360013429075E-13</v>
      </c>
      <c r="BF164" s="14">
        <f t="shared" si="167"/>
        <v>1.9329766731057041E-12</v>
      </c>
      <c r="BG164" s="22">
        <f t="shared" si="168"/>
        <v>3.5982663925596575E-12</v>
      </c>
      <c r="BH164" s="62">
        <f t="shared" si="116"/>
        <v>293.3333333333369</v>
      </c>
      <c r="BI164" s="62">
        <f ca="1">AVERAGE(OFFSET($BH$3,0,0,'Données projet'!$E$11+1,1))-AVERAGE(OFFSET($H$3,0,0,'Données projet'!$E$11+1,1))</f>
        <v>246.73711856758143</v>
      </c>
      <c r="BJ164" s="62">
        <f t="shared" si="146"/>
        <v>145.54897745089966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6.3550942286383367E-14</v>
      </c>
      <c r="CA164" s="14">
        <f t="shared" si="170"/>
        <v>1.0064464192543978E-12</v>
      </c>
      <c r="CB164" s="22">
        <f t="shared" si="171"/>
        <v>1.8635787380168604E-12</v>
      </c>
      <c r="CC164" s="62">
        <f t="shared" si="119"/>
        <v>293.33333333333519</v>
      </c>
      <c r="CD164" s="62">
        <f ca="1">AVERAGE(OFFSET($CC$3,0,0,'Données projet'!$E$12+1,1))-AVERAGE(OFFSET($H$3,0,0,'Données projet'!$E$12+1,1))</f>
        <v>321.13335003345236</v>
      </c>
      <c r="CE164" s="62">
        <f t="shared" si="148"/>
        <v>301.26825075712128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0.54557518052618137</v>
      </c>
      <c r="CM164" s="23">
        <f>EXP(-LN(2)/2)*CM163+(1-EXP(-LN(2)/2))/(LN(2)/2)*CG164*CJ164*VLOOKUP('Données projet'!$B$12,Paramètres!$A$1:$I$89,3,0)*0.475*44/12</f>
        <v>1.8900106166859051E-19</v>
      </c>
      <c r="CN164" s="24">
        <f t="shared" si="172"/>
        <v>0.54557518052618137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6.7984728957526396E-14</v>
      </c>
      <c r="CV164" s="14">
        <f t="shared" si="173"/>
        <v>1.0682447123141398E-12</v>
      </c>
      <c r="CW164" s="22">
        <f t="shared" si="174"/>
        <v>1.978932943548152E-12</v>
      </c>
      <c r="CX164" s="62">
        <f t="shared" si="122"/>
        <v>293.3333333333353</v>
      </c>
      <c r="CY164" s="62">
        <f ca="1">AVERAGE(OFFSET($CX$3,0,0,'Données projet'!$E$13+1,1))-AVERAGE(OFFSET($H$3,0,0,'Données projet'!$E$13+1,1))</f>
        <v>260.02504691866199</v>
      </c>
      <c r="CZ164" s="62">
        <f t="shared" si="150"/>
        <v>270.11268336406368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0.74756375163829314</v>
      </c>
      <c r="DG164" s="23">
        <f>EXP(-LN(2)/25)*DG163+(1-EXP(-LN(2)/25))/(LN(2)/25)*Calculateur!DB164*Calculateur!DD164*VLOOKUP('Données projet'!$B$13,Paramètres!$A$1:$I$89,3,0)*0.475*44/12</f>
        <v>0.43491055186576744</v>
      </c>
      <c r="DH164" s="23">
        <f>EXP(-LN(2)/2)*DH163+(1-EXP(-LN(2)/2))/(LN(2)/2)*DB164*DE164*VLOOKUP('Données projet'!$B$13,Paramètres!$A$1:$I$89,3,0)*0.475*44/12</f>
        <v>1.2151275475518408E-19</v>
      </c>
      <c r="DI164" s="24">
        <f t="shared" si="175"/>
        <v>1.1824743035040606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-1.7053025658242404E-13</v>
      </c>
      <c r="DP164" s="18">
        <f>DO164*VLOOKUP('Données projet'!$B$14,Paramètres!$A$1:$I$89,3,0)*VLOOKUP('Données projet'!$B$14,Paramètres!$A$1:$I$89,5,0)</f>
        <v>-1.3567387213697657E-13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312.53381881960331</v>
      </c>
      <c r="DU164" s="62">
        <f t="shared" si="152"/>
        <v>342.06887933351783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5.4978954722173515E-14</v>
      </c>
      <c r="EL164" s="14">
        <f t="shared" si="179"/>
        <v>8.8550225887742724E-13</v>
      </c>
      <c r="EM164" s="22">
        <f t="shared" si="180"/>
        <v>1.6380047803526383E-12</v>
      </c>
      <c r="EN164" s="62">
        <f t="shared" si="128"/>
        <v>293.33333333333496</v>
      </c>
      <c r="EO164" s="62">
        <f ca="1">AVERAGE(OFFSET($EN$3,0,0,'Données projet'!$E$15+1,1))-AVERAGE(OFFSET($H$3,0,0,'Données projet'!$E$15+1,1))</f>
        <v>255.59755832175625</v>
      </c>
      <c r="EP164" s="62">
        <f t="shared" si="154"/>
        <v>154.0840647586964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197.08445731383847</v>
      </c>
      <c r="FK164" s="62">
        <f t="shared" si="156"/>
        <v>157.12482557016511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428.8489304403459</v>
      </c>
      <c r="T165" s="62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475.47920969424894</v>
      </c>
      <c r="AO165" s="62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2.8421709430404007E-13</v>
      </c>
      <c r="BE165" s="14">
        <f>BD165*VLOOKUP('Données projet'!$B$11,Paramètres!$A$1:$I$89,3,0)*VLOOKUP('Données projet'!$B$11,Paramètres!$A$1:$I$89,5,0)</f>
        <v>1.3301360013429075E-13</v>
      </c>
      <c r="BF165" s="14">
        <f t="shared" si="167"/>
        <v>1.9329766731057041E-12</v>
      </c>
      <c r="BG165" s="22">
        <f t="shared" si="168"/>
        <v>3.5982663925596575E-12</v>
      </c>
      <c r="BH165" s="62">
        <f t="shared" si="116"/>
        <v>293.3333333333369</v>
      </c>
      <c r="BI165" s="62">
        <f ca="1">AVERAGE(OFFSET($BH$3,0,0,'Données projet'!$E$11+1,1))-AVERAGE(OFFSET($H$3,0,0,'Données projet'!$E$11+1,1))</f>
        <v>246.73711856758143</v>
      </c>
      <c r="BJ165" s="62">
        <f t="shared" si="146"/>
        <v>145.54897745089966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6.3550942286383367E-14</v>
      </c>
      <c r="CA165" s="14">
        <f t="shared" si="170"/>
        <v>1.0064464192543978E-12</v>
      </c>
      <c r="CB165" s="22">
        <f t="shared" si="171"/>
        <v>1.8635787380168604E-12</v>
      </c>
      <c r="CC165" s="62">
        <f t="shared" si="119"/>
        <v>293.33333333333519</v>
      </c>
      <c r="CD165" s="62">
        <f ca="1">AVERAGE(OFFSET($CC$3,0,0,'Données projet'!$E$12+1,1))-AVERAGE(OFFSET($H$3,0,0,'Données projet'!$E$12+1,1))</f>
        <v>321.13335003345236</v>
      </c>
      <c r="CE165" s="62">
        <f t="shared" si="148"/>
        <v>301.26825075712128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0.53065639852414115</v>
      </c>
      <c r="CM165" s="23">
        <f>EXP(-LN(2)/2)*CM164+(1-EXP(-LN(2)/2))/(LN(2)/2)*CG165*CJ165*VLOOKUP('Données projet'!$B$12,Paramètres!$A$1:$I$89,3,0)*0.475*44/12</f>
        <v>1.3364393235731721E-19</v>
      </c>
      <c r="CN165" s="24">
        <f t="shared" si="172"/>
        <v>0.53065639852414115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6.7984728957526396E-14</v>
      </c>
      <c r="CV165" s="14">
        <f t="shared" si="173"/>
        <v>1.0682447123141398E-12</v>
      </c>
      <c r="CW165" s="22">
        <f t="shared" si="174"/>
        <v>1.978932943548152E-12</v>
      </c>
      <c r="CX165" s="62">
        <f t="shared" si="122"/>
        <v>293.3333333333353</v>
      </c>
      <c r="CY165" s="62">
        <f ca="1">AVERAGE(OFFSET($CX$3,0,0,'Données projet'!$E$13+1,1))-AVERAGE(OFFSET($H$3,0,0,'Données projet'!$E$13+1,1))</f>
        <v>260.02504691866199</v>
      </c>
      <c r="CZ165" s="62">
        <f t="shared" si="150"/>
        <v>270.11268336406368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0.73290448243753148</v>
      </c>
      <c r="DG165" s="23">
        <f>EXP(-LN(2)/25)*DG164+(1-EXP(-LN(2)/25))/(LN(2)/25)*Calculateur!DB165*Calculateur!DD165*VLOOKUP('Données projet'!$B$13,Paramètres!$A$1:$I$89,3,0)*0.475*44/12</f>
        <v>0.42301789995404609</v>
      </c>
      <c r="DH165" s="23">
        <f>EXP(-LN(2)/2)*DH164+(1-EXP(-LN(2)/2))/(LN(2)/2)*DB165*DE165*VLOOKUP('Données projet'!$B$13,Paramètres!$A$1:$I$89,3,0)*0.475*44/12</f>
        <v>8.5922492888048563E-20</v>
      </c>
      <c r="DI165" s="24">
        <f t="shared" si="175"/>
        <v>1.1559223823915776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-1.7053025658242404E-13</v>
      </c>
      <c r="DP165" s="18">
        <f>DO165*VLOOKUP('Données projet'!$B$14,Paramètres!$A$1:$I$89,3,0)*VLOOKUP('Données projet'!$B$14,Paramètres!$A$1:$I$89,5,0)</f>
        <v>-1.3567387213697657E-13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312.53381881960331</v>
      </c>
      <c r="DU165" s="62">
        <f t="shared" si="152"/>
        <v>342.06887933351783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5.4978954722173515E-14</v>
      </c>
      <c r="EL165" s="14">
        <f t="shared" si="179"/>
        <v>8.8550225887742724E-13</v>
      </c>
      <c r="EM165" s="22">
        <f t="shared" si="180"/>
        <v>1.6380047803526383E-12</v>
      </c>
      <c r="EN165" s="62">
        <f t="shared" si="128"/>
        <v>293.33333333333496</v>
      </c>
      <c r="EO165" s="62">
        <f ca="1">AVERAGE(OFFSET($EN$3,0,0,'Données projet'!$E$15+1,1))-AVERAGE(OFFSET($H$3,0,0,'Données projet'!$E$15+1,1))</f>
        <v>255.59755832175625</v>
      </c>
      <c r="EP165" s="62">
        <f t="shared" si="154"/>
        <v>154.0840647586964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197.08445731383847</v>
      </c>
      <c r="FK165" s="62">
        <f t="shared" si="156"/>
        <v>157.12482557016511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428.8489304403459</v>
      </c>
      <c r="T166" s="62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475.47920969424894</v>
      </c>
      <c r="AO166" s="62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2.8421709430404007E-13</v>
      </c>
      <c r="BE166" s="14">
        <f>BD166*VLOOKUP('Données projet'!$B$11,Paramètres!$A$1:$I$89,3,0)*VLOOKUP('Données projet'!$B$11,Paramètres!$A$1:$I$89,5,0)</f>
        <v>1.3301360013429075E-13</v>
      </c>
      <c r="BF166" s="14">
        <f t="shared" si="167"/>
        <v>1.9329766731057041E-12</v>
      </c>
      <c r="BG166" s="22">
        <f t="shared" si="168"/>
        <v>3.5982663925596575E-12</v>
      </c>
      <c r="BH166" s="62">
        <f t="shared" si="116"/>
        <v>293.3333333333369</v>
      </c>
      <c r="BI166" s="62">
        <f ca="1">AVERAGE(OFFSET($BH$3,0,0,'Données projet'!$E$11+1,1))-AVERAGE(OFFSET($H$3,0,0,'Données projet'!$E$11+1,1))</f>
        <v>246.73711856758143</v>
      </c>
      <c r="BJ166" s="62">
        <f t="shared" si="146"/>
        <v>145.54897745089966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6.3550942286383367E-14</v>
      </c>
      <c r="CA166" s="14">
        <f t="shared" si="170"/>
        <v>1.0064464192543978E-12</v>
      </c>
      <c r="CB166" s="22">
        <f t="shared" si="171"/>
        <v>1.8635787380168604E-12</v>
      </c>
      <c r="CC166" s="62">
        <f t="shared" si="119"/>
        <v>293.33333333333519</v>
      </c>
      <c r="CD166" s="62">
        <f ca="1">AVERAGE(OFFSET($CC$3,0,0,'Données projet'!$E$12+1,1))-AVERAGE(OFFSET($H$3,0,0,'Données projet'!$E$12+1,1))</f>
        <v>321.13335003345236</v>
      </c>
      <c r="CE166" s="62">
        <f t="shared" si="148"/>
        <v>301.26825075712128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0.51614557140049133</v>
      </c>
      <c r="CM166" s="23">
        <f>EXP(-LN(2)/2)*CM165+(1-EXP(-LN(2)/2))/(LN(2)/2)*CG166*CJ166*VLOOKUP('Données projet'!$B$12,Paramètres!$A$1:$I$89,3,0)*0.475*44/12</f>
        <v>9.4500530834295257E-20</v>
      </c>
      <c r="CN166" s="24">
        <f t="shared" si="172"/>
        <v>0.51614557140049133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6.7984728957526396E-14</v>
      </c>
      <c r="CV166" s="14">
        <f t="shared" si="173"/>
        <v>1.0682447123141398E-12</v>
      </c>
      <c r="CW166" s="22">
        <f t="shared" si="174"/>
        <v>1.978932943548152E-12</v>
      </c>
      <c r="CX166" s="62">
        <f t="shared" si="122"/>
        <v>293.3333333333353</v>
      </c>
      <c r="CY166" s="62">
        <f ca="1">AVERAGE(OFFSET($CX$3,0,0,'Données projet'!$E$13+1,1))-AVERAGE(OFFSET($H$3,0,0,'Données projet'!$E$13+1,1))</f>
        <v>260.02504691866199</v>
      </c>
      <c r="CZ166" s="62">
        <f t="shared" si="150"/>
        <v>270.11268336406368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0.71853267256452547</v>
      </c>
      <c r="DG166" s="23">
        <f>EXP(-LN(2)/25)*DG165+(1-EXP(-LN(2)/25))/(LN(2)/25)*Calculateur!DB166*Calculateur!DD166*VLOOKUP('Données projet'!$B$13,Paramètres!$A$1:$I$89,3,0)*0.475*44/12</f>
        <v>0.41145045323425816</v>
      </c>
      <c r="DH166" s="23">
        <f>EXP(-LN(2)/2)*DH165+(1-EXP(-LN(2)/2))/(LN(2)/2)*DB166*DE166*VLOOKUP('Données projet'!$B$13,Paramètres!$A$1:$I$89,3,0)*0.475*44/12</f>
        <v>6.0756377377592041E-20</v>
      </c>
      <c r="DI166" s="24">
        <f t="shared" si="175"/>
        <v>1.1299831257987836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-1.7053025658242404E-13</v>
      </c>
      <c r="DP166" s="18">
        <f>DO166*VLOOKUP('Données projet'!$B$14,Paramètres!$A$1:$I$89,3,0)*VLOOKUP('Données projet'!$B$14,Paramètres!$A$1:$I$89,5,0)</f>
        <v>-1.3567387213697657E-13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312.53381881960331</v>
      </c>
      <c r="DU166" s="62">
        <f t="shared" si="152"/>
        <v>342.06887933351783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5.4978954722173515E-14</v>
      </c>
      <c r="EL166" s="14">
        <f t="shared" si="179"/>
        <v>8.8550225887742724E-13</v>
      </c>
      <c r="EM166" s="22">
        <f t="shared" si="180"/>
        <v>1.6380047803526383E-12</v>
      </c>
      <c r="EN166" s="62">
        <f t="shared" si="128"/>
        <v>293.33333333333496</v>
      </c>
      <c r="EO166" s="62">
        <f ca="1">AVERAGE(OFFSET($EN$3,0,0,'Données projet'!$E$15+1,1))-AVERAGE(OFFSET($H$3,0,0,'Données projet'!$E$15+1,1))</f>
        <v>255.59755832175625</v>
      </c>
      <c r="EP166" s="62">
        <f t="shared" si="154"/>
        <v>154.0840647586964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197.08445731383847</v>
      </c>
      <c r="FK166" s="62">
        <f t="shared" si="156"/>
        <v>157.12482557016511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428.8489304403459</v>
      </c>
      <c r="T167" s="62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475.47920969424894</v>
      </c>
      <c r="AO167" s="62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2.8421709430404007E-13</v>
      </c>
      <c r="BE167" s="14">
        <f>BD167*VLOOKUP('Données projet'!$B$11,Paramètres!$A$1:$I$89,3,0)*VLOOKUP('Données projet'!$B$11,Paramètres!$A$1:$I$89,5,0)</f>
        <v>1.3301360013429075E-13</v>
      </c>
      <c r="BF167" s="14">
        <f t="shared" si="167"/>
        <v>1.9329766731057041E-12</v>
      </c>
      <c r="BG167" s="22">
        <f t="shared" si="168"/>
        <v>3.5982663925596575E-12</v>
      </c>
      <c r="BH167" s="62">
        <f t="shared" si="116"/>
        <v>293.3333333333369</v>
      </c>
      <c r="BI167" s="62">
        <f ca="1">AVERAGE(OFFSET($BH$3,0,0,'Données projet'!$E$11+1,1))-AVERAGE(OFFSET($H$3,0,0,'Données projet'!$E$11+1,1))</f>
        <v>246.73711856758143</v>
      </c>
      <c r="BJ167" s="62">
        <f t="shared" si="146"/>
        <v>145.54897745089966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6.3550942286383367E-14</v>
      </c>
      <c r="CA167" s="14">
        <f t="shared" si="170"/>
        <v>1.0064464192543978E-12</v>
      </c>
      <c r="CB167" s="22">
        <f t="shared" si="171"/>
        <v>1.8635787380168604E-12</v>
      </c>
      <c r="CC167" s="62">
        <f t="shared" si="119"/>
        <v>293.33333333333519</v>
      </c>
      <c r="CD167" s="62">
        <f ca="1">AVERAGE(OFFSET($CC$3,0,0,'Données projet'!$E$12+1,1))-AVERAGE(OFFSET($H$3,0,0,'Données projet'!$E$12+1,1))</f>
        <v>321.13335003345236</v>
      </c>
      <c r="CE167" s="62">
        <f t="shared" si="148"/>
        <v>301.26825075712128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0.50203154360762892</v>
      </c>
      <c r="CM167" s="23">
        <f>EXP(-LN(2)/2)*CM166+(1-EXP(-LN(2)/2))/(LN(2)/2)*CG167*CJ167*VLOOKUP('Données projet'!$B$12,Paramètres!$A$1:$I$89,3,0)*0.475*44/12</f>
        <v>6.6821966178658603E-20</v>
      </c>
      <c r="CN167" s="24">
        <f t="shared" si="172"/>
        <v>0.50203154360762892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6.7984728957526396E-14</v>
      </c>
      <c r="CV167" s="14">
        <f t="shared" si="173"/>
        <v>1.0682447123141398E-12</v>
      </c>
      <c r="CW167" s="22">
        <f t="shared" si="174"/>
        <v>1.978932943548152E-12</v>
      </c>
      <c r="CX167" s="62">
        <f t="shared" si="122"/>
        <v>293.3333333333353</v>
      </c>
      <c r="CY167" s="62">
        <f ca="1">AVERAGE(OFFSET($CX$3,0,0,'Données projet'!$E$13+1,1))-AVERAGE(OFFSET($H$3,0,0,'Données projet'!$E$13+1,1))</f>
        <v>260.02504691866199</v>
      </c>
      <c r="CZ167" s="62">
        <f t="shared" si="150"/>
        <v>270.11268336406368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0.70444268511719066</v>
      </c>
      <c r="DG167" s="23">
        <f>EXP(-LN(2)/25)*DG166+(1-EXP(-LN(2)/25))/(LN(2)/25)*Calculateur!DB167*Calculateur!DD167*VLOOKUP('Données projet'!$B$13,Paramètres!$A$1:$I$89,3,0)*0.475*44/12</f>
        <v>0.40019931895332844</v>
      </c>
      <c r="DH167" s="23">
        <f>EXP(-LN(2)/2)*DH166+(1-EXP(-LN(2)/2))/(LN(2)/2)*DB167*DE167*VLOOKUP('Données projet'!$B$13,Paramètres!$A$1:$I$89,3,0)*0.475*44/12</f>
        <v>4.2961246444024282E-20</v>
      </c>
      <c r="DI167" s="24">
        <f t="shared" si="175"/>
        <v>1.1046420040705192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-1.7053025658242404E-13</v>
      </c>
      <c r="DP167" s="18">
        <f>DO167*VLOOKUP('Données projet'!$B$14,Paramètres!$A$1:$I$89,3,0)*VLOOKUP('Données projet'!$B$14,Paramètres!$A$1:$I$89,5,0)</f>
        <v>-1.3567387213697657E-13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312.53381881960331</v>
      </c>
      <c r="DU167" s="62">
        <f t="shared" si="152"/>
        <v>342.06887933351783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5.4978954722173515E-14</v>
      </c>
      <c r="EL167" s="14">
        <f t="shared" si="179"/>
        <v>8.8550225887742724E-13</v>
      </c>
      <c r="EM167" s="22">
        <f t="shared" si="180"/>
        <v>1.6380047803526383E-12</v>
      </c>
      <c r="EN167" s="62">
        <f t="shared" si="128"/>
        <v>293.33333333333496</v>
      </c>
      <c r="EO167" s="62">
        <f ca="1">AVERAGE(OFFSET($EN$3,0,0,'Données projet'!$E$15+1,1))-AVERAGE(OFFSET($H$3,0,0,'Données projet'!$E$15+1,1))</f>
        <v>255.59755832175625</v>
      </c>
      <c r="EP167" s="62">
        <f t="shared" si="154"/>
        <v>154.0840647586964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197.08445731383847</v>
      </c>
      <c r="FK167" s="62">
        <f t="shared" si="156"/>
        <v>157.12482557016511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428.8489304403459</v>
      </c>
      <c r="T168" s="62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475.47920969424894</v>
      </c>
      <c r="AO168" s="62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2.8421709430404007E-13</v>
      </c>
      <c r="BE168" s="14">
        <f>BD168*VLOOKUP('Données projet'!$B$11,Paramètres!$A$1:$I$89,3,0)*VLOOKUP('Données projet'!$B$11,Paramètres!$A$1:$I$89,5,0)</f>
        <v>1.3301360013429075E-13</v>
      </c>
      <c r="BF168" s="14">
        <f t="shared" si="167"/>
        <v>1.9329766731057041E-12</v>
      </c>
      <c r="BG168" s="22">
        <f t="shared" si="168"/>
        <v>3.5982663925596575E-12</v>
      </c>
      <c r="BH168" s="62">
        <f t="shared" si="116"/>
        <v>293.3333333333369</v>
      </c>
      <c r="BI168" s="62">
        <f ca="1">AVERAGE(OFFSET($BH$3,0,0,'Données projet'!$E$11+1,1))-AVERAGE(OFFSET($H$3,0,0,'Données projet'!$E$11+1,1))</f>
        <v>246.73711856758143</v>
      </c>
      <c r="BJ168" s="62">
        <f t="shared" si="146"/>
        <v>145.54897745089966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6.3550942286383367E-14</v>
      </c>
      <c r="CA168" s="14">
        <f t="shared" si="170"/>
        <v>1.0064464192543978E-12</v>
      </c>
      <c r="CB168" s="22">
        <f t="shared" si="171"/>
        <v>1.8635787380168604E-12</v>
      </c>
      <c r="CC168" s="62">
        <f t="shared" si="119"/>
        <v>293.33333333333519</v>
      </c>
      <c r="CD168" s="62">
        <f ca="1">AVERAGE(OFFSET($CC$3,0,0,'Données projet'!$E$12+1,1))-AVERAGE(OFFSET($H$3,0,0,'Données projet'!$E$12+1,1))</f>
        <v>321.13335003345236</v>
      </c>
      <c r="CE168" s="62">
        <f t="shared" si="148"/>
        <v>301.26825075712128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0.48830346464698682</v>
      </c>
      <c r="CM168" s="23">
        <f>EXP(-LN(2)/2)*CM167+(1-EXP(-LN(2)/2))/(LN(2)/2)*CG168*CJ168*VLOOKUP('Données projet'!$B$12,Paramètres!$A$1:$I$89,3,0)*0.475*44/12</f>
        <v>4.7250265417147628E-20</v>
      </c>
      <c r="CN168" s="24">
        <f t="shared" si="172"/>
        <v>0.48830346464698682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6.7984728957526396E-14</v>
      </c>
      <c r="CV168" s="14">
        <f t="shared" si="173"/>
        <v>1.0682447123141398E-12</v>
      </c>
      <c r="CW168" s="22">
        <f t="shared" si="174"/>
        <v>1.978932943548152E-12</v>
      </c>
      <c r="CX168" s="62">
        <f t="shared" si="122"/>
        <v>293.3333333333353</v>
      </c>
      <c r="CY168" s="62">
        <f ca="1">AVERAGE(OFFSET($CX$3,0,0,'Données projet'!$E$13+1,1))-AVERAGE(OFFSET($H$3,0,0,'Données projet'!$E$13+1,1))</f>
        <v>260.02504691866199</v>
      </c>
      <c r="CZ168" s="62">
        <f t="shared" si="150"/>
        <v>270.11268336406368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0.69062899372965436</v>
      </c>
      <c r="DG168" s="23">
        <f>EXP(-LN(2)/25)*DG167+(1-EXP(-LN(2)/25))/(LN(2)/25)*Calculateur!DB168*Calculateur!DD168*VLOOKUP('Données projet'!$B$13,Paramètres!$A$1:$I$89,3,0)*0.475*44/12</f>
        <v>0.38925584753098214</v>
      </c>
      <c r="DH168" s="23">
        <f>EXP(-LN(2)/2)*DH167+(1-EXP(-LN(2)/2))/(LN(2)/2)*DB168*DE168*VLOOKUP('Données projet'!$B$13,Paramètres!$A$1:$I$89,3,0)*0.475*44/12</f>
        <v>3.0378188688796021E-20</v>
      </c>
      <c r="DI168" s="24">
        <f t="shared" si="175"/>
        <v>1.0798848412606366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-1.7053025658242404E-13</v>
      </c>
      <c r="DP168" s="18">
        <f>DO168*VLOOKUP('Données projet'!$B$14,Paramètres!$A$1:$I$89,3,0)*VLOOKUP('Données projet'!$B$14,Paramètres!$A$1:$I$89,5,0)</f>
        <v>-1.3567387213697657E-13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312.53381881960331</v>
      </c>
      <c r="DU168" s="62">
        <f t="shared" si="152"/>
        <v>342.06887933351783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5.4978954722173515E-14</v>
      </c>
      <c r="EL168" s="14">
        <f t="shared" si="179"/>
        <v>8.8550225887742724E-13</v>
      </c>
      <c r="EM168" s="22">
        <f t="shared" si="180"/>
        <v>1.6380047803526383E-12</v>
      </c>
      <c r="EN168" s="62">
        <f t="shared" si="128"/>
        <v>293.33333333333496</v>
      </c>
      <c r="EO168" s="62">
        <f ca="1">AVERAGE(OFFSET($EN$3,0,0,'Données projet'!$E$15+1,1))-AVERAGE(OFFSET($H$3,0,0,'Données projet'!$E$15+1,1))</f>
        <v>255.59755832175625</v>
      </c>
      <c r="EP168" s="62">
        <f t="shared" si="154"/>
        <v>154.0840647586964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197.08445731383847</v>
      </c>
      <c r="FK168" s="62">
        <f t="shared" si="156"/>
        <v>157.12482557016511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428.8489304403459</v>
      </c>
      <c r="T169" s="62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475.47920969424894</v>
      </c>
      <c r="AO169" s="62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2.8421709430404007E-13</v>
      </c>
      <c r="BE169" s="14">
        <f>BD169*VLOOKUP('Données projet'!$B$11,Paramètres!$A$1:$I$89,3,0)*VLOOKUP('Données projet'!$B$11,Paramètres!$A$1:$I$89,5,0)</f>
        <v>1.3301360013429075E-13</v>
      </c>
      <c r="BF169" s="14">
        <f t="shared" si="167"/>
        <v>1.9329766731057041E-12</v>
      </c>
      <c r="BG169" s="22">
        <f t="shared" si="168"/>
        <v>3.5982663925596575E-12</v>
      </c>
      <c r="BH169" s="62">
        <f t="shared" si="116"/>
        <v>293.3333333333369</v>
      </c>
      <c r="BI169" s="62">
        <f ca="1">AVERAGE(OFFSET($BH$3,0,0,'Données projet'!$E$11+1,1))-AVERAGE(OFFSET($H$3,0,0,'Données projet'!$E$11+1,1))</f>
        <v>246.73711856758143</v>
      </c>
      <c r="BJ169" s="62">
        <f t="shared" si="146"/>
        <v>145.54897745089966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6.3550942286383367E-14</v>
      </c>
      <c r="CA169" s="14">
        <f t="shared" si="170"/>
        <v>1.0064464192543978E-12</v>
      </c>
      <c r="CB169" s="22">
        <f t="shared" si="171"/>
        <v>1.8635787380168604E-12</v>
      </c>
      <c r="CC169" s="62">
        <f t="shared" si="119"/>
        <v>293.33333333333519</v>
      </c>
      <c r="CD169" s="62">
        <f ca="1">AVERAGE(OFFSET($CC$3,0,0,'Données projet'!$E$12+1,1))-AVERAGE(OFFSET($H$3,0,0,'Données projet'!$E$12+1,1))</f>
        <v>321.13335003345236</v>
      </c>
      <c r="CE169" s="62">
        <f t="shared" si="148"/>
        <v>301.26825075712128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0.47495078072745178</v>
      </c>
      <c r="CM169" s="23">
        <f>EXP(-LN(2)/2)*CM168+(1-EXP(-LN(2)/2))/(LN(2)/2)*CG169*CJ169*VLOOKUP('Données projet'!$B$12,Paramètres!$A$1:$I$89,3,0)*0.475*44/12</f>
        <v>3.3410983089329301E-20</v>
      </c>
      <c r="CN169" s="24">
        <f t="shared" si="172"/>
        <v>0.47495078072745178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6.7984728957526396E-14</v>
      </c>
      <c r="CV169" s="14">
        <f t="shared" si="173"/>
        <v>1.0682447123141398E-12</v>
      </c>
      <c r="CW169" s="22">
        <f t="shared" si="174"/>
        <v>1.978932943548152E-12</v>
      </c>
      <c r="CX169" s="62">
        <f t="shared" si="122"/>
        <v>293.3333333333353</v>
      </c>
      <c r="CY169" s="62">
        <f ca="1">AVERAGE(OFFSET($CX$3,0,0,'Données projet'!$E$13+1,1))-AVERAGE(OFFSET($H$3,0,0,'Données projet'!$E$13+1,1))</f>
        <v>260.02504691866199</v>
      </c>
      <c r="CZ169" s="62">
        <f t="shared" si="150"/>
        <v>270.11268336406368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0.6770861804047078</v>
      </c>
      <c r="DG169" s="23">
        <f>EXP(-LN(2)/25)*DG168+(1-EXP(-LN(2)/25))/(LN(2)/25)*Calculateur!DB169*Calculateur!DD169*VLOOKUP('Données projet'!$B$13,Paramètres!$A$1:$I$89,3,0)*0.475*44/12</f>
        <v>0.37861162591017206</v>
      </c>
      <c r="DH169" s="23">
        <f>EXP(-LN(2)/2)*DH168+(1-EXP(-LN(2)/2))/(LN(2)/2)*DB169*DE169*VLOOKUP('Données projet'!$B$13,Paramètres!$A$1:$I$89,3,0)*0.475*44/12</f>
        <v>2.1480623222012141E-20</v>
      </c>
      <c r="DI169" s="24">
        <f t="shared" si="175"/>
        <v>1.0556978063148799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-1.7053025658242404E-13</v>
      </c>
      <c r="DP169" s="18">
        <f>DO169*VLOOKUP('Données projet'!$B$14,Paramètres!$A$1:$I$89,3,0)*VLOOKUP('Données projet'!$B$14,Paramètres!$A$1:$I$89,5,0)</f>
        <v>-1.3567387213697657E-13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312.53381881960331</v>
      </c>
      <c r="DU169" s="62">
        <f t="shared" si="152"/>
        <v>342.06887933351783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5.4978954722173515E-14</v>
      </c>
      <c r="EL169" s="14">
        <f t="shared" si="179"/>
        <v>8.8550225887742724E-13</v>
      </c>
      <c r="EM169" s="22">
        <f t="shared" si="180"/>
        <v>1.6380047803526383E-12</v>
      </c>
      <c r="EN169" s="62">
        <f t="shared" si="128"/>
        <v>293.33333333333496</v>
      </c>
      <c r="EO169" s="62">
        <f ca="1">AVERAGE(OFFSET($EN$3,0,0,'Données projet'!$E$15+1,1))-AVERAGE(OFFSET($H$3,0,0,'Données projet'!$E$15+1,1))</f>
        <v>255.59755832175625</v>
      </c>
      <c r="EP169" s="62">
        <f t="shared" si="154"/>
        <v>154.0840647586964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197.08445731383847</v>
      </c>
      <c r="FK169" s="62">
        <f t="shared" si="156"/>
        <v>157.12482557016511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428.8489304403459</v>
      </c>
      <c r="T170" s="62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475.47920969424894</v>
      </c>
      <c r="AO170" s="62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2.8421709430404007E-13</v>
      </c>
      <c r="BE170" s="14">
        <f>BD170*VLOOKUP('Données projet'!$B$11,Paramètres!$A$1:$I$89,3,0)*VLOOKUP('Données projet'!$B$11,Paramètres!$A$1:$I$89,5,0)</f>
        <v>1.3301360013429075E-13</v>
      </c>
      <c r="BF170" s="14">
        <f t="shared" si="167"/>
        <v>1.9329766731057041E-12</v>
      </c>
      <c r="BG170" s="22">
        <f t="shared" si="168"/>
        <v>3.5982663925596575E-12</v>
      </c>
      <c r="BH170" s="62">
        <f t="shared" si="116"/>
        <v>293.3333333333369</v>
      </c>
      <c r="BI170" s="62">
        <f ca="1">AVERAGE(OFFSET($BH$3,0,0,'Données projet'!$E$11+1,1))-AVERAGE(OFFSET($H$3,0,0,'Données projet'!$E$11+1,1))</f>
        <v>246.73711856758143</v>
      </c>
      <c r="BJ170" s="62">
        <f t="shared" si="146"/>
        <v>145.54897745089966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6.3550942286383367E-14</v>
      </c>
      <c r="CA170" s="14">
        <f t="shared" si="170"/>
        <v>1.0064464192543978E-12</v>
      </c>
      <c r="CB170" s="22">
        <f t="shared" si="171"/>
        <v>1.8635787380168604E-12</v>
      </c>
      <c r="CC170" s="62">
        <f t="shared" si="119"/>
        <v>293.33333333333519</v>
      </c>
      <c r="CD170" s="62">
        <f ca="1">AVERAGE(OFFSET($CC$3,0,0,'Données projet'!$E$12+1,1))-AVERAGE(OFFSET($H$3,0,0,'Données projet'!$E$12+1,1))</f>
        <v>321.13335003345236</v>
      </c>
      <c r="CE170" s="62">
        <f t="shared" si="148"/>
        <v>301.26825075712128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0.46196322665188355</v>
      </c>
      <c r="CM170" s="23">
        <f>EXP(-LN(2)/2)*CM169+(1-EXP(-LN(2)/2))/(LN(2)/2)*CG170*CJ170*VLOOKUP('Données projet'!$B$12,Paramètres!$A$1:$I$89,3,0)*0.475*44/12</f>
        <v>2.3625132708573814E-20</v>
      </c>
      <c r="CN170" s="24">
        <f t="shared" si="172"/>
        <v>0.46196322665188355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6.7984728957526396E-14</v>
      </c>
      <c r="CV170" s="14">
        <f t="shared" si="173"/>
        <v>1.0682447123141398E-12</v>
      </c>
      <c r="CW170" s="22">
        <f t="shared" si="174"/>
        <v>1.978932943548152E-12</v>
      </c>
      <c r="CX170" s="62">
        <f t="shared" si="122"/>
        <v>293.3333333333353</v>
      </c>
      <c r="CY170" s="62">
        <f ca="1">AVERAGE(OFFSET($CX$3,0,0,'Données projet'!$E$13+1,1))-AVERAGE(OFFSET($H$3,0,0,'Données projet'!$E$13+1,1))</f>
        <v>260.02504691866199</v>
      </c>
      <c r="CZ170" s="62">
        <f t="shared" si="150"/>
        <v>270.11268336406368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0.66380893338876301</v>
      </c>
      <c r="DG170" s="23">
        <f>EXP(-LN(2)/25)*DG169+(1-EXP(-LN(2)/25))/(LN(2)/25)*Calculateur!DB170*Calculateur!DD170*VLOOKUP('Données projet'!$B$13,Paramètres!$A$1:$I$89,3,0)*0.475*44/12</f>
        <v>0.36825847108933835</v>
      </c>
      <c r="DH170" s="23">
        <f>EXP(-LN(2)/2)*DH169+(1-EXP(-LN(2)/2))/(LN(2)/2)*DB170*DE170*VLOOKUP('Données projet'!$B$13,Paramètres!$A$1:$I$89,3,0)*0.475*44/12</f>
        <v>1.518909434439801E-20</v>
      </c>
      <c r="DI170" s="24">
        <f t="shared" si="175"/>
        <v>1.0320674044781013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-1.7053025658242404E-13</v>
      </c>
      <c r="DP170" s="18">
        <f>DO170*VLOOKUP('Données projet'!$B$14,Paramètres!$A$1:$I$89,3,0)*VLOOKUP('Données projet'!$B$14,Paramètres!$A$1:$I$89,5,0)</f>
        <v>-1.3567387213697657E-13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312.53381881960331</v>
      </c>
      <c r="DU170" s="62">
        <f t="shared" si="152"/>
        <v>342.06887933351783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5.4978954722173515E-14</v>
      </c>
      <c r="EL170" s="14">
        <f t="shared" si="179"/>
        <v>8.8550225887742724E-13</v>
      </c>
      <c r="EM170" s="22">
        <f t="shared" si="180"/>
        <v>1.6380047803526383E-12</v>
      </c>
      <c r="EN170" s="62">
        <f t="shared" si="128"/>
        <v>293.33333333333496</v>
      </c>
      <c r="EO170" s="62">
        <f ca="1">AVERAGE(OFFSET($EN$3,0,0,'Données projet'!$E$15+1,1))-AVERAGE(OFFSET($H$3,0,0,'Données projet'!$E$15+1,1))</f>
        <v>255.59755832175625</v>
      </c>
      <c r="EP170" s="62">
        <f t="shared" si="154"/>
        <v>154.0840647586964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197.08445731383847</v>
      </c>
      <c r="FK170" s="62">
        <f t="shared" si="156"/>
        <v>157.12482557016511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428.8489304403459</v>
      </c>
      <c r="T171" s="62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475.47920969424894</v>
      </c>
      <c r="AO171" s="62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2.8421709430404007E-13</v>
      </c>
      <c r="BE171" s="14">
        <f>BD171*VLOOKUP('Données projet'!$B$11,Paramètres!$A$1:$I$89,3,0)*VLOOKUP('Données projet'!$B$11,Paramètres!$A$1:$I$89,5,0)</f>
        <v>1.3301360013429075E-13</v>
      </c>
      <c r="BF171" s="14">
        <f t="shared" si="167"/>
        <v>1.9329766731057041E-12</v>
      </c>
      <c r="BG171" s="22">
        <f t="shared" si="168"/>
        <v>3.5982663925596575E-12</v>
      </c>
      <c r="BH171" s="62">
        <f t="shared" si="116"/>
        <v>293.3333333333369</v>
      </c>
      <c r="BI171" s="62">
        <f ca="1">AVERAGE(OFFSET($BH$3,0,0,'Données projet'!$E$11+1,1))-AVERAGE(OFFSET($H$3,0,0,'Données projet'!$E$11+1,1))</f>
        <v>246.73711856758143</v>
      </c>
      <c r="BJ171" s="62">
        <f t="shared" si="146"/>
        <v>145.54897745089966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6.3550942286383367E-14</v>
      </c>
      <c r="CA171" s="14">
        <f t="shared" si="170"/>
        <v>1.0064464192543978E-12</v>
      </c>
      <c r="CB171" s="22">
        <f t="shared" si="171"/>
        <v>1.8635787380168604E-12</v>
      </c>
      <c r="CC171" s="62">
        <f t="shared" si="119"/>
        <v>293.33333333333519</v>
      </c>
      <c r="CD171" s="62">
        <f ca="1">AVERAGE(OFFSET($CC$3,0,0,'Données projet'!$E$12+1,1))-AVERAGE(OFFSET($H$3,0,0,'Données projet'!$E$12+1,1))</f>
        <v>321.13335003345236</v>
      </c>
      <c r="CE171" s="62">
        <f t="shared" si="148"/>
        <v>301.26825075712128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0.44933081792549756</v>
      </c>
      <c r="CM171" s="23">
        <f>EXP(-LN(2)/2)*CM170+(1-EXP(-LN(2)/2))/(LN(2)/2)*CG171*CJ171*VLOOKUP('Données projet'!$B$12,Paramètres!$A$1:$I$89,3,0)*0.475*44/12</f>
        <v>1.6705491544664651E-20</v>
      </c>
      <c r="CN171" s="24">
        <f t="shared" si="172"/>
        <v>0.44933081792549756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6.7984728957526396E-14</v>
      </c>
      <c r="CV171" s="14">
        <f t="shared" si="173"/>
        <v>1.0682447123141398E-12</v>
      </c>
      <c r="CW171" s="22">
        <f t="shared" si="174"/>
        <v>1.978932943548152E-12</v>
      </c>
      <c r="CX171" s="62">
        <f t="shared" si="122"/>
        <v>293.3333333333353</v>
      </c>
      <c r="CY171" s="62">
        <f ca="1">AVERAGE(OFFSET($CX$3,0,0,'Données projet'!$E$13+1,1))-AVERAGE(OFFSET($H$3,0,0,'Données projet'!$E$13+1,1))</f>
        <v>260.02504691866199</v>
      </c>
      <c r="CZ171" s="62">
        <f t="shared" si="150"/>
        <v>270.11268336406368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0.65079204508847976</v>
      </c>
      <c r="DG171" s="23">
        <f>EXP(-LN(2)/25)*DG170+(1-EXP(-LN(2)/25))/(LN(2)/25)*Calculateur!DB171*Calculateur!DD171*VLOOKUP('Données projet'!$B$13,Paramètres!$A$1:$I$89,3,0)*0.475*44/12</f>
        <v>0.35818842383152905</v>
      </c>
      <c r="DH171" s="23">
        <f>EXP(-LN(2)/2)*DH170+(1-EXP(-LN(2)/2))/(LN(2)/2)*DB171*DE171*VLOOKUP('Données projet'!$B$13,Paramètres!$A$1:$I$89,3,0)*0.475*44/12</f>
        <v>1.074031161100607E-20</v>
      </c>
      <c r="DI171" s="24">
        <f t="shared" si="175"/>
        <v>1.0089804689200088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-1.7053025658242404E-13</v>
      </c>
      <c r="DP171" s="18">
        <f>DO171*VLOOKUP('Données projet'!$B$14,Paramètres!$A$1:$I$89,3,0)*VLOOKUP('Données projet'!$B$14,Paramètres!$A$1:$I$89,5,0)</f>
        <v>-1.3567387213697657E-13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312.53381881960331</v>
      </c>
      <c r="DU171" s="62">
        <f t="shared" si="152"/>
        <v>342.06887933351783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5.4978954722173515E-14</v>
      </c>
      <c r="EL171" s="14">
        <f t="shared" si="179"/>
        <v>8.8550225887742724E-13</v>
      </c>
      <c r="EM171" s="22">
        <f t="shared" si="180"/>
        <v>1.6380047803526383E-12</v>
      </c>
      <c r="EN171" s="62">
        <f t="shared" si="128"/>
        <v>293.33333333333496</v>
      </c>
      <c r="EO171" s="62">
        <f ca="1">AVERAGE(OFFSET($EN$3,0,0,'Données projet'!$E$15+1,1))-AVERAGE(OFFSET($H$3,0,0,'Données projet'!$E$15+1,1))</f>
        <v>255.59755832175625</v>
      </c>
      <c r="EP171" s="62">
        <f t="shared" si="154"/>
        <v>154.0840647586964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197.08445731383847</v>
      </c>
      <c r="FK171" s="62">
        <f t="shared" si="156"/>
        <v>157.12482557016511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428.8489304403459</v>
      </c>
      <c r="T172" s="62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475.47920969424894</v>
      </c>
      <c r="AO172" s="62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2.8421709430404007E-13</v>
      </c>
      <c r="BE172" s="14">
        <f>BD172*VLOOKUP('Données projet'!$B$11,Paramètres!$A$1:$I$89,3,0)*VLOOKUP('Données projet'!$B$11,Paramètres!$A$1:$I$89,5,0)</f>
        <v>1.3301360013429075E-13</v>
      </c>
      <c r="BF172" s="14">
        <f t="shared" si="167"/>
        <v>1.9329766731057041E-12</v>
      </c>
      <c r="BG172" s="22">
        <f t="shared" si="168"/>
        <v>3.5982663925596575E-12</v>
      </c>
      <c r="BH172" s="62">
        <f t="shared" si="116"/>
        <v>293.3333333333369</v>
      </c>
      <c r="BI172" s="62">
        <f ca="1">AVERAGE(OFFSET($BH$3,0,0,'Données projet'!$E$11+1,1))-AVERAGE(OFFSET($H$3,0,0,'Données projet'!$E$11+1,1))</f>
        <v>246.73711856758143</v>
      </c>
      <c r="BJ172" s="62">
        <f t="shared" si="146"/>
        <v>145.54897745089966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6.3550942286383367E-14</v>
      </c>
      <c r="CA172" s="14">
        <f t="shared" si="170"/>
        <v>1.0064464192543978E-12</v>
      </c>
      <c r="CB172" s="22">
        <f t="shared" si="171"/>
        <v>1.8635787380168604E-12</v>
      </c>
      <c r="CC172" s="62">
        <f t="shared" si="119"/>
        <v>293.33333333333519</v>
      </c>
      <c r="CD172" s="62">
        <f ca="1">AVERAGE(OFFSET($CC$3,0,0,'Données projet'!$E$12+1,1))-AVERAGE(OFFSET($H$3,0,0,'Données projet'!$E$12+1,1))</f>
        <v>321.13335003345236</v>
      </c>
      <c r="CE172" s="62">
        <f t="shared" si="148"/>
        <v>301.26825075712128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0.43704384308004407</v>
      </c>
      <c r="CM172" s="23">
        <f>EXP(-LN(2)/2)*CM171+(1-EXP(-LN(2)/2))/(LN(2)/2)*CG172*CJ172*VLOOKUP('Données projet'!$B$12,Paramètres!$A$1:$I$89,3,0)*0.475*44/12</f>
        <v>1.1812566354286907E-20</v>
      </c>
      <c r="CN172" s="24">
        <f t="shared" si="172"/>
        <v>0.43704384308004407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6.7984728957526396E-14</v>
      </c>
      <c r="CV172" s="14">
        <f t="shared" si="173"/>
        <v>1.0682447123141398E-12</v>
      </c>
      <c r="CW172" s="22">
        <f t="shared" si="174"/>
        <v>1.978932943548152E-12</v>
      </c>
      <c r="CX172" s="62">
        <f t="shared" si="122"/>
        <v>293.3333333333353</v>
      </c>
      <c r="CY172" s="62">
        <f ca="1">AVERAGE(OFFSET($CX$3,0,0,'Données projet'!$E$13+1,1))-AVERAGE(OFFSET($H$3,0,0,'Données projet'!$E$13+1,1))</f>
        <v>260.02504691866199</v>
      </c>
      <c r="CZ172" s="62">
        <f t="shared" si="150"/>
        <v>270.11268336406368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0.63803041002824723</v>
      </c>
      <c r="DG172" s="23">
        <f>EXP(-LN(2)/25)*DG171+(1-EXP(-LN(2)/25))/(LN(2)/25)*Calculateur!DB172*Calculateur!DD172*VLOOKUP('Données projet'!$B$13,Paramètres!$A$1:$I$89,3,0)*0.475*44/12</f>
        <v>0.34839374254554534</v>
      </c>
      <c r="DH172" s="23">
        <f>EXP(-LN(2)/2)*DH171+(1-EXP(-LN(2)/2))/(LN(2)/2)*DB172*DE172*VLOOKUP('Données projet'!$B$13,Paramètres!$A$1:$I$89,3,0)*0.475*44/12</f>
        <v>7.5945471721990052E-21</v>
      </c>
      <c r="DI172" s="24">
        <f t="shared" si="175"/>
        <v>0.98642415257379257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-1.7053025658242404E-13</v>
      </c>
      <c r="DP172" s="18">
        <f>DO172*VLOOKUP('Données projet'!$B$14,Paramètres!$A$1:$I$89,3,0)*VLOOKUP('Données projet'!$B$14,Paramètres!$A$1:$I$89,5,0)</f>
        <v>-1.3567387213697657E-13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312.53381881960331</v>
      </c>
      <c r="DU172" s="62">
        <f t="shared" si="152"/>
        <v>342.06887933351783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5.4978954722173515E-14</v>
      </c>
      <c r="EL172" s="14">
        <f t="shared" si="179"/>
        <v>8.8550225887742724E-13</v>
      </c>
      <c r="EM172" s="22">
        <f t="shared" si="180"/>
        <v>1.6380047803526383E-12</v>
      </c>
      <c r="EN172" s="62">
        <f t="shared" si="128"/>
        <v>293.33333333333496</v>
      </c>
      <c r="EO172" s="62">
        <f ca="1">AVERAGE(OFFSET($EN$3,0,0,'Données projet'!$E$15+1,1))-AVERAGE(OFFSET($H$3,0,0,'Données projet'!$E$15+1,1))</f>
        <v>255.59755832175625</v>
      </c>
      <c r="EP172" s="62">
        <f t="shared" si="154"/>
        <v>154.0840647586964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197.08445731383847</v>
      </c>
      <c r="FK172" s="62">
        <f t="shared" si="156"/>
        <v>157.12482557016511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428.8489304403459</v>
      </c>
      <c r="T173" s="62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475.47920969424894</v>
      </c>
      <c r="AO173" s="62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2.8421709430404007E-13</v>
      </c>
      <c r="BE173" s="14">
        <f>BD173*VLOOKUP('Données projet'!$B$11,Paramètres!$A$1:$I$89,3,0)*VLOOKUP('Données projet'!$B$11,Paramètres!$A$1:$I$89,5,0)</f>
        <v>1.3301360013429075E-13</v>
      </c>
      <c r="BF173" s="14">
        <f t="shared" si="167"/>
        <v>1.9329766731057041E-12</v>
      </c>
      <c r="BG173" s="22">
        <f t="shared" si="168"/>
        <v>3.5982663925596575E-12</v>
      </c>
      <c r="BH173" s="62">
        <f t="shared" si="116"/>
        <v>293.3333333333369</v>
      </c>
      <c r="BI173" s="62">
        <f ca="1">AVERAGE(OFFSET($BH$3,0,0,'Données projet'!$E$11+1,1))-AVERAGE(OFFSET($H$3,0,0,'Données projet'!$E$11+1,1))</f>
        <v>246.73711856758143</v>
      </c>
      <c r="BJ173" s="62">
        <f t="shared" si="146"/>
        <v>145.54897745089966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6.3550942286383367E-14</v>
      </c>
      <c r="CA173" s="14">
        <f t="shared" si="170"/>
        <v>1.0064464192543978E-12</v>
      </c>
      <c r="CB173" s="22">
        <f t="shared" si="171"/>
        <v>1.8635787380168604E-12</v>
      </c>
      <c r="CC173" s="62">
        <f t="shared" si="119"/>
        <v>293.33333333333519</v>
      </c>
      <c r="CD173" s="62">
        <f ca="1">AVERAGE(OFFSET($CC$3,0,0,'Données projet'!$E$12+1,1))-AVERAGE(OFFSET($H$3,0,0,'Données projet'!$E$12+1,1))</f>
        <v>321.13335003345236</v>
      </c>
      <c r="CE173" s="62">
        <f t="shared" si="148"/>
        <v>301.26825075712128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0.42509285620788345</v>
      </c>
      <c r="CM173" s="23">
        <f>EXP(-LN(2)/2)*CM172+(1-EXP(-LN(2)/2))/(LN(2)/2)*CG173*CJ173*VLOOKUP('Données projet'!$B$12,Paramètres!$A$1:$I$89,3,0)*0.475*44/12</f>
        <v>8.3527457723323253E-21</v>
      </c>
      <c r="CN173" s="24">
        <f t="shared" si="172"/>
        <v>0.42509285620788345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6.7984728957526396E-14</v>
      </c>
      <c r="CV173" s="14">
        <f t="shared" si="173"/>
        <v>1.0682447123141398E-12</v>
      </c>
      <c r="CW173" s="22">
        <f t="shared" si="174"/>
        <v>1.978932943548152E-12</v>
      </c>
      <c r="CX173" s="62">
        <f t="shared" si="122"/>
        <v>293.3333333333353</v>
      </c>
      <c r="CY173" s="62">
        <f ca="1">AVERAGE(OFFSET($CX$3,0,0,'Données projet'!$E$13+1,1))-AVERAGE(OFFSET($H$3,0,0,'Données projet'!$E$13+1,1))</f>
        <v>260.02504691866199</v>
      </c>
      <c r="CZ173" s="62">
        <f t="shared" si="150"/>
        <v>270.11268336406368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0.6255190228477171</v>
      </c>
      <c r="DG173" s="23">
        <f>EXP(-LN(2)/25)*DG172+(1-EXP(-LN(2)/25))/(LN(2)/25)*Calculateur!DB173*Calculateur!DD173*VLOOKUP('Données projet'!$B$13,Paramètres!$A$1:$I$89,3,0)*0.475*44/12</f>
        <v>0.33886689733440672</v>
      </c>
      <c r="DH173" s="23">
        <f>EXP(-LN(2)/2)*DH172+(1-EXP(-LN(2)/2))/(LN(2)/2)*DB173*DE173*VLOOKUP('Données projet'!$B$13,Paramètres!$A$1:$I$89,3,0)*0.475*44/12</f>
        <v>5.3701558055030352E-21</v>
      </c>
      <c r="DI173" s="24">
        <f t="shared" si="175"/>
        <v>0.96438592018212388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-1.7053025658242404E-13</v>
      </c>
      <c r="DP173" s="18">
        <f>DO173*VLOOKUP('Données projet'!$B$14,Paramètres!$A$1:$I$89,3,0)*VLOOKUP('Données projet'!$B$14,Paramètres!$A$1:$I$89,5,0)</f>
        <v>-1.3567387213697657E-13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312.53381881960331</v>
      </c>
      <c r="DU173" s="62">
        <f t="shared" si="152"/>
        <v>342.06887933351783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5.4978954722173515E-14</v>
      </c>
      <c r="EL173" s="14">
        <f t="shared" si="179"/>
        <v>8.8550225887742724E-13</v>
      </c>
      <c r="EM173" s="22">
        <f t="shared" si="180"/>
        <v>1.6380047803526383E-12</v>
      </c>
      <c r="EN173" s="62">
        <f t="shared" si="128"/>
        <v>293.33333333333496</v>
      </c>
      <c r="EO173" s="62">
        <f ca="1">AVERAGE(OFFSET($EN$3,0,0,'Données projet'!$E$15+1,1))-AVERAGE(OFFSET($H$3,0,0,'Données projet'!$E$15+1,1))</f>
        <v>255.59755832175625</v>
      </c>
      <c r="EP173" s="62">
        <f t="shared" si="154"/>
        <v>154.0840647586964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197.08445731383847</v>
      </c>
      <c r="FK173" s="62">
        <f t="shared" si="156"/>
        <v>157.12482557016511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428.8489304403459</v>
      </c>
      <c r="T174" s="62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475.47920969424894</v>
      </c>
      <c r="AO174" s="62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2.8421709430404007E-13</v>
      </c>
      <c r="BE174" s="14">
        <f>BD174*VLOOKUP('Données projet'!$B$11,Paramètres!$A$1:$I$89,3,0)*VLOOKUP('Données projet'!$B$11,Paramètres!$A$1:$I$89,5,0)</f>
        <v>1.3301360013429075E-13</v>
      </c>
      <c r="BF174" s="14">
        <f t="shared" si="167"/>
        <v>1.9329766731057041E-12</v>
      </c>
      <c r="BG174" s="22">
        <f t="shared" si="168"/>
        <v>3.5982663925596575E-12</v>
      </c>
      <c r="BH174" s="62">
        <f t="shared" si="116"/>
        <v>293.3333333333369</v>
      </c>
      <c r="BI174" s="62">
        <f ca="1">AVERAGE(OFFSET($BH$3,0,0,'Données projet'!$E$11+1,1))-AVERAGE(OFFSET($H$3,0,0,'Données projet'!$E$11+1,1))</f>
        <v>246.73711856758143</v>
      </c>
      <c r="BJ174" s="62">
        <f t="shared" si="146"/>
        <v>145.54897745089966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6.3550942286383367E-14</v>
      </c>
      <c r="CA174" s="14">
        <f t="shared" si="170"/>
        <v>1.0064464192543978E-12</v>
      </c>
      <c r="CB174" s="22">
        <f t="shared" si="171"/>
        <v>1.8635787380168604E-12</v>
      </c>
      <c r="CC174" s="62">
        <f t="shared" si="119"/>
        <v>293.33333333333519</v>
      </c>
      <c r="CD174" s="62">
        <f ca="1">AVERAGE(OFFSET($CC$3,0,0,'Données projet'!$E$12+1,1))-AVERAGE(OFFSET($H$3,0,0,'Données projet'!$E$12+1,1))</f>
        <v>321.13335003345236</v>
      </c>
      <c r="CE174" s="62">
        <f t="shared" si="148"/>
        <v>301.26825075712128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0.41346866970021712</v>
      </c>
      <c r="CM174" s="23">
        <f>EXP(-LN(2)/2)*CM173+(1-EXP(-LN(2)/2))/(LN(2)/2)*CG174*CJ174*VLOOKUP('Données projet'!$B$12,Paramètres!$A$1:$I$89,3,0)*0.475*44/12</f>
        <v>5.9062831771434535E-21</v>
      </c>
      <c r="CN174" s="24">
        <f t="shared" si="172"/>
        <v>0.41346866970021712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6.7984728957526396E-14</v>
      </c>
      <c r="CV174" s="14">
        <f t="shared" si="173"/>
        <v>1.0682447123141398E-12</v>
      </c>
      <c r="CW174" s="22">
        <f t="shared" si="174"/>
        <v>1.978932943548152E-12</v>
      </c>
      <c r="CX174" s="62">
        <f t="shared" si="122"/>
        <v>293.3333333333353</v>
      </c>
      <c r="CY174" s="62">
        <f ca="1">AVERAGE(OFFSET($CX$3,0,0,'Données projet'!$E$13+1,1))-AVERAGE(OFFSET($H$3,0,0,'Données projet'!$E$13+1,1))</f>
        <v>260.02504691866199</v>
      </c>
      <c r="CZ174" s="62">
        <f t="shared" si="150"/>
        <v>270.11268336406368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0.61325297633860443</v>
      </c>
      <c r="DG174" s="23">
        <f>EXP(-LN(2)/25)*DG173+(1-EXP(-LN(2)/25))/(LN(2)/25)*Calculateur!DB174*Calculateur!DD174*VLOOKUP('Données projet'!$B$13,Paramètres!$A$1:$I$89,3,0)*0.475*44/12</f>
        <v>0.32960056420656175</v>
      </c>
      <c r="DH174" s="23">
        <f>EXP(-LN(2)/2)*DH173+(1-EXP(-LN(2)/2))/(LN(2)/2)*DB174*DE174*VLOOKUP('Données projet'!$B$13,Paramètres!$A$1:$I$89,3,0)*0.475*44/12</f>
        <v>3.7972735860995026E-21</v>
      </c>
      <c r="DI174" s="24">
        <f t="shared" si="175"/>
        <v>0.94285354054516612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-1.7053025658242404E-13</v>
      </c>
      <c r="DP174" s="18">
        <f>DO174*VLOOKUP('Données projet'!$B$14,Paramètres!$A$1:$I$89,3,0)*VLOOKUP('Données projet'!$B$14,Paramètres!$A$1:$I$89,5,0)</f>
        <v>-1.3567387213697657E-13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312.53381881960331</v>
      </c>
      <c r="DU174" s="62">
        <f t="shared" si="152"/>
        <v>342.06887933351783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5.4978954722173515E-14</v>
      </c>
      <c r="EL174" s="14">
        <f t="shared" si="179"/>
        <v>8.8550225887742724E-13</v>
      </c>
      <c r="EM174" s="22">
        <f t="shared" si="180"/>
        <v>1.6380047803526383E-12</v>
      </c>
      <c r="EN174" s="62">
        <f t="shared" si="128"/>
        <v>293.33333333333496</v>
      </c>
      <c r="EO174" s="62">
        <f ca="1">AVERAGE(OFFSET($EN$3,0,0,'Données projet'!$E$15+1,1))-AVERAGE(OFFSET($H$3,0,0,'Données projet'!$E$15+1,1))</f>
        <v>255.59755832175625</v>
      </c>
      <c r="EP174" s="62">
        <f t="shared" si="154"/>
        <v>154.0840647586964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197.08445731383847</v>
      </c>
      <c r="FK174" s="62">
        <f t="shared" si="156"/>
        <v>157.12482557016511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428.8489304403459</v>
      </c>
      <c r="T175" s="62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475.47920969424894</v>
      </c>
      <c r="AO175" s="62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2.8421709430404007E-13</v>
      </c>
      <c r="BE175" s="14">
        <f>BD175*VLOOKUP('Données projet'!$B$11,Paramètres!$A$1:$I$89,3,0)*VLOOKUP('Données projet'!$B$11,Paramètres!$A$1:$I$89,5,0)</f>
        <v>1.3301360013429075E-13</v>
      </c>
      <c r="BF175" s="14">
        <f t="shared" si="167"/>
        <v>1.9329766731057041E-12</v>
      </c>
      <c r="BG175" s="22">
        <f t="shared" si="168"/>
        <v>3.5982663925596575E-12</v>
      </c>
      <c r="BH175" s="62">
        <f t="shared" si="116"/>
        <v>293.3333333333369</v>
      </c>
      <c r="BI175" s="62">
        <f ca="1">AVERAGE(OFFSET($BH$3,0,0,'Données projet'!$E$11+1,1))-AVERAGE(OFFSET($H$3,0,0,'Données projet'!$E$11+1,1))</f>
        <v>246.73711856758143</v>
      </c>
      <c r="BJ175" s="62">
        <f t="shared" si="146"/>
        <v>145.54897745089966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6.3550942286383367E-14</v>
      </c>
      <c r="CA175" s="14">
        <f t="shared" si="170"/>
        <v>1.0064464192543978E-12</v>
      </c>
      <c r="CB175" s="22">
        <f t="shared" si="171"/>
        <v>1.8635787380168604E-12</v>
      </c>
      <c r="CC175" s="62">
        <f t="shared" si="119"/>
        <v>293.33333333333519</v>
      </c>
      <c r="CD175" s="62">
        <f ca="1">AVERAGE(OFFSET($CC$3,0,0,'Données projet'!$E$12+1,1))-AVERAGE(OFFSET($H$3,0,0,'Données projet'!$E$12+1,1))</f>
        <v>321.13335003345236</v>
      </c>
      <c r="CE175" s="62">
        <f t="shared" si="148"/>
        <v>301.26825075712128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0.40216234718389232</v>
      </c>
      <c r="CM175" s="23">
        <f>EXP(-LN(2)/2)*CM174+(1-EXP(-LN(2)/2))/(LN(2)/2)*CG175*CJ175*VLOOKUP('Données projet'!$B$12,Paramètres!$A$1:$I$89,3,0)*0.475*44/12</f>
        <v>4.1763728861661627E-21</v>
      </c>
      <c r="CN175" s="24">
        <f t="shared" si="172"/>
        <v>0.40216234718389232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6.7984728957526396E-14</v>
      </c>
      <c r="CV175" s="14">
        <f t="shared" si="173"/>
        <v>1.0682447123141398E-12</v>
      </c>
      <c r="CW175" s="22">
        <f t="shared" si="174"/>
        <v>1.978932943548152E-12</v>
      </c>
      <c r="CX175" s="62">
        <f t="shared" si="122"/>
        <v>293.3333333333353</v>
      </c>
      <c r="CY175" s="62">
        <f ca="1">AVERAGE(OFFSET($CX$3,0,0,'Données projet'!$E$13+1,1))-AVERAGE(OFFSET($H$3,0,0,'Données projet'!$E$13+1,1))</f>
        <v>260.02504691866199</v>
      </c>
      <c r="CZ175" s="62">
        <f t="shared" si="150"/>
        <v>270.11268336406368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0.6012274595199858</v>
      </c>
      <c r="DG175" s="23">
        <f>EXP(-LN(2)/25)*DG174+(1-EXP(-LN(2)/25))/(LN(2)/25)*Calculateur!DB175*Calculateur!DD175*VLOOKUP('Données projet'!$B$13,Paramètres!$A$1:$I$89,3,0)*0.475*44/12</f>
        <v>0.32058761944539294</v>
      </c>
      <c r="DH175" s="23">
        <f>EXP(-LN(2)/2)*DH174+(1-EXP(-LN(2)/2))/(LN(2)/2)*DB175*DE175*VLOOKUP('Données projet'!$B$13,Paramètres!$A$1:$I$89,3,0)*0.475*44/12</f>
        <v>2.6850779027515176E-21</v>
      </c>
      <c r="DI175" s="24">
        <f t="shared" si="175"/>
        <v>0.92181507896537873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-1.7053025658242404E-13</v>
      </c>
      <c r="DP175" s="18">
        <f>DO175*VLOOKUP('Données projet'!$B$14,Paramètres!$A$1:$I$89,3,0)*VLOOKUP('Données projet'!$B$14,Paramètres!$A$1:$I$89,5,0)</f>
        <v>-1.3567387213697657E-13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312.53381881960331</v>
      </c>
      <c r="DU175" s="62">
        <f t="shared" si="152"/>
        <v>342.06887933351783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5.4978954722173515E-14</v>
      </c>
      <c r="EL175" s="14">
        <f t="shared" si="179"/>
        <v>8.8550225887742724E-13</v>
      </c>
      <c r="EM175" s="22">
        <f t="shared" si="180"/>
        <v>1.6380047803526383E-12</v>
      </c>
      <c r="EN175" s="62">
        <f t="shared" si="128"/>
        <v>293.33333333333496</v>
      </c>
      <c r="EO175" s="62">
        <f ca="1">AVERAGE(OFFSET($EN$3,0,0,'Données projet'!$E$15+1,1))-AVERAGE(OFFSET($H$3,0,0,'Données projet'!$E$15+1,1))</f>
        <v>255.59755832175625</v>
      </c>
      <c r="EP175" s="62">
        <f t="shared" si="154"/>
        <v>154.0840647586964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197.08445731383847</v>
      </c>
      <c r="FK175" s="62">
        <f t="shared" si="156"/>
        <v>157.12482557016511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428.8489304403459</v>
      </c>
      <c r="T176" s="62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475.47920969424894</v>
      </c>
      <c r="AO176" s="62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2.8421709430404007E-13</v>
      </c>
      <c r="BE176" s="14">
        <f>BD176*VLOOKUP('Données projet'!$B$11,Paramètres!$A$1:$I$89,3,0)*VLOOKUP('Données projet'!$B$11,Paramètres!$A$1:$I$89,5,0)</f>
        <v>1.3301360013429075E-13</v>
      </c>
      <c r="BF176" s="14">
        <f t="shared" si="167"/>
        <v>1.9329766731057041E-12</v>
      </c>
      <c r="BG176" s="22">
        <f t="shared" si="168"/>
        <v>3.5982663925596575E-12</v>
      </c>
      <c r="BH176" s="62">
        <f t="shared" si="116"/>
        <v>293.3333333333369</v>
      </c>
      <c r="BI176" s="62">
        <f ca="1">AVERAGE(OFFSET($BH$3,0,0,'Données projet'!$E$11+1,1))-AVERAGE(OFFSET($H$3,0,0,'Données projet'!$E$11+1,1))</f>
        <v>246.73711856758143</v>
      </c>
      <c r="BJ176" s="62">
        <f t="shared" si="146"/>
        <v>145.54897745089966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6.3550942286383367E-14</v>
      </c>
      <c r="CA176" s="14">
        <f t="shared" si="170"/>
        <v>1.0064464192543978E-12</v>
      </c>
      <c r="CB176" s="22">
        <f t="shared" si="171"/>
        <v>1.8635787380168604E-12</v>
      </c>
      <c r="CC176" s="62">
        <f t="shared" si="119"/>
        <v>293.33333333333519</v>
      </c>
      <c r="CD176" s="62">
        <f ca="1">AVERAGE(OFFSET($CC$3,0,0,'Données projet'!$E$12+1,1))-AVERAGE(OFFSET($H$3,0,0,'Données projet'!$E$12+1,1))</f>
        <v>321.13335003345236</v>
      </c>
      <c r="CE176" s="62">
        <f t="shared" si="148"/>
        <v>301.26825075712128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0.39116519665135008</v>
      </c>
      <c r="CM176" s="23">
        <f>EXP(-LN(2)/2)*CM175+(1-EXP(-LN(2)/2))/(LN(2)/2)*CG176*CJ176*VLOOKUP('Données projet'!$B$12,Paramètres!$A$1:$I$89,3,0)*0.475*44/12</f>
        <v>2.9531415885717268E-21</v>
      </c>
      <c r="CN176" s="24">
        <f t="shared" si="172"/>
        <v>0.39116519665135008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6.7984728957526396E-14</v>
      </c>
      <c r="CV176" s="14">
        <f t="shared" si="173"/>
        <v>1.0682447123141398E-12</v>
      </c>
      <c r="CW176" s="22">
        <f t="shared" si="174"/>
        <v>1.978932943548152E-12</v>
      </c>
      <c r="CX176" s="62">
        <f t="shared" si="122"/>
        <v>293.3333333333353</v>
      </c>
      <c r="CY176" s="62">
        <f ca="1">AVERAGE(OFFSET($CX$3,0,0,'Données projet'!$E$13+1,1))-AVERAGE(OFFSET($H$3,0,0,'Données projet'!$E$13+1,1))</f>
        <v>260.02504691866199</v>
      </c>
      <c r="CZ176" s="62">
        <f t="shared" si="150"/>
        <v>270.11268336406368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0.58943775575133928</v>
      </c>
      <c r="DG176" s="23">
        <f>EXP(-LN(2)/25)*DG175+(1-EXP(-LN(2)/25))/(LN(2)/25)*Calculateur!DB176*Calculateur!DD176*VLOOKUP('Données projet'!$B$13,Paramètres!$A$1:$I$89,3,0)*0.475*44/12</f>
        <v>0.31182113413268847</v>
      </c>
      <c r="DH176" s="23">
        <f>EXP(-LN(2)/2)*DH175+(1-EXP(-LN(2)/2))/(LN(2)/2)*DB176*DE176*VLOOKUP('Données projet'!$B$13,Paramètres!$A$1:$I$89,3,0)*0.475*44/12</f>
        <v>1.8986367930497513E-21</v>
      </c>
      <c r="DI176" s="24">
        <f t="shared" si="175"/>
        <v>0.90125888988402769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-1.7053025658242404E-13</v>
      </c>
      <c r="DP176" s="18">
        <f>DO176*VLOOKUP('Données projet'!$B$14,Paramètres!$A$1:$I$89,3,0)*VLOOKUP('Données projet'!$B$14,Paramètres!$A$1:$I$89,5,0)</f>
        <v>-1.3567387213697657E-13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312.53381881960331</v>
      </c>
      <c r="DU176" s="62">
        <f t="shared" si="152"/>
        <v>342.06887933351783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5.4978954722173515E-14</v>
      </c>
      <c r="EL176" s="14">
        <f t="shared" si="179"/>
        <v>8.8550225887742724E-13</v>
      </c>
      <c r="EM176" s="22">
        <f t="shared" si="180"/>
        <v>1.6380047803526383E-12</v>
      </c>
      <c r="EN176" s="62">
        <f t="shared" si="128"/>
        <v>293.33333333333496</v>
      </c>
      <c r="EO176" s="62">
        <f ca="1">AVERAGE(OFFSET($EN$3,0,0,'Données projet'!$E$15+1,1))-AVERAGE(OFFSET($H$3,0,0,'Données projet'!$E$15+1,1))</f>
        <v>255.59755832175625</v>
      </c>
      <c r="EP176" s="62">
        <f t="shared" si="154"/>
        <v>154.0840647586964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197.08445731383847</v>
      </c>
      <c r="FK176" s="62">
        <f t="shared" si="156"/>
        <v>157.12482557016511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428.8489304403459</v>
      </c>
      <c r="T177" s="62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475.47920969424894</v>
      </c>
      <c r="AO177" s="62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2.8421709430404007E-13</v>
      </c>
      <c r="BE177" s="14">
        <f>BD177*VLOOKUP('Données projet'!$B$11,Paramètres!$A$1:$I$89,3,0)*VLOOKUP('Données projet'!$B$11,Paramètres!$A$1:$I$89,5,0)</f>
        <v>1.3301360013429075E-13</v>
      </c>
      <c r="BF177" s="14">
        <f t="shared" si="167"/>
        <v>1.9329766731057041E-12</v>
      </c>
      <c r="BG177" s="22">
        <f t="shared" si="168"/>
        <v>3.5982663925596575E-12</v>
      </c>
      <c r="BH177" s="62">
        <f t="shared" si="116"/>
        <v>293.3333333333369</v>
      </c>
      <c r="BI177" s="62">
        <f ca="1">AVERAGE(OFFSET($BH$3,0,0,'Données projet'!$E$11+1,1))-AVERAGE(OFFSET($H$3,0,0,'Données projet'!$E$11+1,1))</f>
        <v>246.73711856758143</v>
      </c>
      <c r="BJ177" s="62">
        <f t="shared" si="146"/>
        <v>145.54897745089966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6.3550942286383367E-14</v>
      </c>
      <c r="CA177" s="14">
        <f t="shared" si="170"/>
        <v>1.0064464192543978E-12</v>
      </c>
      <c r="CB177" s="22">
        <f t="shared" si="171"/>
        <v>1.8635787380168604E-12</v>
      </c>
      <c r="CC177" s="62">
        <f t="shared" si="119"/>
        <v>293.33333333333519</v>
      </c>
      <c r="CD177" s="62">
        <f ca="1">AVERAGE(OFFSET($CC$3,0,0,'Données projet'!$E$12+1,1))-AVERAGE(OFFSET($H$3,0,0,'Données projet'!$E$12+1,1))</f>
        <v>321.13335003345236</v>
      </c>
      <c r="CE177" s="62">
        <f t="shared" si="148"/>
        <v>301.26825075712128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0.38046876377843525</v>
      </c>
      <c r="CM177" s="23">
        <f>EXP(-LN(2)/2)*CM176+(1-EXP(-LN(2)/2))/(LN(2)/2)*CG177*CJ177*VLOOKUP('Données projet'!$B$12,Paramètres!$A$1:$I$89,3,0)*0.475*44/12</f>
        <v>2.0881864430830813E-21</v>
      </c>
      <c r="CN177" s="24">
        <f t="shared" si="172"/>
        <v>0.38046876377843525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6.7984728957526396E-14</v>
      </c>
      <c r="CV177" s="14">
        <f t="shared" si="173"/>
        <v>1.0682447123141398E-12</v>
      </c>
      <c r="CW177" s="22">
        <f t="shared" si="174"/>
        <v>1.978932943548152E-12</v>
      </c>
      <c r="CX177" s="62">
        <f t="shared" si="122"/>
        <v>293.3333333333353</v>
      </c>
      <c r="CY177" s="62">
        <f ca="1">AVERAGE(OFFSET($CX$3,0,0,'Données projet'!$E$13+1,1))-AVERAGE(OFFSET($H$3,0,0,'Données projet'!$E$13+1,1))</f>
        <v>260.02504691866199</v>
      </c>
      <c r="CZ177" s="62">
        <f t="shared" si="150"/>
        <v>270.11268336406368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0.57787924088258669</v>
      </c>
      <c r="DG177" s="23">
        <f>EXP(-LN(2)/25)*DG176+(1-EXP(-LN(2)/25))/(LN(2)/25)*Calculateur!DB177*Calculateur!DD177*VLOOKUP('Données projet'!$B$13,Paramètres!$A$1:$I$89,3,0)*0.475*44/12</f>
        <v>0.30329436882186933</v>
      </c>
      <c r="DH177" s="23">
        <f>EXP(-LN(2)/2)*DH176+(1-EXP(-LN(2)/2))/(LN(2)/2)*DB177*DE177*VLOOKUP('Données projet'!$B$13,Paramètres!$A$1:$I$89,3,0)*0.475*44/12</f>
        <v>1.3425389513757588E-21</v>
      </c>
      <c r="DI177" s="24">
        <f t="shared" si="175"/>
        <v>0.88117360970445602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-1.7053025658242404E-13</v>
      </c>
      <c r="DP177" s="18">
        <f>DO177*VLOOKUP('Données projet'!$B$14,Paramètres!$A$1:$I$89,3,0)*VLOOKUP('Données projet'!$B$14,Paramètres!$A$1:$I$89,5,0)</f>
        <v>-1.3567387213697657E-13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312.53381881960331</v>
      </c>
      <c r="DU177" s="62">
        <f t="shared" si="152"/>
        <v>342.06887933351783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5.4978954722173515E-14</v>
      </c>
      <c r="EL177" s="14">
        <f t="shared" si="179"/>
        <v>8.8550225887742724E-13</v>
      </c>
      <c r="EM177" s="22">
        <f t="shared" si="180"/>
        <v>1.6380047803526383E-12</v>
      </c>
      <c r="EN177" s="62">
        <f t="shared" si="128"/>
        <v>293.33333333333496</v>
      </c>
      <c r="EO177" s="62">
        <f ca="1">AVERAGE(OFFSET($EN$3,0,0,'Données projet'!$E$15+1,1))-AVERAGE(OFFSET($H$3,0,0,'Données projet'!$E$15+1,1))</f>
        <v>255.59755832175625</v>
      </c>
      <c r="EP177" s="62">
        <f t="shared" si="154"/>
        <v>154.0840647586964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197.08445731383847</v>
      </c>
      <c r="FK177" s="62">
        <f t="shared" si="156"/>
        <v>157.12482557016511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428.8489304403459</v>
      </c>
      <c r="T178" s="62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475.47920969424894</v>
      </c>
      <c r="AO178" s="62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2.8421709430404007E-13</v>
      </c>
      <c r="BE178" s="14">
        <f>BD178*VLOOKUP('Données projet'!$B$11,Paramètres!$A$1:$I$89,3,0)*VLOOKUP('Données projet'!$B$11,Paramètres!$A$1:$I$89,5,0)</f>
        <v>1.3301360013429075E-13</v>
      </c>
      <c r="BF178" s="14">
        <f t="shared" si="167"/>
        <v>1.9329766731057041E-12</v>
      </c>
      <c r="BG178" s="22">
        <f t="shared" si="168"/>
        <v>3.5982663925596575E-12</v>
      </c>
      <c r="BH178" s="62">
        <f t="shared" si="116"/>
        <v>293.3333333333369</v>
      </c>
      <c r="BI178" s="62">
        <f ca="1">AVERAGE(OFFSET($BH$3,0,0,'Données projet'!$E$11+1,1))-AVERAGE(OFFSET($H$3,0,0,'Données projet'!$E$11+1,1))</f>
        <v>246.73711856758143</v>
      </c>
      <c r="BJ178" s="62">
        <f t="shared" si="146"/>
        <v>145.54897745089966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6.3550942286383367E-14</v>
      </c>
      <c r="CA178" s="14">
        <f t="shared" si="170"/>
        <v>1.0064464192543978E-12</v>
      </c>
      <c r="CB178" s="22">
        <f t="shared" si="171"/>
        <v>1.8635787380168604E-12</v>
      </c>
      <c r="CC178" s="62">
        <f t="shared" si="119"/>
        <v>293.33333333333519</v>
      </c>
      <c r="CD178" s="62">
        <f ca="1">AVERAGE(OFFSET($CC$3,0,0,'Données projet'!$E$12+1,1))-AVERAGE(OFFSET($H$3,0,0,'Données projet'!$E$12+1,1))</f>
        <v>321.13335003345236</v>
      </c>
      <c r="CE178" s="62">
        <f t="shared" si="148"/>
        <v>301.26825075712128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0.37006482542493124</v>
      </c>
      <c r="CM178" s="23">
        <f>EXP(-LN(2)/2)*CM177+(1-EXP(-LN(2)/2))/(LN(2)/2)*CG178*CJ178*VLOOKUP('Données projet'!$B$12,Paramètres!$A$1:$I$89,3,0)*0.475*44/12</f>
        <v>1.4765707942858634E-21</v>
      </c>
      <c r="CN178" s="24">
        <f t="shared" si="172"/>
        <v>0.37006482542493124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6.7984728957526396E-14</v>
      </c>
      <c r="CV178" s="14">
        <f t="shared" si="173"/>
        <v>1.0682447123141398E-12</v>
      </c>
      <c r="CW178" s="22">
        <f t="shared" si="174"/>
        <v>1.978932943548152E-12</v>
      </c>
      <c r="CX178" s="62">
        <f t="shared" si="122"/>
        <v>293.3333333333353</v>
      </c>
      <c r="CY178" s="62">
        <f ca="1">AVERAGE(OFFSET($CX$3,0,0,'Données projet'!$E$13+1,1))-AVERAGE(OFFSET($H$3,0,0,'Données projet'!$E$13+1,1))</f>
        <v>260.02504691866199</v>
      </c>
      <c r="CZ178" s="62">
        <f t="shared" si="150"/>
        <v>270.11268336406368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0.56654738144041239</v>
      </c>
      <c r="DG178" s="23">
        <f>EXP(-LN(2)/25)*DG177+(1-EXP(-LN(2)/25))/(LN(2)/25)*Calculateur!DB178*Calculateur!DD178*VLOOKUP('Données projet'!$B$13,Paramètres!$A$1:$I$89,3,0)*0.475*44/12</f>
        <v>0.29500076835687766</v>
      </c>
      <c r="DH178" s="23">
        <f>EXP(-LN(2)/2)*DH177+(1-EXP(-LN(2)/2))/(LN(2)/2)*DB178*DE178*VLOOKUP('Données projet'!$B$13,Paramètres!$A$1:$I$89,3,0)*0.475*44/12</f>
        <v>9.4931839652487565E-22</v>
      </c>
      <c r="DI178" s="24">
        <f t="shared" si="175"/>
        <v>0.86154814979729011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-1.7053025658242404E-13</v>
      </c>
      <c r="DP178" s="18">
        <f>DO178*VLOOKUP('Données projet'!$B$14,Paramètres!$A$1:$I$89,3,0)*VLOOKUP('Données projet'!$B$14,Paramètres!$A$1:$I$89,5,0)</f>
        <v>-1.3567387213697657E-13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312.53381881960331</v>
      </c>
      <c r="DU178" s="62">
        <f t="shared" si="152"/>
        <v>342.06887933351783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5.4978954722173515E-14</v>
      </c>
      <c r="EL178" s="14">
        <f t="shared" si="179"/>
        <v>8.8550225887742724E-13</v>
      </c>
      <c r="EM178" s="22">
        <f t="shared" si="180"/>
        <v>1.6380047803526383E-12</v>
      </c>
      <c r="EN178" s="62">
        <f t="shared" si="128"/>
        <v>293.33333333333496</v>
      </c>
      <c r="EO178" s="62">
        <f ca="1">AVERAGE(OFFSET($EN$3,0,0,'Données projet'!$E$15+1,1))-AVERAGE(OFFSET($H$3,0,0,'Données projet'!$E$15+1,1))</f>
        <v>255.59755832175625</v>
      </c>
      <c r="EP178" s="62">
        <f t="shared" si="154"/>
        <v>154.0840647586964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197.08445731383847</v>
      </c>
      <c r="FK178" s="62">
        <f t="shared" si="156"/>
        <v>157.12482557016511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428.8489304403459</v>
      </c>
      <c r="T179" s="62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475.47920969424894</v>
      </c>
      <c r="AO179" s="62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2.8421709430404007E-13</v>
      </c>
      <c r="BE179" s="14">
        <f>BD179*VLOOKUP('Données projet'!$B$11,Paramètres!$A$1:$I$89,3,0)*VLOOKUP('Données projet'!$B$11,Paramètres!$A$1:$I$89,5,0)</f>
        <v>1.3301360013429075E-13</v>
      </c>
      <c r="BF179" s="14">
        <f t="shared" si="167"/>
        <v>1.9329766731057041E-12</v>
      </c>
      <c r="BG179" s="22">
        <f t="shared" si="168"/>
        <v>3.5982663925596575E-12</v>
      </c>
      <c r="BH179" s="62">
        <f t="shared" si="116"/>
        <v>293.3333333333369</v>
      </c>
      <c r="BI179" s="62">
        <f ca="1">AVERAGE(OFFSET($BH$3,0,0,'Données projet'!$E$11+1,1))-AVERAGE(OFFSET($H$3,0,0,'Données projet'!$E$11+1,1))</f>
        <v>246.73711856758143</v>
      </c>
      <c r="BJ179" s="62">
        <f t="shared" si="146"/>
        <v>145.54897745089966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6.3550942286383367E-14</v>
      </c>
      <c r="CA179" s="14">
        <f t="shared" si="170"/>
        <v>1.0064464192543978E-12</v>
      </c>
      <c r="CB179" s="22">
        <f t="shared" si="171"/>
        <v>1.8635787380168604E-12</v>
      </c>
      <c r="CC179" s="62">
        <f t="shared" si="119"/>
        <v>293.33333333333519</v>
      </c>
      <c r="CD179" s="62">
        <f ca="1">AVERAGE(OFFSET($CC$3,0,0,'Données projet'!$E$12+1,1))-AVERAGE(OFFSET($H$3,0,0,'Données projet'!$E$12+1,1))</f>
        <v>321.13335003345236</v>
      </c>
      <c r="CE179" s="62">
        <f t="shared" si="148"/>
        <v>301.26825075712128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0.35994538331282311</v>
      </c>
      <c r="CM179" s="23">
        <f>EXP(-LN(2)/2)*CM178+(1-EXP(-LN(2)/2))/(LN(2)/2)*CG179*CJ179*VLOOKUP('Données projet'!$B$12,Paramètres!$A$1:$I$89,3,0)*0.475*44/12</f>
        <v>1.0440932215415407E-21</v>
      </c>
      <c r="CN179" s="24">
        <f t="shared" si="172"/>
        <v>0.35994538331282311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6.7984728957526396E-14</v>
      </c>
      <c r="CV179" s="14">
        <f t="shared" si="173"/>
        <v>1.0682447123141398E-12</v>
      </c>
      <c r="CW179" s="22">
        <f t="shared" si="174"/>
        <v>1.978932943548152E-12</v>
      </c>
      <c r="CX179" s="62">
        <f t="shared" si="122"/>
        <v>293.3333333333353</v>
      </c>
      <c r="CY179" s="62">
        <f ca="1">AVERAGE(OFFSET($CX$3,0,0,'Données projet'!$E$13+1,1))-AVERAGE(OFFSET($H$3,0,0,'Données projet'!$E$13+1,1))</f>
        <v>260.02504691866199</v>
      </c>
      <c r="CZ179" s="62">
        <f t="shared" si="150"/>
        <v>270.11268336406368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0.55543773285014741</v>
      </c>
      <c r="DG179" s="23">
        <f>EXP(-LN(2)/25)*DG178+(1-EXP(-LN(2)/25))/(LN(2)/25)*Calculateur!DB179*Calculateur!DD179*VLOOKUP('Données projet'!$B$13,Paramètres!$A$1:$I$89,3,0)*0.475*44/12</f>
        <v>0.28693395683274264</v>
      </c>
      <c r="DH179" s="23">
        <f>EXP(-LN(2)/2)*DH178+(1-EXP(-LN(2)/2))/(LN(2)/2)*DB179*DE179*VLOOKUP('Données projet'!$B$13,Paramètres!$A$1:$I$89,3,0)*0.475*44/12</f>
        <v>6.712694756878794E-22</v>
      </c>
      <c r="DI179" s="24">
        <f t="shared" si="175"/>
        <v>0.84237168968289011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-1.7053025658242404E-13</v>
      </c>
      <c r="DP179" s="18">
        <f>DO179*VLOOKUP('Données projet'!$B$14,Paramètres!$A$1:$I$89,3,0)*VLOOKUP('Données projet'!$B$14,Paramètres!$A$1:$I$89,5,0)</f>
        <v>-1.3567387213697657E-13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312.53381881960331</v>
      </c>
      <c r="DU179" s="62">
        <f t="shared" si="152"/>
        <v>342.06887933351783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5.4978954722173515E-14</v>
      </c>
      <c r="EL179" s="14">
        <f t="shared" si="179"/>
        <v>8.8550225887742724E-13</v>
      </c>
      <c r="EM179" s="22">
        <f t="shared" si="180"/>
        <v>1.6380047803526383E-12</v>
      </c>
      <c r="EN179" s="62">
        <f t="shared" si="128"/>
        <v>293.33333333333496</v>
      </c>
      <c r="EO179" s="62">
        <f ca="1">AVERAGE(OFFSET($EN$3,0,0,'Données projet'!$E$15+1,1))-AVERAGE(OFFSET($H$3,0,0,'Données projet'!$E$15+1,1))</f>
        <v>255.59755832175625</v>
      </c>
      <c r="EP179" s="62">
        <f t="shared" si="154"/>
        <v>154.0840647586964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197.08445731383847</v>
      </c>
      <c r="FK179" s="62">
        <f t="shared" si="156"/>
        <v>157.12482557016511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428.8489304403459</v>
      </c>
      <c r="T180" s="62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475.47920969424894</v>
      </c>
      <c r="AO180" s="62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2.8421709430404007E-13</v>
      </c>
      <c r="BE180" s="14">
        <f>BD180*VLOOKUP('Données projet'!$B$11,Paramètres!$A$1:$I$89,3,0)*VLOOKUP('Données projet'!$B$11,Paramètres!$A$1:$I$89,5,0)</f>
        <v>1.3301360013429075E-13</v>
      </c>
      <c r="BF180" s="14">
        <f t="shared" si="167"/>
        <v>1.9329766731057041E-12</v>
      </c>
      <c r="BG180" s="22">
        <f t="shared" si="168"/>
        <v>3.5982663925596575E-12</v>
      </c>
      <c r="BH180" s="62">
        <f t="shared" si="116"/>
        <v>293.3333333333369</v>
      </c>
      <c r="BI180" s="62">
        <f ca="1">AVERAGE(OFFSET($BH$3,0,0,'Données projet'!$E$11+1,1))-AVERAGE(OFFSET($H$3,0,0,'Données projet'!$E$11+1,1))</f>
        <v>246.73711856758143</v>
      </c>
      <c r="BJ180" s="62">
        <f t="shared" si="146"/>
        <v>145.54897745089966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6.3550942286383367E-14</v>
      </c>
      <c r="CA180" s="14">
        <f t="shared" si="170"/>
        <v>1.0064464192543978E-12</v>
      </c>
      <c r="CB180" s="22">
        <f t="shared" si="171"/>
        <v>1.8635787380168604E-12</v>
      </c>
      <c r="CC180" s="62">
        <f t="shared" si="119"/>
        <v>293.33333333333519</v>
      </c>
      <c r="CD180" s="62">
        <f ca="1">AVERAGE(OFFSET($CC$3,0,0,'Données projet'!$E$12+1,1))-AVERAGE(OFFSET($H$3,0,0,'Données projet'!$E$12+1,1))</f>
        <v>321.13335003345236</v>
      </c>
      <c r="CE180" s="62">
        <f t="shared" si="148"/>
        <v>301.26825075712128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0.35010265787742889</v>
      </c>
      <c r="CM180" s="23">
        <f>EXP(-LN(2)/2)*CM179+(1-EXP(-LN(2)/2))/(LN(2)/2)*CG180*CJ180*VLOOKUP('Données projet'!$B$12,Paramètres!$A$1:$I$89,3,0)*0.475*44/12</f>
        <v>7.3828539714293169E-22</v>
      </c>
      <c r="CN180" s="24">
        <f t="shared" si="172"/>
        <v>0.35010265787742889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6.7984728957526396E-14</v>
      </c>
      <c r="CV180" s="14">
        <f t="shared" si="173"/>
        <v>1.0682447123141398E-12</v>
      </c>
      <c r="CW180" s="22">
        <f t="shared" si="174"/>
        <v>1.978932943548152E-12</v>
      </c>
      <c r="CX180" s="62">
        <f t="shared" si="122"/>
        <v>293.3333333333353</v>
      </c>
      <c r="CY180" s="62">
        <f ca="1">AVERAGE(OFFSET($CX$3,0,0,'Données projet'!$E$13+1,1))-AVERAGE(OFFSET($H$3,0,0,'Données projet'!$E$13+1,1))</f>
        <v>260.02504691866199</v>
      </c>
      <c r="CZ180" s="62">
        <f t="shared" si="150"/>
        <v>270.11268336406368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0.54454593769252091</v>
      </c>
      <c r="DG180" s="23">
        <f>EXP(-LN(2)/25)*DG179+(1-EXP(-LN(2)/25))/(LN(2)/25)*Calculateur!DB180*Calculateur!DD180*VLOOKUP('Données projet'!$B$13,Paramètres!$A$1:$I$89,3,0)*0.475*44/12</f>
        <v>0.27908773269395032</v>
      </c>
      <c r="DH180" s="23">
        <f>EXP(-LN(2)/2)*DH179+(1-EXP(-LN(2)/2))/(LN(2)/2)*DB180*DE180*VLOOKUP('Données projet'!$B$13,Paramètres!$A$1:$I$89,3,0)*0.475*44/12</f>
        <v>4.7465919826243782E-22</v>
      </c>
      <c r="DI180" s="24">
        <f t="shared" si="175"/>
        <v>0.82363367038647128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-1.7053025658242404E-13</v>
      </c>
      <c r="DP180" s="18">
        <f>DO180*VLOOKUP('Données projet'!$B$14,Paramètres!$A$1:$I$89,3,0)*VLOOKUP('Données projet'!$B$14,Paramètres!$A$1:$I$89,5,0)</f>
        <v>-1.3567387213697657E-13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312.53381881960331</v>
      </c>
      <c r="DU180" s="62">
        <f t="shared" si="152"/>
        <v>342.06887933351783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5.4978954722173515E-14</v>
      </c>
      <c r="EL180" s="14">
        <f t="shared" si="179"/>
        <v>8.8550225887742724E-13</v>
      </c>
      <c r="EM180" s="22">
        <f t="shared" si="180"/>
        <v>1.6380047803526383E-12</v>
      </c>
      <c r="EN180" s="62">
        <f t="shared" si="128"/>
        <v>293.33333333333496</v>
      </c>
      <c r="EO180" s="62">
        <f ca="1">AVERAGE(OFFSET($EN$3,0,0,'Données projet'!$E$15+1,1))-AVERAGE(OFFSET($H$3,0,0,'Données projet'!$E$15+1,1))</f>
        <v>255.59755832175625</v>
      </c>
      <c r="EP180" s="62">
        <f t="shared" si="154"/>
        <v>154.0840647586964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197.08445731383847</v>
      </c>
      <c r="FK180" s="62">
        <f t="shared" si="156"/>
        <v>157.12482557016511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428.8489304403459</v>
      </c>
      <c r="T181" s="62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475.47920969424894</v>
      </c>
      <c r="AO181" s="62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2.8421709430404007E-13</v>
      </c>
      <c r="BE181" s="14">
        <f>BD181*VLOOKUP('Données projet'!$B$11,Paramètres!$A$1:$I$89,3,0)*VLOOKUP('Données projet'!$B$11,Paramètres!$A$1:$I$89,5,0)</f>
        <v>1.3301360013429075E-13</v>
      </c>
      <c r="BF181" s="14">
        <f t="shared" si="167"/>
        <v>1.9329766731057041E-12</v>
      </c>
      <c r="BG181" s="22">
        <f t="shared" si="168"/>
        <v>3.5982663925596575E-12</v>
      </c>
      <c r="BH181" s="62">
        <f t="shared" si="116"/>
        <v>293.3333333333369</v>
      </c>
      <c r="BI181" s="62">
        <f ca="1">AVERAGE(OFFSET($BH$3,0,0,'Données projet'!$E$11+1,1))-AVERAGE(OFFSET($H$3,0,0,'Données projet'!$E$11+1,1))</f>
        <v>246.73711856758143</v>
      </c>
      <c r="BJ181" s="62">
        <f t="shared" si="146"/>
        <v>145.54897745089966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6.3550942286383367E-14</v>
      </c>
      <c r="CA181" s="14">
        <f t="shared" si="170"/>
        <v>1.0064464192543978E-12</v>
      </c>
      <c r="CB181" s="22">
        <f t="shared" si="171"/>
        <v>1.8635787380168604E-12</v>
      </c>
      <c r="CC181" s="62">
        <f t="shared" si="119"/>
        <v>293.33333333333519</v>
      </c>
      <c r="CD181" s="62">
        <f ca="1">AVERAGE(OFFSET($CC$3,0,0,'Données projet'!$E$12+1,1))-AVERAGE(OFFSET($H$3,0,0,'Données projet'!$E$12+1,1))</f>
        <v>321.13335003345236</v>
      </c>
      <c r="CE181" s="62">
        <f t="shared" si="148"/>
        <v>301.26825075712128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0.340529082286672</v>
      </c>
      <c r="CM181" s="23">
        <f>EXP(-LN(2)/2)*CM180+(1-EXP(-LN(2)/2))/(LN(2)/2)*CG181*CJ181*VLOOKUP('Données projet'!$B$12,Paramètres!$A$1:$I$89,3,0)*0.475*44/12</f>
        <v>5.2204661077077033E-22</v>
      </c>
      <c r="CN181" s="24">
        <f t="shared" si="172"/>
        <v>0.340529082286672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6.7984728957526396E-14</v>
      </c>
      <c r="CV181" s="14">
        <f t="shared" si="173"/>
        <v>1.0682447123141398E-12</v>
      </c>
      <c r="CW181" s="22">
        <f t="shared" si="174"/>
        <v>1.978932943548152E-12</v>
      </c>
      <c r="CX181" s="62">
        <f t="shared" si="122"/>
        <v>293.3333333333353</v>
      </c>
      <c r="CY181" s="62">
        <f ca="1">AVERAGE(OFFSET($CX$3,0,0,'Données projet'!$E$13+1,1))-AVERAGE(OFFSET($H$3,0,0,'Données projet'!$E$13+1,1))</f>
        <v>260.02504691866199</v>
      </c>
      <c r="CZ181" s="62">
        <f t="shared" si="150"/>
        <v>270.11268336406368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0.53386772399459648</v>
      </c>
      <c r="DG181" s="23">
        <f>EXP(-LN(2)/25)*DG180+(1-EXP(-LN(2)/25))/(LN(2)/25)*Calculateur!DB181*Calculateur!DD181*VLOOKUP('Données projet'!$B$13,Paramètres!$A$1:$I$89,3,0)*0.475*44/12</f>
        <v>0.27145606396684824</v>
      </c>
      <c r="DH181" s="23">
        <f>EXP(-LN(2)/2)*DH180+(1-EXP(-LN(2)/2))/(LN(2)/2)*DB181*DE181*VLOOKUP('Données projet'!$B$13,Paramètres!$A$1:$I$89,3,0)*0.475*44/12</f>
        <v>3.356347378439397E-22</v>
      </c>
      <c r="DI181" s="24">
        <f t="shared" si="175"/>
        <v>0.80532378796144477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-1.7053025658242404E-13</v>
      </c>
      <c r="DP181" s="18">
        <f>DO181*VLOOKUP('Données projet'!$B$14,Paramètres!$A$1:$I$89,3,0)*VLOOKUP('Données projet'!$B$14,Paramètres!$A$1:$I$89,5,0)</f>
        <v>-1.3567387213697657E-13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312.53381881960331</v>
      </c>
      <c r="DU181" s="62">
        <f t="shared" si="152"/>
        <v>342.06887933351783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5.4978954722173515E-14</v>
      </c>
      <c r="EL181" s="14">
        <f t="shared" si="179"/>
        <v>8.8550225887742724E-13</v>
      </c>
      <c r="EM181" s="22">
        <f t="shared" si="180"/>
        <v>1.6380047803526383E-12</v>
      </c>
      <c r="EN181" s="62">
        <f t="shared" si="128"/>
        <v>293.33333333333496</v>
      </c>
      <c r="EO181" s="62">
        <f ca="1">AVERAGE(OFFSET($EN$3,0,0,'Données projet'!$E$15+1,1))-AVERAGE(OFFSET($H$3,0,0,'Données projet'!$E$15+1,1))</f>
        <v>255.59755832175625</v>
      </c>
      <c r="EP181" s="62">
        <f t="shared" si="154"/>
        <v>154.0840647586964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197.08445731383847</v>
      </c>
      <c r="FK181" s="62">
        <f t="shared" si="156"/>
        <v>157.12482557016511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428.8489304403459</v>
      </c>
      <c r="T182" s="62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475.47920969424894</v>
      </c>
      <c r="AO182" s="62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2.8421709430404007E-13</v>
      </c>
      <c r="BE182" s="14">
        <f>BD182*VLOOKUP('Données projet'!$B$11,Paramètres!$A$1:$I$89,3,0)*VLOOKUP('Données projet'!$B$11,Paramètres!$A$1:$I$89,5,0)</f>
        <v>1.3301360013429075E-13</v>
      </c>
      <c r="BF182" s="14">
        <f t="shared" si="167"/>
        <v>1.9329766731057041E-12</v>
      </c>
      <c r="BG182" s="22">
        <f t="shared" si="168"/>
        <v>3.5982663925596575E-12</v>
      </c>
      <c r="BH182" s="62">
        <f t="shared" si="116"/>
        <v>293.3333333333369</v>
      </c>
      <c r="BI182" s="62">
        <f ca="1">AVERAGE(OFFSET($BH$3,0,0,'Données projet'!$E$11+1,1))-AVERAGE(OFFSET($H$3,0,0,'Données projet'!$E$11+1,1))</f>
        <v>246.73711856758143</v>
      </c>
      <c r="BJ182" s="62">
        <f t="shared" si="146"/>
        <v>145.54897745089966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6.3550942286383367E-14</v>
      </c>
      <c r="CA182" s="14">
        <f t="shared" si="170"/>
        <v>1.0064464192543978E-12</v>
      </c>
      <c r="CB182" s="22">
        <f t="shared" si="171"/>
        <v>1.8635787380168604E-12</v>
      </c>
      <c r="CC182" s="62">
        <f t="shared" si="119"/>
        <v>293.33333333333519</v>
      </c>
      <c r="CD182" s="62">
        <f ca="1">AVERAGE(OFFSET($CC$3,0,0,'Données projet'!$E$12+1,1))-AVERAGE(OFFSET($H$3,0,0,'Données projet'!$E$12+1,1))</f>
        <v>321.13335003345236</v>
      </c>
      <c r="CE182" s="62">
        <f t="shared" si="148"/>
        <v>301.26825075712128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0.33121729662389682</v>
      </c>
      <c r="CM182" s="23">
        <f>EXP(-LN(2)/2)*CM181+(1-EXP(-LN(2)/2))/(LN(2)/2)*CG182*CJ182*VLOOKUP('Données projet'!$B$12,Paramètres!$A$1:$I$89,3,0)*0.475*44/12</f>
        <v>3.6914269857146585E-22</v>
      </c>
      <c r="CN182" s="24">
        <f t="shared" si="172"/>
        <v>0.33121729662389682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6.7984728957526396E-14</v>
      </c>
      <c r="CV182" s="14">
        <f t="shared" si="173"/>
        <v>1.0682447123141398E-12</v>
      </c>
      <c r="CW182" s="22">
        <f t="shared" si="174"/>
        <v>1.978932943548152E-12</v>
      </c>
      <c r="CX182" s="62">
        <f t="shared" si="122"/>
        <v>293.3333333333353</v>
      </c>
      <c r="CY182" s="62">
        <f ca="1">AVERAGE(OFFSET($CX$3,0,0,'Données projet'!$E$13+1,1))-AVERAGE(OFFSET($H$3,0,0,'Données projet'!$E$13+1,1))</f>
        <v>260.02504691866199</v>
      </c>
      <c r="CZ182" s="62">
        <f t="shared" si="150"/>
        <v>270.11268336406368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0.52339890355422103</v>
      </c>
      <c r="DG182" s="23">
        <f>EXP(-LN(2)/25)*DG181+(1-EXP(-LN(2)/25))/(LN(2)/25)*Calculateur!DB182*Calculateur!DD182*VLOOKUP('Données projet'!$B$13,Paramètres!$A$1:$I$89,3,0)*0.475*44/12</f>
        <v>0.26403308362242078</v>
      </c>
      <c r="DH182" s="23">
        <f>EXP(-LN(2)/2)*DH181+(1-EXP(-LN(2)/2))/(LN(2)/2)*DB182*DE182*VLOOKUP('Données projet'!$B$13,Paramètres!$A$1:$I$89,3,0)*0.475*44/12</f>
        <v>2.3732959913121891E-22</v>
      </c>
      <c r="DI182" s="24">
        <f t="shared" si="175"/>
        <v>0.78743198717664176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-1.7053025658242404E-13</v>
      </c>
      <c r="DP182" s="18">
        <f>DO182*VLOOKUP('Données projet'!$B$14,Paramètres!$A$1:$I$89,3,0)*VLOOKUP('Données projet'!$B$14,Paramètres!$A$1:$I$89,5,0)</f>
        <v>-1.3567387213697657E-13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312.53381881960331</v>
      </c>
      <c r="DU182" s="62">
        <f t="shared" si="152"/>
        <v>342.06887933351783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5.4978954722173515E-14</v>
      </c>
      <c r="EL182" s="14">
        <f t="shared" si="179"/>
        <v>8.8550225887742724E-13</v>
      </c>
      <c r="EM182" s="22">
        <f t="shared" si="180"/>
        <v>1.6380047803526383E-12</v>
      </c>
      <c r="EN182" s="62">
        <f t="shared" si="128"/>
        <v>293.33333333333496</v>
      </c>
      <c r="EO182" s="62">
        <f ca="1">AVERAGE(OFFSET($EN$3,0,0,'Données projet'!$E$15+1,1))-AVERAGE(OFFSET($H$3,0,0,'Données projet'!$E$15+1,1))</f>
        <v>255.59755832175625</v>
      </c>
      <c r="EP182" s="62">
        <f t="shared" si="154"/>
        <v>154.0840647586964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197.08445731383847</v>
      </c>
      <c r="FK182" s="62">
        <f t="shared" si="156"/>
        <v>157.12482557016511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428.8489304403459</v>
      </c>
      <c r="T183" s="62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475.47920969424894</v>
      </c>
      <c r="AO183" s="62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2.8421709430404007E-13</v>
      </c>
      <c r="BE183" s="14">
        <f>BD183*VLOOKUP('Données projet'!$B$11,Paramètres!$A$1:$I$89,3,0)*VLOOKUP('Données projet'!$B$11,Paramètres!$A$1:$I$89,5,0)</f>
        <v>1.3301360013429075E-13</v>
      </c>
      <c r="BF183" s="14">
        <f t="shared" si="167"/>
        <v>1.9329766731057041E-12</v>
      </c>
      <c r="BG183" s="22">
        <f t="shared" si="168"/>
        <v>3.5982663925596575E-12</v>
      </c>
      <c r="BH183" s="62">
        <f t="shared" si="116"/>
        <v>293.3333333333369</v>
      </c>
      <c r="BI183" s="62">
        <f ca="1">AVERAGE(OFFSET($BH$3,0,0,'Données projet'!$E$11+1,1))-AVERAGE(OFFSET($H$3,0,0,'Données projet'!$E$11+1,1))</f>
        <v>246.73711856758143</v>
      </c>
      <c r="BJ183" s="62">
        <f t="shared" si="146"/>
        <v>145.54897745089966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6.3550942286383367E-14</v>
      </c>
      <c r="CA183" s="14">
        <f t="shared" si="170"/>
        <v>1.0064464192543978E-12</v>
      </c>
      <c r="CB183" s="22">
        <f t="shared" si="171"/>
        <v>1.8635787380168604E-12</v>
      </c>
      <c r="CC183" s="62">
        <f t="shared" si="119"/>
        <v>293.33333333333519</v>
      </c>
      <c r="CD183" s="62">
        <f ca="1">AVERAGE(OFFSET($CC$3,0,0,'Données projet'!$E$12+1,1))-AVERAGE(OFFSET($H$3,0,0,'Données projet'!$E$12+1,1))</f>
        <v>321.13335003345236</v>
      </c>
      <c r="CE183" s="62">
        <f t="shared" si="148"/>
        <v>301.26825075712128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0.32216014222975575</v>
      </c>
      <c r="CM183" s="23">
        <f>EXP(-LN(2)/2)*CM182+(1-EXP(-LN(2)/2))/(LN(2)/2)*CG183*CJ183*VLOOKUP('Données projet'!$B$12,Paramètres!$A$1:$I$89,3,0)*0.475*44/12</f>
        <v>2.6102330538538517E-22</v>
      </c>
      <c r="CN183" s="24">
        <f t="shared" si="172"/>
        <v>0.32216014222975575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6.7984728957526396E-14</v>
      </c>
      <c r="CV183" s="14">
        <f t="shared" si="173"/>
        <v>1.0682447123141398E-12</v>
      </c>
      <c r="CW183" s="22">
        <f t="shared" si="174"/>
        <v>1.978932943548152E-12</v>
      </c>
      <c r="CX183" s="62">
        <f t="shared" si="122"/>
        <v>293.3333333333353</v>
      </c>
      <c r="CY183" s="62">
        <f ca="1">AVERAGE(OFFSET($CX$3,0,0,'Données projet'!$E$13+1,1))-AVERAGE(OFFSET($H$3,0,0,'Données projet'!$E$13+1,1))</f>
        <v>260.02504691866199</v>
      </c>
      <c r="CZ183" s="62">
        <f t="shared" si="150"/>
        <v>270.11268336406368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0.51313537029733136</v>
      </c>
      <c r="DG183" s="23">
        <f>EXP(-LN(2)/25)*DG182+(1-EXP(-LN(2)/25))/(LN(2)/25)*Calculateur!DB183*Calculateur!DD183*VLOOKUP('Données projet'!$B$13,Paramètres!$A$1:$I$89,3,0)*0.475*44/12</f>
        <v>0.25681308506586925</v>
      </c>
      <c r="DH183" s="23">
        <f>EXP(-LN(2)/2)*DH182+(1-EXP(-LN(2)/2))/(LN(2)/2)*DB183*DE183*VLOOKUP('Données projet'!$B$13,Paramètres!$A$1:$I$89,3,0)*0.475*44/12</f>
        <v>1.6781736892196985E-22</v>
      </c>
      <c r="DI183" s="24">
        <f t="shared" si="175"/>
        <v>0.76994845536320056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-1.7053025658242404E-13</v>
      </c>
      <c r="DP183" s="18">
        <f>DO183*VLOOKUP('Données projet'!$B$14,Paramètres!$A$1:$I$89,3,0)*VLOOKUP('Données projet'!$B$14,Paramètres!$A$1:$I$89,5,0)</f>
        <v>-1.3567387213697657E-13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312.53381881960331</v>
      </c>
      <c r="DU183" s="62">
        <f t="shared" si="152"/>
        <v>342.06887933351783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5.4978954722173515E-14</v>
      </c>
      <c r="EL183" s="14">
        <f t="shared" si="179"/>
        <v>8.8550225887742724E-13</v>
      </c>
      <c r="EM183" s="22">
        <f t="shared" si="180"/>
        <v>1.6380047803526383E-12</v>
      </c>
      <c r="EN183" s="62">
        <f t="shared" si="128"/>
        <v>293.33333333333496</v>
      </c>
      <c r="EO183" s="62">
        <f ca="1">AVERAGE(OFFSET($EN$3,0,0,'Données projet'!$E$15+1,1))-AVERAGE(OFFSET($H$3,0,0,'Données projet'!$E$15+1,1))</f>
        <v>255.59755832175625</v>
      </c>
      <c r="EP183" s="62">
        <f t="shared" si="154"/>
        <v>154.0840647586964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197.08445731383847</v>
      </c>
      <c r="FK183" s="62">
        <f t="shared" si="156"/>
        <v>157.12482557016511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428.8489304403459</v>
      </c>
      <c r="T184" s="62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475.47920969424894</v>
      </c>
      <c r="AO184" s="62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2.8421709430404007E-13</v>
      </c>
      <c r="BE184" s="14">
        <f>BD184*VLOOKUP('Données projet'!$B$11,Paramètres!$A$1:$I$89,3,0)*VLOOKUP('Données projet'!$B$11,Paramètres!$A$1:$I$89,5,0)</f>
        <v>1.3301360013429075E-13</v>
      </c>
      <c r="BF184" s="14">
        <f t="shared" si="167"/>
        <v>1.9329766731057041E-12</v>
      </c>
      <c r="BG184" s="22">
        <f t="shared" si="168"/>
        <v>3.5982663925596575E-12</v>
      </c>
      <c r="BH184" s="62">
        <f t="shared" si="116"/>
        <v>293.3333333333369</v>
      </c>
      <c r="BI184" s="62">
        <f ca="1">AVERAGE(OFFSET($BH$3,0,0,'Données projet'!$E$11+1,1))-AVERAGE(OFFSET($H$3,0,0,'Données projet'!$E$11+1,1))</f>
        <v>246.73711856758143</v>
      </c>
      <c r="BJ184" s="62">
        <f t="shared" si="146"/>
        <v>145.54897745089966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6.3550942286383367E-14</v>
      </c>
      <c r="CA184" s="14">
        <f t="shared" si="170"/>
        <v>1.0064464192543978E-12</v>
      </c>
      <c r="CB184" s="22">
        <f t="shared" si="171"/>
        <v>1.8635787380168604E-12</v>
      </c>
      <c r="CC184" s="62">
        <f t="shared" si="119"/>
        <v>293.33333333333519</v>
      </c>
      <c r="CD184" s="62">
        <f ca="1">AVERAGE(OFFSET($CC$3,0,0,'Données projet'!$E$12+1,1))-AVERAGE(OFFSET($H$3,0,0,'Données projet'!$E$12+1,1))</f>
        <v>321.13335003345236</v>
      </c>
      <c r="CE184" s="62">
        <f t="shared" si="148"/>
        <v>301.26825075712128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0.31335065619881752</v>
      </c>
      <c r="CM184" s="23">
        <f>EXP(-LN(2)/2)*CM183+(1-EXP(-LN(2)/2))/(LN(2)/2)*CG184*CJ184*VLOOKUP('Données projet'!$B$12,Paramètres!$A$1:$I$89,3,0)*0.475*44/12</f>
        <v>1.8457134928573292E-22</v>
      </c>
      <c r="CN184" s="24">
        <f t="shared" si="172"/>
        <v>0.31335065619881752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6.7984728957526396E-14</v>
      </c>
      <c r="CV184" s="14">
        <f t="shared" si="173"/>
        <v>1.0682447123141398E-12</v>
      </c>
      <c r="CW184" s="22">
        <f t="shared" si="174"/>
        <v>1.978932943548152E-12</v>
      </c>
      <c r="CX184" s="62">
        <f t="shared" si="122"/>
        <v>293.3333333333353</v>
      </c>
      <c r="CY184" s="62">
        <f ca="1">AVERAGE(OFFSET($CX$3,0,0,'Données projet'!$E$13+1,1))-AVERAGE(OFFSET($H$3,0,0,'Données projet'!$E$13+1,1))</f>
        <v>260.02504691866199</v>
      </c>
      <c r="CZ184" s="62">
        <f t="shared" si="150"/>
        <v>270.11268336406368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0.50307309866747218</v>
      </c>
      <c r="DG184" s="23">
        <f>EXP(-LN(2)/25)*DG183+(1-EXP(-LN(2)/25))/(LN(2)/25)*Calculateur!DB184*Calculateur!DD184*VLOOKUP('Données projet'!$B$13,Paramètres!$A$1:$I$89,3,0)*0.475*44/12</f>
        <v>0.24979051774952987</v>
      </c>
      <c r="DH184" s="23">
        <f>EXP(-LN(2)/2)*DH183+(1-EXP(-LN(2)/2))/(LN(2)/2)*DB184*DE184*VLOOKUP('Données projet'!$B$13,Paramètres!$A$1:$I$89,3,0)*0.475*44/12</f>
        <v>1.1866479956560946E-22</v>
      </c>
      <c r="DI184" s="24">
        <f t="shared" si="175"/>
        <v>0.75286361641700206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-1.7053025658242404E-13</v>
      </c>
      <c r="DP184" s="18">
        <f>DO184*VLOOKUP('Données projet'!$B$14,Paramètres!$A$1:$I$89,3,0)*VLOOKUP('Données projet'!$B$14,Paramètres!$A$1:$I$89,5,0)</f>
        <v>-1.3567387213697657E-13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312.53381881960331</v>
      </c>
      <c r="DU184" s="62">
        <f t="shared" si="152"/>
        <v>342.06887933351783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5.4978954722173515E-14</v>
      </c>
      <c r="EL184" s="14">
        <f t="shared" si="179"/>
        <v>8.8550225887742724E-13</v>
      </c>
      <c r="EM184" s="22">
        <f t="shared" si="180"/>
        <v>1.6380047803526383E-12</v>
      </c>
      <c r="EN184" s="62">
        <f t="shared" si="128"/>
        <v>293.33333333333496</v>
      </c>
      <c r="EO184" s="62">
        <f ca="1">AVERAGE(OFFSET($EN$3,0,0,'Données projet'!$E$15+1,1))-AVERAGE(OFFSET($H$3,0,0,'Données projet'!$E$15+1,1))</f>
        <v>255.59755832175625</v>
      </c>
      <c r="EP184" s="62">
        <f t="shared" si="154"/>
        <v>154.0840647586964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197.08445731383847</v>
      </c>
      <c r="FK184" s="62">
        <f t="shared" si="156"/>
        <v>157.12482557016511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428.8489304403459</v>
      </c>
      <c r="T185" s="62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475.47920969424894</v>
      </c>
      <c r="AO185" s="62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2.8421709430404007E-13</v>
      </c>
      <c r="BE185" s="14">
        <f>BD185*VLOOKUP('Données projet'!$B$11,Paramètres!$A$1:$I$89,3,0)*VLOOKUP('Données projet'!$B$11,Paramètres!$A$1:$I$89,5,0)</f>
        <v>1.3301360013429075E-13</v>
      </c>
      <c r="BF185" s="14">
        <f t="shared" si="167"/>
        <v>1.9329766731057041E-12</v>
      </c>
      <c r="BG185" s="22">
        <f t="shared" si="168"/>
        <v>3.5982663925596575E-12</v>
      </c>
      <c r="BH185" s="62">
        <f t="shared" si="116"/>
        <v>293.3333333333369</v>
      </c>
      <c r="BI185" s="62">
        <f ca="1">AVERAGE(OFFSET($BH$3,0,0,'Données projet'!$E$11+1,1))-AVERAGE(OFFSET($H$3,0,0,'Données projet'!$E$11+1,1))</f>
        <v>246.73711856758143</v>
      </c>
      <c r="BJ185" s="62">
        <f t="shared" si="146"/>
        <v>145.54897745089966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6.3550942286383367E-14</v>
      </c>
      <c r="CA185" s="14">
        <f t="shared" si="170"/>
        <v>1.0064464192543978E-12</v>
      </c>
      <c r="CB185" s="22">
        <f t="shared" si="171"/>
        <v>1.8635787380168604E-12</v>
      </c>
      <c r="CC185" s="62">
        <f t="shared" si="119"/>
        <v>293.33333333333519</v>
      </c>
      <c r="CD185" s="62">
        <f ca="1">AVERAGE(OFFSET($CC$3,0,0,'Données projet'!$E$12+1,1))-AVERAGE(OFFSET($H$3,0,0,'Données projet'!$E$12+1,1))</f>
        <v>321.13335003345236</v>
      </c>
      <c r="CE185" s="62">
        <f t="shared" si="148"/>
        <v>301.26825075712128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0.30478206602666602</v>
      </c>
      <c r="CM185" s="23">
        <f>EXP(-LN(2)/2)*CM184+(1-EXP(-LN(2)/2))/(LN(2)/2)*CG185*CJ185*VLOOKUP('Données projet'!$B$12,Paramètres!$A$1:$I$89,3,0)*0.475*44/12</f>
        <v>1.3051165269269258E-22</v>
      </c>
      <c r="CN185" s="24">
        <f t="shared" si="172"/>
        <v>0.30478206602666602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6.7984728957526396E-14</v>
      </c>
      <c r="CV185" s="14">
        <f t="shared" si="173"/>
        <v>1.0682447123141398E-12</v>
      </c>
      <c r="CW185" s="22">
        <f t="shared" si="174"/>
        <v>1.978932943548152E-12</v>
      </c>
      <c r="CX185" s="62">
        <f t="shared" si="122"/>
        <v>293.3333333333353</v>
      </c>
      <c r="CY185" s="62">
        <f ca="1">AVERAGE(OFFSET($CX$3,0,0,'Données projet'!$E$13+1,1))-AVERAGE(OFFSET($H$3,0,0,'Données projet'!$E$13+1,1))</f>
        <v>260.02504691866199</v>
      </c>
      <c r="CZ185" s="62">
        <f t="shared" si="150"/>
        <v>270.11268336406368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0.49320814204689489</v>
      </c>
      <c r="DG185" s="23">
        <f>EXP(-LN(2)/25)*DG184+(1-EXP(-LN(2)/25))/(LN(2)/25)*Calculateur!DB185*Calculateur!DD185*VLOOKUP('Données projet'!$B$13,Paramètres!$A$1:$I$89,3,0)*0.475*44/12</f>
        <v>0.24295998290575654</v>
      </c>
      <c r="DH185" s="23">
        <f>EXP(-LN(2)/2)*DH184+(1-EXP(-LN(2)/2))/(LN(2)/2)*DB185*DE185*VLOOKUP('Données projet'!$B$13,Paramètres!$A$1:$I$89,3,0)*0.475*44/12</f>
        <v>8.3908684460984925E-23</v>
      </c>
      <c r="DI185" s="24">
        <f t="shared" si="175"/>
        <v>0.73616812495265149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-1.7053025658242404E-13</v>
      </c>
      <c r="DP185" s="18">
        <f>DO185*VLOOKUP('Données projet'!$B$14,Paramètres!$A$1:$I$89,3,0)*VLOOKUP('Données projet'!$B$14,Paramètres!$A$1:$I$89,5,0)</f>
        <v>-1.3567387213697657E-13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312.53381881960331</v>
      </c>
      <c r="DU185" s="62">
        <f t="shared" si="152"/>
        <v>342.06887933351783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5.4978954722173515E-14</v>
      </c>
      <c r="EL185" s="14">
        <f t="shared" si="179"/>
        <v>8.8550225887742724E-13</v>
      </c>
      <c r="EM185" s="22">
        <f t="shared" si="180"/>
        <v>1.6380047803526383E-12</v>
      </c>
      <c r="EN185" s="62">
        <f t="shared" si="128"/>
        <v>293.33333333333496</v>
      </c>
      <c r="EO185" s="62">
        <f ca="1">AVERAGE(OFFSET($EN$3,0,0,'Données projet'!$E$15+1,1))-AVERAGE(OFFSET($H$3,0,0,'Données projet'!$E$15+1,1))</f>
        <v>255.59755832175625</v>
      </c>
      <c r="EP185" s="62">
        <f t="shared" si="154"/>
        <v>154.0840647586964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197.08445731383847</v>
      </c>
      <c r="FK185" s="62">
        <f t="shared" si="156"/>
        <v>157.12482557016511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428.8489304403459</v>
      </c>
      <c r="T186" s="62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475.47920969424894</v>
      </c>
      <c r="AO186" s="62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2.8421709430404007E-13</v>
      </c>
      <c r="BE186" s="14">
        <f>BD186*VLOOKUP('Données projet'!$B$11,Paramètres!$A$1:$I$89,3,0)*VLOOKUP('Données projet'!$B$11,Paramètres!$A$1:$I$89,5,0)</f>
        <v>1.3301360013429075E-13</v>
      </c>
      <c r="BF186" s="14">
        <f t="shared" si="167"/>
        <v>1.9329766731057041E-12</v>
      </c>
      <c r="BG186" s="22">
        <f t="shared" si="168"/>
        <v>3.5982663925596575E-12</v>
      </c>
      <c r="BH186" s="62">
        <f t="shared" si="116"/>
        <v>293.3333333333369</v>
      </c>
      <c r="BI186" s="62">
        <f ca="1">AVERAGE(OFFSET($BH$3,0,0,'Données projet'!$E$11+1,1))-AVERAGE(OFFSET($H$3,0,0,'Données projet'!$E$11+1,1))</f>
        <v>246.73711856758143</v>
      </c>
      <c r="BJ186" s="62">
        <f t="shared" si="146"/>
        <v>145.54897745089966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6.3550942286383367E-14</v>
      </c>
      <c r="CA186" s="14">
        <f t="shared" si="170"/>
        <v>1.0064464192543978E-12</v>
      </c>
      <c r="CB186" s="22">
        <f t="shared" si="171"/>
        <v>1.8635787380168604E-12</v>
      </c>
      <c r="CC186" s="62">
        <f t="shared" si="119"/>
        <v>293.33333333333519</v>
      </c>
      <c r="CD186" s="62">
        <f ca="1">AVERAGE(OFFSET($CC$3,0,0,'Données projet'!$E$12+1,1))-AVERAGE(OFFSET($H$3,0,0,'Données projet'!$E$12+1,1))</f>
        <v>321.13335003345236</v>
      </c>
      <c r="CE186" s="62">
        <f t="shared" si="148"/>
        <v>301.26825075712128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0.29644778440337455</v>
      </c>
      <c r="CM186" s="23">
        <f>EXP(-LN(2)/2)*CM185+(1-EXP(-LN(2)/2))/(LN(2)/2)*CG186*CJ186*VLOOKUP('Données projet'!$B$12,Paramètres!$A$1:$I$89,3,0)*0.475*44/12</f>
        <v>9.2285674642866462E-23</v>
      </c>
      <c r="CN186" s="24">
        <f t="shared" si="172"/>
        <v>0.29644778440337455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6.7984728957526396E-14</v>
      </c>
      <c r="CV186" s="14">
        <f t="shared" si="173"/>
        <v>1.0682447123141398E-12</v>
      </c>
      <c r="CW186" s="22">
        <f t="shared" si="174"/>
        <v>1.978932943548152E-12</v>
      </c>
      <c r="CX186" s="62">
        <f t="shared" si="122"/>
        <v>293.3333333333353</v>
      </c>
      <c r="CY186" s="62">
        <f ca="1">AVERAGE(OFFSET($CX$3,0,0,'Données projet'!$E$13+1,1))-AVERAGE(OFFSET($H$3,0,0,'Données projet'!$E$13+1,1))</f>
        <v>260.02504691866199</v>
      </c>
      <c r="CZ186" s="62">
        <f t="shared" si="150"/>
        <v>270.11268336406368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0.48353663120861773</v>
      </c>
      <c r="DG186" s="23">
        <f>EXP(-LN(2)/25)*DG185+(1-EXP(-LN(2)/25))/(LN(2)/25)*Calculateur!DB186*Calculateur!DD186*VLOOKUP('Données projet'!$B$13,Paramètres!$A$1:$I$89,3,0)*0.475*44/12</f>
        <v>0.23631622939648841</v>
      </c>
      <c r="DH186" s="23">
        <f>EXP(-LN(2)/2)*DH185+(1-EXP(-LN(2)/2))/(LN(2)/2)*DB186*DE186*VLOOKUP('Données projet'!$B$13,Paramètres!$A$1:$I$89,3,0)*0.475*44/12</f>
        <v>5.9332399782804728E-23</v>
      </c>
      <c r="DI186" s="24">
        <f t="shared" si="175"/>
        <v>0.71985286060510612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-1.7053025658242404E-13</v>
      </c>
      <c r="DP186" s="18">
        <f>DO186*VLOOKUP('Données projet'!$B$14,Paramètres!$A$1:$I$89,3,0)*VLOOKUP('Données projet'!$B$14,Paramètres!$A$1:$I$89,5,0)</f>
        <v>-1.3567387213697657E-13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312.53381881960331</v>
      </c>
      <c r="DU186" s="62">
        <f t="shared" si="152"/>
        <v>342.06887933351783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5.4978954722173515E-14</v>
      </c>
      <c r="EL186" s="14">
        <f t="shared" si="179"/>
        <v>8.8550225887742724E-13</v>
      </c>
      <c r="EM186" s="22">
        <f t="shared" si="180"/>
        <v>1.6380047803526383E-12</v>
      </c>
      <c r="EN186" s="62">
        <f t="shared" si="128"/>
        <v>293.33333333333496</v>
      </c>
      <c r="EO186" s="62">
        <f ca="1">AVERAGE(OFFSET($EN$3,0,0,'Données projet'!$E$15+1,1))-AVERAGE(OFFSET($H$3,0,0,'Données projet'!$E$15+1,1))</f>
        <v>255.59755832175625</v>
      </c>
      <c r="EP186" s="62">
        <f t="shared" si="154"/>
        <v>154.0840647586964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197.08445731383847</v>
      </c>
      <c r="FK186" s="62">
        <f t="shared" si="156"/>
        <v>157.12482557016511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428.8489304403459</v>
      </c>
      <c r="T187" s="62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475.47920969424894</v>
      </c>
      <c r="AO187" s="62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2.8421709430404007E-13</v>
      </c>
      <c r="BE187" s="14">
        <f>BD187*VLOOKUP('Données projet'!$B$11,Paramètres!$A$1:$I$89,3,0)*VLOOKUP('Données projet'!$B$11,Paramètres!$A$1:$I$89,5,0)</f>
        <v>1.3301360013429075E-13</v>
      </c>
      <c r="BF187" s="14">
        <f t="shared" si="167"/>
        <v>1.9329766731057041E-12</v>
      </c>
      <c r="BG187" s="22">
        <f t="shared" si="168"/>
        <v>3.5982663925596575E-12</v>
      </c>
      <c r="BH187" s="62">
        <f t="shared" si="116"/>
        <v>293.3333333333369</v>
      </c>
      <c r="BI187" s="62">
        <f ca="1">AVERAGE(OFFSET($BH$3,0,0,'Données projet'!$E$11+1,1))-AVERAGE(OFFSET($H$3,0,0,'Données projet'!$E$11+1,1))</f>
        <v>246.73711856758143</v>
      </c>
      <c r="BJ187" s="62">
        <f t="shared" si="146"/>
        <v>145.54897745089966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6.3550942286383367E-14</v>
      </c>
      <c r="CA187" s="14">
        <f t="shared" si="170"/>
        <v>1.0064464192543978E-12</v>
      </c>
      <c r="CB187" s="22">
        <f t="shared" si="171"/>
        <v>1.8635787380168604E-12</v>
      </c>
      <c r="CC187" s="62">
        <f t="shared" si="119"/>
        <v>293.33333333333519</v>
      </c>
      <c r="CD187" s="62">
        <f ca="1">AVERAGE(OFFSET($CC$3,0,0,'Données projet'!$E$12+1,1))-AVERAGE(OFFSET($H$3,0,0,'Données projet'!$E$12+1,1))</f>
        <v>321.13335003345236</v>
      </c>
      <c r="CE187" s="62">
        <f t="shared" si="148"/>
        <v>301.26825075712128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0.28834140414935283</v>
      </c>
      <c r="CM187" s="23">
        <f>EXP(-LN(2)/2)*CM186+(1-EXP(-LN(2)/2))/(LN(2)/2)*CG187*CJ187*VLOOKUP('Données projet'!$B$12,Paramètres!$A$1:$I$89,3,0)*0.475*44/12</f>
        <v>6.5255826346346292E-23</v>
      </c>
      <c r="CN187" s="24">
        <f t="shared" si="172"/>
        <v>0.28834140414935283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6.7984728957526396E-14</v>
      </c>
      <c r="CV187" s="14">
        <f t="shared" si="173"/>
        <v>1.0682447123141398E-12</v>
      </c>
      <c r="CW187" s="22">
        <f t="shared" si="174"/>
        <v>1.978932943548152E-12</v>
      </c>
      <c r="CX187" s="62">
        <f t="shared" si="122"/>
        <v>293.3333333333353</v>
      </c>
      <c r="CY187" s="62">
        <f ca="1">AVERAGE(OFFSET($CX$3,0,0,'Données projet'!$E$13+1,1))-AVERAGE(OFFSET($H$3,0,0,'Données projet'!$E$13+1,1))</f>
        <v>260.02504691866199</v>
      </c>
      <c r="CZ187" s="62">
        <f t="shared" si="150"/>
        <v>270.11268336406368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0.47405477279884001</v>
      </c>
      <c r="DG187" s="23">
        <f>EXP(-LN(2)/25)*DG186+(1-EXP(-LN(2)/25))/(LN(2)/25)*Calculateur!DB187*Calculateur!DD187*VLOOKUP('Données projet'!$B$13,Paramètres!$A$1:$I$89,3,0)*0.475*44/12</f>
        <v>0.22985414967631104</v>
      </c>
      <c r="DH187" s="23">
        <f>EXP(-LN(2)/2)*DH186+(1-EXP(-LN(2)/2))/(LN(2)/2)*DB187*DE187*VLOOKUP('Données projet'!$B$13,Paramètres!$A$1:$I$89,3,0)*0.475*44/12</f>
        <v>4.1954342230492463E-23</v>
      </c>
      <c r="DI187" s="24">
        <f t="shared" si="175"/>
        <v>0.70390892247515102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-1.7053025658242404E-13</v>
      </c>
      <c r="DP187" s="18">
        <f>DO187*VLOOKUP('Données projet'!$B$14,Paramètres!$A$1:$I$89,3,0)*VLOOKUP('Données projet'!$B$14,Paramètres!$A$1:$I$89,5,0)</f>
        <v>-1.3567387213697657E-13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312.53381881960331</v>
      </c>
      <c r="DU187" s="62">
        <f t="shared" si="152"/>
        <v>342.06887933351783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5.4978954722173515E-14</v>
      </c>
      <c r="EL187" s="14">
        <f t="shared" si="179"/>
        <v>8.8550225887742724E-13</v>
      </c>
      <c r="EM187" s="22">
        <f t="shared" si="180"/>
        <v>1.6380047803526383E-12</v>
      </c>
      <c r="EN187" s="62">
        <f t="shared" si="128"/>
        <v>293.33333333333496</v>
      </c>
      <c r="EO187" s="62">
        <f ca="1">AVERAGE(OFFSET($EN$3,0,0,'Données projet'!$E$15+1,1))-AVERAGE(OFFSET($H$3,0,0,'Données projet'!$E$15+1,1))</f>
        <v>255.59755832175625</v>
      </c>
      <c r="EP187" s="62">
        <f t="shared" si="154"/>
        <v>154.0840647586964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197.08445731383847</v>
      </c>
      <c r="FK187" s="62">
        <f t="shared" si="156"/>
        <v>157.12482557016511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428.8489304403459</v>
      </c>
      <c r="T188" s="62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475.47920969424894</v>
      </c>
      <c r="AO188" s="62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2.8421709430404007E-13</v>
      </c>
      <c r="BE188" s="14">
        <f>BD188*VLOOKUP('Données projet'!$B$11,Paramètres!$A$1:$I$89,3,0)*VLOOKUP('Données projet'!$B$11,Paramètres!$A$1:$I$89,5,0)</f>
        <v>1.3301360013429075E-13</v>
      </c>
      <c r="BF188" s="14">
        <f t="shared" si="167"/>
        <v>1.9329766731057041E-12</v>
      </c>
      <c r="BG188" s="22">
        <f t="shared" si="168"/>
        <v>3.5982663925596575E-12</v>
      </c>
      <c r="BH188" s="62">
        <f t="shared" si="116"/>
        <v>293.3333333333369</v>
      </c>
      <c r="BI188" s="62">
        <f ca="1">AVERAGE(OFFSET($BH$3,0,0,'Données projet'!$E$11+1,1))-AVERAGE(OFFSET($H$3,0,0,'Données projet'!$E$11+1,1))</f>
        <v>246.73711856758143</v>
      </c>
      <c r="BJ188" s="62">
        <f t="shared" si="146"/>
        <v>145.54897745089966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6.3550942286383367E-14</v>
      </c>
      <c r="CA188" s="14">
        <f t="shared" si="170"/>
        <v>1.0064464192543978E-12</v>
      </c>
      <c r="CB188" s="22">
        <f t="shared" si="171"/>
        <v>1.8635787380168604E-12</v>
      </c>
      <c r="CC188" s="62">
        <f t="shared" si="119"/>
        <v>293.33333333333519</v>
      </c>
      <c r="CD188" s="62">
        <f ca="1">AVERAGE(OFFSET($CC$3,0,0,'Données projet'!$E$12+1,1))-AVERAGE(OFFSET($H$3,0,0,'Données projet'!$E$12+1,1))</f>
        <v>321.13335003345236</v>
      </c>
      <c r="CE188" s="62">
        <f t="shared" si="148"/>
        <v>301.26825075712128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0.28045669328967332</v>
      </c>
      <c r="CM188" s="23">
        <f>EXP(-LN(2)/2)*CM187+(1-EXP(-LN(2)/2))/(LN(2)/2)*CG188*CJ188*VLOOKUP('Données projet'!$B$12,Paramètres!$A$1:$I$89,3,0)*0.475*44/12</f>
        <v>4.6142837321433231E-23</v>
      </c>
      <c r="CN188" s="24">
        <f t="shared" si="172"/>
        <v>0.28045669328967332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6.7984728957526396E-14</v>
      </c>
      <c r="CV188" s="14">
        <f t="shared" si="173"/>
        <v>1.0682447123141398E-12</v>
      </c>
      <c r="CW188" s="22">
        <f t="shared" si="174"/>
        <v>1.978932943548152E-12</v>
      </c>
      <c r="CX188" s="62">
        <f t="shared" si="122"/>
        <v>293.3333333333353</v>
      </c>
      <c r="CY188" s="62">
        <f ca="1">AVERAGE(OFFSET($CX$3,0,0,'Données projet'!$E$13+1,1))-AVERAGE(OFFSET($H$3,0,0,'Données projet'!$E$13+1,1))</f>
        <v>260.02504691866199</v>
      </c>
      <c r="CZ188" s="62">
        <f t="shared" si="150"/>
        <v>270.11268336406368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0.46475884784911548</v>
      </c>
      <c r="DG188" s="23">
        <f>EXP(-LN(2)/25)*DG187+(1-EXP(-LN(2)/25))/(LN(2)/25)*Calculateur!DB188*Calculateur!DD188*VLOOKUP('Données projet'!$B$13,Paramètres!$A$1:$I$89,3,0)*0.475*44/12</f>
        <v>0.22356877586590793</v>
      </c>
      <c r="DH188" s="23">
        <f>EXP(-LN(2)/2)*DH187+(1-EXP(-LN(2)/2))/(LN(2)/2)*DB188*DE188*VLOOKUP('Données projet'!$B$13,Paramètres!$A$1:$I$89,3,0)*0.475*44/12</f>
        <v>2.9666199891402364E-23</v>
      </c>
      <c r="DI188" s="24">
        <f t="shared" si="175"/>
        <v>0.68832762371502343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-1.7053025658242404E-13</v>
      </c>
      <c r="DP188" s="18">
        <f>DO188*VLOOKUP('Données projet'!$B$14,Paramètres!$A$1:$I$89,3,0)*VLOOKUP('Données projet'!$B$14,Paramètres!$A$1:$I$89,5,0)</f>
        <v>-1.3567387213697657E-13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312.53381881960331</v>
      </c>
      <c r="DU188" s="62">
        <f t="shared" si="152"/>
        <v>342.06887933351783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5.4978954722173515E-14</v>
      </c>
      <c r="EL188" s="14">
        <f t="shared" si="179"/>
        <v>8.8550225887742724E-13</v>
      </c>
      <c r="EM188" s="22">
        <f t="shared" si="180"/>
        <v>1.6380047803526383E-12</v>
      </c>
      <c r="EN188" s="62">
        <f t="shared" si="128"/>
        <v>293.33333333333496</v>
      </c>
      <c r="EO188" s="62">
        <f ca="1">AVERAGE(OFFSET($EN$3,0,0,'Données projet'!$E$15+1,1))-AVERAGE(OFFSET($H$3,0,0,'Données projet'!$E$15+1,1))</f>
        <v>255.59755832175625</v>
      </c>
      <c r="EP188" s="62">
        <f t="shared" si="154"/>
        <v>154.0840647586964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197.08445731383847</v>
      </c>
      <c r="FK188" s="62">
        <f t="shared" si="156"/>
        <v>157.12482557016511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428.8489304403459</v>
      </c>
      <c r="T189" s="62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475.47920969424894</v>
      </c>
      <c r="AO189" s="62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2.8421709430404007E-13</v>
      </c>
      <c r="BE189" s="14">
        <f>BD189*VLOOKUP('Données projet'!$B$11,Paramètres!$A$1:$I$89,3,0)*VLOOKUP('Données projet'!$B$11,Paramètres!$A$1:$I$89,5,0)</f>
        <v>1.3301360013429075E-13</v>
      </c>
      <c r="BF189" s="14">
        <f t="shared" si="167"/>
        <v>1.9329766731057041E-12</v>
      </c>
      <c r="BG189" s="22">
        <f t="shared" si="168"/>
        <v>3.5982663925596575E-12</v>
      </c>
      <c r="BH189" s="62">
        <f t="shared" si="116"/>
        <v>293.3333333333369</v>
      </c>
      <c r="BI189" s="62">
        <f ca="1">AVERAGE(OFFSET($BH$3,0,0,'Données projet'!$E$11+1,1))-AVERAGE(OFFSET($H$3,0,0,'Données projet'!$E$11+1,1))</f>
        <v>246.73711856758143</v>
      </c>
      <c r="BJ189" s="62">
        <f t="shared" si="146"/>
        <v>145.54897745089966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6.3550942286383367E-14</v>
      </c>
      <c r="CA189" s="14">
        <f t="shared" si="170"/>
        <v>1.0064464192543978E-12</v>
      </c>
      <c r="CB189" s="22">
        <f t="shared" si="171"/>
        <v>1.8635787380168604E-12</v>
      </c>
      <c r="CC189" s="62">
        <f t="shared" si="119"/>
        <v>293.33333333333519</v>
      </c>
      <c r="CD189" s="62">
        <f ca="1">AVERAGE(OFFSET($CC$3,0,0,'Données projet'!$E$12+1,1))-AVERAGE(OFFSET($H$3,0,0,'Données projet'!$E$12+1,1))</f>
        <v>321.13335003345236</v>
      </c>
      <c r="CE189" s="62">
        <f t="shared" si="148"/>
        <v>301.26825075712128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0.27278759026309068</v>
      </c>
      <c r="CM189" s="23">
        <f>EXP(-LN(2)/2)*CM188+(1-EXP(-LN(2)/2))/(LN(2)/2)*CG189*CJ189*VLOOKUP('Données projet'!$B$12,Paramètres!$A$1:$I$89,3,0)*0.475*44/12</f>
        <v>3.2627913173173146E-23</v>
      </c>
      <c r="CN189" s="24">
        <f t="shared" si="172"/>
        <v>0.27278759026309068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6.7984728957526396E-14</v>
      </c>
      <c r="CV189" s="14">
        <f t="shared" si="173"/>
        <v>1.0682447123141398E-12</v>
      </c>
      <c r="CW189" s="22">
        <f t="shared" si="174"/>
        <v>1.978932943548152E-12</v>
      </c>
      <c r="CX189" s="62">
        <f t="shared" si="122"/>
        <v>293.3333333333353</v>
      </c>
      <c r="CY189" s="62">
        <f ca="1">AVERAGE(OFFSET($CX$3,0,0,'Données projet'!$E$13+1,1))-AVERAGE(OFFSET($H$3,0,0,'Données projet'!$E$13+1,1))</f>
        <v>260.02504691866199</v>
      </c>
      <c r="CZ189" s="62">
        <f t="shared" si="150"/>
        <v>270.11268336406368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0.45564521031770067</v>
      </c>
      <c r="DG189" s="23">
        <f>EXP(-LN(2)/25)*DG188+(1-EXP(-LN(2)/25))/(LN(2)/25)*Calculateur!DB189*Calculateur!DD189*VLOOKUP('Données projet'!$B$13,Paramètres!$A$1:$I$89,3,0)*0.475*44/12</f>
        <v>0.21745527593288372</v>
      </c>
      <c r="DH189" s="23">
        <f>EXP(-LN(2)/2)*DH188+(1-EXP(-LN(2)/2))/(LN(2)/2)*DB189*DE189*VLOOKUP('Données projet'!$B$13,Paramètres!$A$1:$I$89,3,0)*0.475*44/12</f>
        <v>2.0977171115246231E-23</v>
      </c>
      <c r="DI189" s="24">
        <f t="shared" si="175"/>
        <v>0.67310048625058438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-1.7053025658242404E-13</v>
      </c>
      <c r="DP189" s="18">
        <f>DO189*VLOOKUP('Données projet'!$B$14,Paramètres!$A$1:$I$89,3,0)*VLOOKUP('Données projet'!$B$14,Paramètres!$A$1:$I$89,5,0)</f>
        <v>-1.3567387213697657E-13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312.53381881960331</v>
      </c>
      <c r="DU189" s="62">
        <f t="shared" si="152"/>
        <v>342.06887933351783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5.4978954722173515E-14</v>
      </c>
      <c r="EL189" s="14">
        <f t="shared" si="179"/>
        <v>8.8550225887742724E-13</v>
      </c>
      <c r="EM189" s="22">
        <f t="shared" si="180"/>
        <v>1.6380047803526383E-12</v>
      </c>
      <c r="EN189" s="62">
        <f t="shared" si="128"/>
        <v>293.33333333333496</v>
      </c>
      <c r="EO189" s="62">
        <f ca="1">AVERAGE(OFFSET($EN$3,0,0,'Données projet'!$E$15+1,1))-AVERAGE(OFFSET($H$3,0,0,'Données projet'!$E$15+1,1))</f>
        <v>255.59755832175625</v>
      </c>
      <c r="EP189" s="62">
        <f t="shared" si="154"/>
        <v>154.0840647586964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197.08445731383847</v>
      </c>
      <c r="FK189" s="62">
        <f t="shared" si="156"/>
        <v>157.12482557016511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428.8489304403459</v>
      </c>
      <c r="T190" s="62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475.47920969424894</v>
      </c>
      <c r="AO190" s="62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2.8421709430404007E-13</v>
      </c>
      <c r="BE190" s="14">
        <f>BD190*VLOOKUP('Données projet'!$B$11,Paramètres!$A$1:$I$89,3,0)*VLOOKUP('Données projet'!$B$11,Paramètres!$A$1:$I$89,5,0)</f>
        <v>1.3301360013429075E-13</v>
      </c>
      <c r="BF190" s="14">
        <f t="shared" si="167"/>
        <v>1.9329766731057041E-12</v>
      </c>
      <c r="BG190" s="22">
        <f t="shared" si="168"/>
        <v>3.5982663925596575E-12</v>
      </c>
      <c r="BH190" s="62">
        <f t="shared" si="116"/>
        <v>293.3333333333369</v>
      </c>
      <c r="BI190" s="62">
        <f ca="1">AVERAGE(OFFSET($BH$3,0,0,'Données projet'!$E$11+1,1))-AVERAGE(OFFSET($H$3,0,0,'Données projet'!$E$11+1,1))</f>
        <v>246.73711856758143</v>
      </c>
      <c r="BJ190" s="62">
        <f t="shared" si="146"/>
        <v>145.54897745089966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6.3550942286383367E-14</v>
      </c>
      <c r="CA190" s="14">
        <f t="shared" si="170"/>
        <v>1.0064464192543978E-12</v>
      </c>
      <c r="CB190" s="22">
        <f t="shared" si="171"/>
        <v>1.8635787380168604E-12</v>
      </c>
      <c r="CC190" s="62">
        <f t="shared" si="119"/>
        <v>293.33333333333519</v>
      </c>
      <c r="CD190" s="62">
        <f ca="1">AVERAGE(OFFSET($CC$3,0,0,'Données projet'!$E$12+1,1))-AVERAGE(OFFSET($H$3,0,0,'Données projet'!$E$12+1,1))</f>
        <v>321.13335003345236</v>
      </c>
      <c r="CE190" s="62">
        <f t="shared" si="148"/>
        <v>301.26825075712128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0.26532819926207057</v>
      </c>
      <c r="CM190" s="23">
        <f>EXP(-LN(2)/2)*CM189+(1-EXP(-LN(2)/2))/(LN(2)/2)*CG190*CJ190*VLOOKUP('Données projet'!$B$12,Paramètres!$A$1:$I$89,3,0)*0.475*44/12</f>
        <v>2.3071418660716615E-23</v>
      </c>
      <c r="CN190" s="24">
        <f t="shared" si="172"/>
        <v>0.26532819926207057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6.7984728957526396E-14</v>
      </c>
      <c r="CV190" s="14">
        <f t="shared" si="173"/>
        <v>1.0682447123141398E-12</v>
      </c>
      <c r="CW190" s="22">
        <f t="shared" si="174"/>
        <v>1.978932943548152E-12</v>
      </c>
      <c r="CX190" s="62">
        <f t="shared" si="122"/>
        <v>293.3333333333353</v>
      </c>
      <c r="CY190" s="62">
        <f ca="1">AVERAGE(OFFSET($CX$3,0,0,'Données projet'!$E$13+1,1))-AVERAGE(OFFSET($H$3,0,0,'Données projet'!$E$13+1,1))</f>
        <v>260.02504691866199</v>
      </c>
      <c r="CZ190" s="62">
        <f t="shared" si="150"/>
        <v>270.11268336406368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0.44671028565950693</v>
      </c>
      <c r="DG190" s="23">
        <f>EXP(-LN(2)/25)*DG189+(1-EXP(-LN(2)/25))/(LN(2)/25)*Calculateur!DB190*Calculateur!DD190*VLOOKUP('Données projet'!$B$13,Paramètres!$A$1:$I$89,3,0)*0.475*44/12</f>
        <v>0.21150894997702305</v>
      </c>
      <c r="DH190" s="23">
        <f>EXP(-LN(2)/2)*DH189+(1-EXP(-LN(2)/2))/(LN(2)/2)*DB190*DE190*VLOOKUP('Données projet'!$B$13,Paramètres!$A$1:$I$89,3,0)*0.475*44/12</f>
        <v>1.4833099945701182E-23</v>
      </c>
      <c r="DI190" s="24">
        <f t="shared" si="175"/>
        <v>0.65821923563652995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-1.7053025658242404E-13</v>
      </c>
      <c r="DP190" s="18">
        <f>DO190*VLOOKUP('Données projet'!$B$14,Paramètres!$A$1:$I$89,3,0)*VLOOKUP('Données projet'!$B$14,Paramètres!$A$1:$I$89,5,0)</f>
        <v>-1.3567387213697657E-13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312.53381881960331</v>
      </c>
      <c r="DU190" s="62">
        <f t="shared" si="152"/>
        <v>342.06887933351783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5.4978954722173515E-14</v>
      </c>
      <c r="EL190" s="14">
        <f t="shared" si="179"/>
        <v>8.8550225887742724E-13</v>
      </c>
      <c r="EM190" s="22">
        <f t="shared" si="180"/>
        <v>1.6380047803526383E-12</v>
      </c>
      <c r="EN190" s="62">
        <f t="shared" si="128"/>
        <v>293.33333333333496</v>
      </c>
      <c r="EO190" s="62">
        <f ca="1">AVERAGE(OFFSET($EN$3,0,0,'Données projet'!$E$15+1,1))-AVERAGE(OFFSET($H$3,0,0,'Données projet'!$E$15+1,1))</f>
        <v>255.59755832175625</v>
      </c>
      <c r="EP190" s="62">
        <f t="shared" si="154"/>
        <v>154.0840647586964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197.08445731383847</v>
      </c>
      <c r="FK190" s="62">
        <f t="shared" si="156"/>
        <v>157.12482557016511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428.8489304403459</v>
      </c>
      <c r="T191" s="62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475.47920969424894</v>
      </c>
      <c r="AO191" s="62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2.8421709430404007E-13</v>
      </c>
      <c r="BE191" s="14">
        <f>BD191*VLOOKUP('Données projet'!$B$11,Paramètres!$A$1:$I$89,3,0)*VLOOKUP('Données projet'!$B$11,Paramètres!$A$1:$I$89,5,0)</f>
        <v>1.3301360013429075E-13</v>
      </c>
      <c r="BF191" s="14">
        <f t="shared" si="167"/>
        <v>1.9329766731057041E-12</v>
      </c>
      <c r="BG191" s="22">
        <f t="shared" si="168"/>
        <v>3.5982663925596575E-12</v>
      </c>
      <c r="BH191" s="62">
        <f t="shared" si="116"/>
        <v>293.3333333333369</v>
      </c>
      <c r="BI191" s="62">
        <f ca="1">AVERAGE(OFFSET($BH$3,0,0,'Données projet'!$E$11+1,1))-AVERAGE(OFFSET($H$3,0,0,'Données projet'!$E$11+1,1))</f>
        <v>246.73711856758143</v>
      </c>
      <c r="BJ191" s="62">
        <f t="shared" si="146"/>
        <v>145.54897745089966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6.3550942286383367E-14</v>
      </c>
      <c r="CA191" s="14">
        <f t="shared" si="170"/>
        <v>1.0064464192543978E-12</v>
      </c>
      <c r="CB191" s="22">
        <f t="shared" si="171"/>
        <v>1.8635787380168604E-12</v>
      </c>
      <c r="CC191" s="62">
        <f t="shared" si="119"/>
        <v>293.33333333333519</v>
      </c>
      <c r="CD191" s="62">
        <f ca="1">AVERAGE(OFFSET($CC$3,0,0,'Données projet'!$E$12+1,1))-AVERAGE(OFFSET($H$3,0,0,'Données projet'!$E$12+1,1))</f>
        <v>321.13335003345236</v>
      </c>
      <c r="CE191" s="62">
        <f t="shared" si="148"/>
        <v>301.26825075712128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0.25807278570024567</v>
      </c>
      <c r="CM191" s="23">
        <f>EXP(-LN(2)/2)*CM190+(1-EXP(-LN(2)/2))/(LN(2)/2)*CG191*CJ191*VLOOKUP('Données projet'!$B$12,Paramètres!$A$1:$I$89,3,0)*0.475*44/12</f>
        <v>1.6313956586586573E-23</v>
      </c>
      <c r="CN191" s="24">
        <f t="shared" si="172"/>
        <v>0.25807278570024567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6.7984728957526396E-14</v>
      </c>
      <c r="CV191" s="14">
        <f t="shared" si="173"/>
        <v>1.0682447123141398E-12</v>
      </c>
      <c r="CW191" s="22">
        <f t="shared" si="174"/>
        <v>1.978932943548152E-12</v>
      </c>
      <c r="CX191" s="62">
        <f t="shared" si="122"/>
        <v>293.3333333333353</v>
      </c>
      <c r="CY191" s="62">
        <f ca="1">AVERAGE(OFFSET($CX$3,0,0,'Données projet'!$E$13+1,1))-AVERAGE(OFFSET($H$3,0,0,'Données projet'!$E$13+1,1))</f>
        <v>260.02504691866199</v>
      </c>
      <c r="CZ191" s="62">
        <f t="shared" si="150"/>
        <v>270.11268336406368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0.43795056942409444</v>
      </c>
      <c r="DG191" s="23">
        <f>EXP(-LN(2)/25)*DG190+(1-EXP(-LN(2)/25))/(LN(2)/25)*Calculateur!DB191*Calculateur!DD191*VLOOKUP('Données projet'!$B$13,Paramètres!$A$1:$I$89,3,0)*0.475*44/12</f>
        <v>0.20572522661712908</v>
      </c>
      <c r="DH191" s="23">
        <f>EXP(-LN(2)/2)*DH190+(1-EXP(-LN(2)/2))/(LN(2)/2)*DB191*DE191*VLOOKUP('Données projet'!$B$13,Paramètres!$A$1:$I$89,3,0)*0.475*44/12</f>
        <v>1.0488585557623116E-23</v>
      </c>
      <c r="DI191" s="24">
        <f t="shared" si="175"/>
        <v>0.64367579604122349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-1.7053025658242404E-13</v>
      </c>
      <c r="DP191" s="18">
        <f>DO191*VLOOKUP('Données projet'!$B$14,Paramètres!$A$1:$I$89,3,0)*VLOOKUP('Données projet'!$B$14,Paramètres!$A$1:$I$89,5,0)</f>
        <v>-1.3567387213697657E-13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312.53381881960331</v>
      </c>
      <c r="DU191" s="62">
        <f t="shared" si="152"/>
        <v>342.06887933351783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5.4978954722173515E-14</v>
      </c>
      <c r="EL191" s="14">
        <f t="shared" si="179"/>
        <v>8.8550225887742724E-13</v>
      </c>
      <c r="EM191" s="22">
        <f t="shared" si="180"/>
        <v>1.6380047803526383E-12</v>
      </c>
      <c r="EN191" s="62">
        <f t="shared" si="128"/>
        <v>293.33333333333496</v>
      </c>
      <c r="EO191" s="62">
        <f ca="1">AVERAGE(OFFSET($EN$3,0,0,'Données projet'!$E$15+1,1))-AVERAGE(OFFSET($H$3,0,0,'Données projet'!$E$15+1,1))</f>
        <v>255.59755832175625</v>
      </c>
      <c r="EP191" s="62">
        <f t="shared" si="154"/>
        <v>154.0840647586964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197.08445731383847</v>
      </c>
      <c r="FK191" s="62">
        <f t="shared" si="156"/>
        <v>157.12482557016511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428.8489304403459</v>
      </c>
      <c r="T192" s="62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475.47920969424894</v>
      </c>
      <c r="AO192" s="62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2.8421709430404007E-13</v>
      </c>
      <c r="BE192" s="14">
        <f>BD192*VLOOKUP('Données projet'!$B$11,Paramètres!$A$1:$I$89,3,0)*VLOOKUP('Données projet'!$B$11,Paramètres!$A$1:$I$89,5,0)</f>
        <v>1.3301360013429075E-13</v>
      </c>
      <c r="BF192" s="14">
        <f t="shared" si="167"/>
        <v>1.9329766731057041E-12</v>
      </c>
      <c r="BG192" s="22">
        <f t="shared" si="168"/>
        <v>3.5982663925596575E-12</v>
      </c>
      <c r="BH192" s="62">
        <f t="shared" si="116"/>
        <v>293.3333333333369</v>
      </c>
      <c r="BI192" s="62">
        <f ca="1">AVERAGE(OFFSET($BH$3,0,0,'Données projet'!$E$11+1,1))-AVERAGE(OFFSET($H$3,0,0,'Données projet'!$E$11+1,1))</f>
        <v>246.73711856758143</v>
      </c>
      <c r="BJ192" s="62">
        <f t="shared" si="146"/>
        <v>145.54897745089966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6.3550942286383367E-14</v>
      </c>
      <c r="CA192" s="14">
        <f t="shared" si="170"/>
        <v>1.0064464192543978E-12</v>
      </c>
      <c r="CB192" s="22">
        <f t="shared" si="171"/>
        <v>1.8635787380168604E-12</v>
      </c>
      <c r="CC192" s="62">
        <f t="shared" si="119"/>
        <v>293.33333333333519</v>
      </c>
      <c r="CD192" s="62">
        <f ca="1">AVERAGE(OFFSET($CC$3,0,0,'Données projet'!$E$12+1,1))-AVERAGE(OFFSET($H$3,0,0,'Données projet'!$E$12+1,1))</f>
        <v>321.13335003345236</v>
      </c>
      <c r="CE192" s="62">
        <f t="shared" si="148"/>
        <v>301.26825075712128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0.25101577180381446</v>
      </c>
      <c r="CM192" s="23">
        <f>EXP(-LN(2)/2)*CM191+(1-EXP(-LN(2)/2))/(LN(2)/2)*CG192*CJ192*VLOOKUP('Données projet'!$B$12,Paramètres!$A$1:$I$89,3,0)*0.475*44/12</f>
        <v>1.1535709330358308E-23</v>
      </c>
      <c r="CN192" s="24">
        <f t="shared" si="172"/>
        <v>0.25101577180381446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6.7984728957526396E-14</v>
      </c>
      <c r="CV192" s="14">
        <f t="shared" si="173"/>
        <v>1.0682447123141398E-12</v>
      </c>
      <c r="CW192" s="22">
        <f t="shared" si="174"/>
        <v>1.978932943548152E-12</v>
      </c>
      <c r="CX192" s="62">
        <f t="shared" si="122"/>
        <v>293.3333333333353</v>
      </c>
      <c r="CY192" s="62">
        <f ca="1">AVERAGE(OFFSET($CX$3,0,0,'Données projet'!$E$13+1,1))-AVERAGE(OFFSET($H$3,0,0,'Données projet'!$E$13+1,1))</f>
        <v>260.02504691866199</v>
      </c>
      <c r="CZ192" s="62">
        <f t="shared" si="150"/>
        <v>270.11268336406368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0.42936262588115903</v>
      </c>
      <c r="DG192" s="23">
        <f>EXP(-LN(2)/25)*DG191+(1-EXP(-LN(2)/25))/(LN(2)/25)*Calculateur!DB192*Calculateur!DD192*VLOOKUP('Données projet'!$B$13,Paramètres!$A$1:$I$89,3,0)*0.475*44/12</f>
        <v>0.20009965947666422</v>
      </c>
      <c r="DH192" s="23">
        <f>EXP(-LN(2)/2)*DH191+(1-EXP(-LN(2)/2))/(LN(2)/2)*DB192*DE192*VLOOKUP('Données projet'!$B$13,Paramètres!$A$1:$I$89,3,0)*0.475*44/12</f>
        <v>7.416549972850591E-24</v>
      </c>
      <c r="DI192" s="24">
        <f t="shared" si="175"/>
        <v>0.62946228535782323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-1.7053025658242404E-13</v>
      </c>
      <c r="DP192" s="18">
        <f>DO192*VLOOKUP('Données projet'!$B$14,Paramètres!$A$1:$I$89,3,0)*VLOOKUP('Données projet'!$B$14,Paramètres!$A$1:$I$89,5,0)</f>
        <v>-1.3567387213697657E-13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312.53381881960331</v>
      </c>
      <c r="DU192" s="62">
        <f t="shared" si="152"/>
        <v>342.06887933351783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5.4978954722173515E-14</v>
      </c>
      <c r="EL192" s="14">
        <f t="shared" si="179"/>
        <v>8.8550225887742724E-13</v>
      </c>
      <c r="EM192" s="22">
        <f t="shared" si="180"/>
        <v>1.6380047803526383E-12</v>
      </c>
      <c r="EN192" s="62">
        <f t="shared" si="128"/>
        <v>293.33333333333496</v>
      </c>
      <c r="EO192" s="62">
        <f ca="1">AVERAGE(OFFSET($EN$3,0,0,'Données projet'!$E$15+1,1))-AVERAGE(OFFSET($H$3,0,0,'Données projet'!$E$15+1,1))</f>
        <v>255.59755832175625</v>
      </c>
      <c r="EP192" s="62">
        <f t="shared" si="154"/>
        <v>154.0840647586964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197.08445731383847</v>
      </c>
      <c r="FK192" s="62">
        <f t="shared" si="156"/>
        <v>157.12482557016511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428.8489304403459</v>
      </c>
      <c r="T193" s="62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475.47920969424894</v>
      </c>
      <c r="AO193" s="62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2.8421709430404007E-13</v>
      </c>
      <c r="BE193" s="14">
        <f>BD193*VLOOKUP('Données projet'!$B$11,Paramètres!$A$1:$I$89,3,0)*VLOOKUP('Données projet'!$B$11,Paramètres!$A$1:$I$89,5,0)</f>
        <v>1.3301360013429075E-13</v>
      </c>
      <c r="BF193" s="14">
        <f t="shared" si="167"/>
        <v>1.9329766731057041E-12</v>
      </c>
      <c r="BG193" s="22">
        <f t="shared" si="168"/>
        <v>3.5982663925596575E-12</v>
      </c>
      <c r="BH193" s="62">
        <f t="shared" si="116"/>
        <v>293.3333333333369</v>
      </c>
      <c r="BI193" s="62">
        <f ca="1">AVERAGE(OFFSET($BH$3,0,0,'Données projet'!$E$11+1,1))-AVERAGE(OFFSET($H$3,0,0,'Données projet'!$E$11+1,1))</f>
        <v>246.73711856758143</v>
      </c>
      <c r="BJ193" s="62">
        <f t="shared" si="146"/>
        <v>145.54897745089966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6.3550942286383367E-14</v>
      </c>
      <c r="CA193" s="14">
        <f t="shared" si="170"/>
        <v>1.0064464192543978E-12</v>
      </c>
      <c r="CB193" s="22">
        <f t="shared" si="171"/>
        <v>1.8635787380168604E-12</v>
      </c>
      <c r="CC193" s="62">
        <f t="shared" si="119"/>
        <v>293.33333333333519</v>
      </c>
      <c r="CD193" s="62">
        <f ca="1">AVERAGE(OFFSET($CC$3,0,0,'Données projet'!$E$12+1,1))-AVERAGE(OFFSET($H$3,0,0,'Données projet'!$E$12+1,1))</f>
        <v>321.13335003345236</v>
      </c>
      <c r="CE193" s="62">
        <f t="shared" si="148"/>
        <v>301.26825075712128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0.24415173232349341</v>
      </c>
      <c r="CM193" s="23">
        <f>EXP(-LN(2)/2)*CM192+(1-EXP(-LN(2)/2))/(LN(2)/2)*CG193*CJ193*VLOOKUP('Données projet'!$B$12,Paramètres!$A$1:$I$89,3,0)*0.475*44/12</f>
        <v>8.1569782932932864E-24</v>
      </c>
      <c r="CN193" s="24">
        <f t="shared" si="172"/>
        <v>0.24415173232349341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6.7984728957526396E-14</v>
      </c>
      <c r="CV193" s="14">
        <f t="shared" si="173"/>
        <v>1.0682447123141398E-12</v>
      </c>
      <c r="CW193" s="22">
        <f t="shared" si="174"/>
        <v>1.978932943548152E-12</v>
      </c>
      <c r="CX193" s="62">
        <f t="shared" si="122"/>
        <v>293.3333333333353</v>
      </c>
      <c r="CY193" s="62">
        <f ca="1">AVERAGE(OFFSET($CX$3,0,0,'Données projet'!$E$13+1,1))-AVERAGE(OFFSET($H$3,0,0,'Données projet'!$E$13+1,1))</f>
        <v>260.02504691866199</v>
      </c>
      <c r="CZ193" s="62">
        <f t="shared" si="150"/>
        <v>270.11268336406368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0.42094308667297226</v>
      </c>
      <c r="DG193" s="23">
        <f>EXP(-LN(2)/25)*DG192+(1-EXP(-LN(2)/25))/(LN(2)/25)*Calculateur!DB193*Calculateur!DD193*VLOOKUP('Données projet'!$B$13,Paramètres!$A$1:$I$89,3,0)*0.475*44/12</f>
        <v>0.19462792376549107</v>
      </c>
      <c r="DH193" s="23">
        <f>EXP(-LN(2)/2)*DH192+(1-EXP(-LN(2)/2))/(LN(2)/2)*DB193*DE193*VLOOKUP('Données projet'!$B$13,Paramètres!$A$1:$I$89,3,0)*0.475*44/12</f>
        <v>5.2442927788115578E-24</v>
      </c>
      <c r="DI193" s="24">
        <f t="shared" si="175"/>
        <v>0.6155710104384633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-1.7053025658242404E-13</v>
      </c>
      <c r="DP193" s="18">
        <f>DO193*VLOOKUP('Données projet'!$B$14,Paramètres!$A$1:$I$89,3,0)*VLOOKUP('Données projet'!$B$14,Paramètres!$A$1:$I$89,5,0)</f>
        <v>-1.3567387213697657E-13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312.53381881960331</v>
      </c>
      <c r="DU193" s="62">
        <f t="shared" si="152"/>
        <v>342.06887933351783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5.4978954722173515E-14</v>
      </c>
      <c r="EL193" s="14">
        <f t="shared" si="179"/>
        <v>8.8550225887742724E-13</v>
      </c>
      <c r="EM193" s="22">
        <f t="shared" si="180"/>
        <v>1.6380047803526383E-12</v>
      </c>
      <c r="EN193" s="62">
        <f t="shared" si="128"/>
        <v>293.33333333333496</v>
      </c>
      <c r="EO193" s="62">
        <f ca="1">AVERAGE(OFFSET($EN$3,0,0,'Données projet'!$E$15+1,1))-AVERAGE(OFFSET($H$3,0,0,'Données projet'!$E$15+1,1))</f>
        <v>255.59755832175625</v>
      </c>
      <c r="EP193" s="62">
        <f t="shared" si="154"/>
        <v>154.0840647586964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197.08445731383847</v>
      </c>
      <c r="FK193" s="62">
        <f t="shared" si="156"/>
        <v>157.12482557016511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428.8489304403459</v>
      </c>
      <c r="T194" s="62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475.47920969424894</v>
      </c>
      <c r="AO194" s="62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2.8421709430404007E-13</v>
      </c>
      <c r="BE194" s="14">
        <f>BD194*VLOOKUP('Données projet'!$B$11,Paramètres!$A$1:$I$89,3,0)*VLOOKUP('Données projet'!$B$11,Paramètres!$A$1:$I$89,5,0)</f>
        <v>1.3301360013429075E-13</v>
      </c>
      <c r="BF194" s="14">
        <f t="shared" si="167"/>
        <v>1.9329766731057041E-12</v>
      </c>
      <c r="BG194" s="22">
        <f t="shared" si="168"/>
        <v>3.5982663925596575E-12</v>
      </c>
      <c r="BH194" s="62">
        <f t="shared" si="116"/>
        <v>293.3333333333369</v>
      </c>
      <c r="BI194" s="62">
        <f ca="1">AVERAGE(OFFSET($BH$3,0,0,'Données projet'!$E$11+1,1))-AVERAGE(OFFSET($H$3,0,0,'Données projet'!$E$11+1,1))</f>
        <v>246.73711856758143</v>
      </c>
      <c r="BJ194" s="62">
        <f t="shared" si="146"/>
        <v>145.54897745089966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6.3550942286383367E-14</v>
      </c>
      <c r="CA194" s="14">
        <f t="shared" si="170"/>
        <v>1.0064464192543978E-12</v>
      </c>
      <c r="CB194" s="22">
        <f t="shared" si="171"/>
        <v>1.8635787380168604E-12</v>
      </c>
      <c r="CC194" s="62">
        <f t="shared" si="119"/>
        <v>293.33333333333519</v>
      </c>
      <c r="CD194" s="62">
        <f ca="1">AVERAGE(OFFSET($CC$3,0,0,'Données projet'!$E$12+1,1))-AVERAGE(OFFSET($H$3,0,0,'Données projet'!$E$12+1,1))</f>
        <v>321.13335003345236</v>
      </c>
      <c r="CE194" s="62">
        <f t="shared" si="148"/>
        <v>301.26825075712128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0.23747539036372589</v>
      </c>
      <c r="CM194" s="23">
        <f>EXP(-LN(2)/2)*CM193+(1-EXP(-LN(2)/2))/(LN(2)/2)*CG194*CJ194*VLOOKUP('Données projet'!$B$12,Paramètres!$A$1:$I$89,3,0)*0.475*44/12</f>
        <v>5.7678546651791539E-24</v>
      </c>
      <c r="CN194" s="24">
        <f t="shared" si="172"/>
        <v>0.23747539036372589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6.7984728957526396E-14</v>
      </c>
      <c r="CV194" s="14">
        <f t="shared" si="173"/>
        <v>1.0682447123141398E-12</v>
      </c>
      <c r="CW194" s="22">
        <f t="shared" si="174"/>
        <v>1.978932943548152E-12</v>
      </c>
      <c r="CX194" s="62">
        <f t="shared" si="122"/>
        <v>293.3333333333353</v>
      </c>
      <c r="CY194" s="62">
        <f ca="1">AVERAGE(OFFSET($CX$3,0,0,'Données projet'!$E$13+1,1))-AVERAGE(OFFSET($H$3,0,0,'Données projet'!$E$13+1,1))</f>
        <v>260.02504691866199</v>
      </c>
      <c r="CZ194" s="62">
        <f t="shared" si="150"/>
        <v>270.11268336406368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0.41268864949324618</v>
      </c>
      <c r="DG194" s="23">
        <f>EXP(-LN(2)/25)*DG193+(1-EXP(-LN(2)/25))/(LN(2)/25)*Calculateur!DB194*Calculateur!DD194*VLOOKUP('Données projet'!$B$13,Paramètres!$A$1:$I$89,3,0)*0.475*44/12</f>
        <v>0.18930581295508603</v>
      </c>
      <c r="DH194" s="23">
        <f>EXP(-LN(2)/2)*DH193+(1-EXP(-LN(2)/2))/(LN(2)/2)*DB194*DE194*VLOOKUP('Données projet'!$B$13,Paramètres!$A$1:$I$89,3,0)*0.475*44/12</f>
        <v>3.7082749864252955E-24</v>
      </c>
      <c r="DI194" s="24">
        <f t="shared" si="175"/>
        <v>0.60199446244833221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-1.7053025658242404E-13</v>
      </c>
      <c r="DP194" s="18">
        <f>DO194*VLOOKUP('Données projet'!$B$14,Paramètres!$A$1:$I$89,3,0)*VLOOKUP('Données projet'!$B$14,Paramètres!$A$1:$I$89,5,0)</f>
        <v>-1.3567387213697657E-13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312.53381881960331</v>
      </c>
      <c r="DU194" s="62">
        <f t="shared" si="152"/>
        <v>342.06887933351783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5.4978954722173515E-14</v>
      </c>
      <c r="EL194" s="14">
        <f t="shared" si="179"/>
        <v>8.8550225887742724E-13</v>
      </c>
      <c r="EM194" s="22">
        <f t="shared" si="180"/>
        <v>1.6380047803526383E-12</v>
      </c>
      <c r="EN194" s="62">
        <f t="shared" si="128"/>
        <v>293.33333333333496</v>
      </c>
      <c r="EO194" s="62">
        <f ca="1">AVERAGE(OFFSET($EN$3,0,0,'Données projet'!$E$15+1,1))-AVERAGE(OFFSET($H$3,0,0,'Données projet'!$E$15+1,1))</f>
        <v>255.59755832175625</v>
      </c>
      <c r="EP194" s="62">
        <f t="shared" si="154"/>
        <v>154.0840647586964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197.08445731383847</v>
      </c>
      <c r="FK194" s="62">
        <f t="shared" si="156"/>
        <v>157.12482557016511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428.8489304403459</v>
      </c>
      <c r="T195" s="62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475.47920969424894</v>
      </c>
      <c r="AO195" s="62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2.8421709430404007E-13</v>
      </c>
      <c r="BE195" s="14">
        <f>BD195*VLOOKUP('Données projet'!$B$11,Paramètres!$A$1:$I$89,3,0)*VLOOKUP('Données projet'!$B$11,Paramètres!$A$1:$I$89,5,0)</f>
        <v>1.3301360013429075E-13</v>
      </c>
      <c r="BF195" s="14">
        <f t="shared" si="167"/>
        <v>1.9329766731057041E-12</v>
      </c>
      <c r="BG195" s="22">
        <f t="shared" si="168"/>
        <v>3.5982663925596575E-12</v>
      </c>
      <c r="BH195" s="62">
        <f t="shared" si="116"/>
        <v>293.3333333333369</v>
      </c>
      <c r="BI195" s="62">
        <f ca="1">AVERAGE(OFFSET($BH$3,0,0,'Données projet'!$E$11+1,1))-AVERAGE(OFFSET($H$3,0,0,'Données projet'!$E$11+1,1))</f>
        <v>246.73711856758143</v>
      </c>
      <c r="BJ195" s="62">
        <f t="shared" si="146"/>
        <v>145.54897745089966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6.3550942286383367E-14</v>
      </c>
      <c r="CA195" s="14">
        <f t="shared" si="170"/>
        <v>1.0064464192543978E-12</v>
      </c>
      <c r="CB195" s="22">
        <f t="shared" si="171"/>
        <v>1.8635787380168604E-12</v>
      </c>
      <c r="CC195" s="62">
        <f t="shared" si="119"/>
        <v>293.33333333333519</v>
      </c>
      <c r="CD195" s="62">
        <f ca="1">AVERAGE(OFFSET($CC$3,0,0,'Données projet'!$E$12+1,1))-AVERAGE(OFFSET($H$3,0,0,'Données projet'!$E$12+1,1))</f>
        <v>321.13335003345236</v>
      </c>
      <c r="CE195" s="62">
        <f t="shared" si="148"/>
        <v>301.26825075712128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0.23098161332594178</v>
      </c>
      <c r="CM195" s="23">
        <f>EXP(-LN(2)/2)*CM194+(1-EXP(-LN(2)/2))/(LN(2)/2)*CG195*CJ195*VLOOKUP('Données projet'!$B$12,Paramètres!$A$1:$I$89,3,0)*0.475*44/12</f>
        <v>4.0784891466466432E-24</v>
      </c>
      <c r="CN195" s="24">
        <f t="shared" si="172"/>
        <v>0.23098161332594178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6.7984728957526396E-14</v>
      </c>
      <c r="CV195" s="14">
        <f t="shared" si="173"/>
        <v>1.0682447123141398E-12</v>
      </c>
      <c r="CW195" s="22">
        <f t="shared" si="174"/>
        <v>1.978932943548152E-12</v>
      </c>
      <c r="CX195" s="62">
        <f t="shared" si="122"/>
        <v>293.3333333333353</v>
      </c>
      <c r="CY195" s="62">
        <f ca="1">AVERAGE(OFFSET($CX$3,0,0,'Données projet'!$E$13+1,1))-AVERAGE(OFFSET($H$3,0,0,'Données projet'!$E$13+1,1))</f>
        <v>260.02504691866199</v>
      </c>
      <c r="CZ195" s="62">
        <f t="shared" si="150"/>
        <v>270.11268336406368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0.40459607679190501</v>
      </c>
      <c r="DG195" s="23">
        <f>EXP(-LN(2)/25)*DG194+(1-EXP(-LN(2)/25))/(LN(2)/25)*Calculateur!DB195*Calculateur!DD195*VLOOKUP('Données projet'!$B$13,Paramètres!$A$1:$I$89,3,0)*0.475*44/12</f>
        <v>0.18412923554466917</v>
      </c>
      <c r="DH195" s="23">
        <f>EXP(-LN(2)/2)*DH194+(1-EXP(-LN(2)/2))/(LN(2)/2)*DB195*DE195*VLOOKUP('Données projet'!$B$13,Paramètres!$A$1:$I$89,3,0)*0.475*44/12</f>
        <v>2.6221463894057789E-24</v>
      </c>
      <c r="DI195" s="24">
        <f t="shared" si="175"/>
        <v>0.58872531233657421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-1.7053025658242404E-13</v>
      </c>
      <c r="DP195" s="18">
        <f>DO195*VLOOKUP('Données projet'!$B$14,Paramètres!$A$1:$I$89,3,0)*VLOOKUP('Données projet'!$B$14,Paramètres!$A$1:$I$89,5,0)</f>
        <v>-1.3567387213697657E-13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312.53381881960331</v>
      </c>
      <c r="DU195" s="62">
        <f t="shared" si="152"/>
        <v>342.06887933351783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5.4978954722173515E-14</v>
      </c>
      <c r="EL195" s="14">
        <f t="shared" si="179"/>
        <v>8.8550225887742724E-13</v>
      </c>
      <c r="EM195" s="22">
        <f t="shared" si="180"/>
        <v>1.6380047803526383E-12</v>
      </c>
      <c r="EN195" s="62">
        <f t="shared" si="128"/>
        <v>293.33333333333496</v>
      </c>
      <c r="EO195" s="62">
        <f ca="1">AVERAGE(OFFSET($EN$3,0,0,'Données projet'!$E$15+1,1))-AVERAGE(OFFSET($H$3,0,0,'Données projet'!$E$15+1,1))</f>
        <v>255.59755832175625</v>
      </c>
      <c r="EP195" s="62">
        <f t="shared" si="154"/>
        <v>154.0840647586964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197.08445731383847</v>
      </c>
      <c r="FK195" s="62">
        <f t="shared" si="156"/>
        <v>157.12482557016511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428.8489304403459</v>
      </c>
      <c r="T196" s="62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475.47920969424894</v>
      </c>
      <c r="AO196" s="62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2.8421709430404007E-13</v>
      </c>
      <c r="BE196" s="14">
        <f>BD196*VLOOKUP('Données projet'!$B$11,Paramètres!$A$1:$I$89,3,0)*VLOOKUP('Données projet'!$B$11,Paramètres!$A$1:$I$89,5,0)</f>
        <v>1.3301360013429075E-13</v>
      </c>
      <c r="BF196" s="14">
        <f t="shared" si="167"/>
        <v>1.9329766731057041E-12</v>
      </c>
      <c r="BG196" s="22">
        <f t="shared" si="168"/>
        <v>3.5982663925596575E-12</v>
      </c>
      <c r="BH196" s="62">
        <f t="shared" ref="BH196:BH203" si="194">BG196+(AY196+AZ196)*44/12</f>
        <v>293.3333333333369</v>
      </c>
      <c r="BI196" s="62">
        <f ca="1">AVERAGE(OFFSET($BH$3,0,0,'Données projet'!$E$11+1,1))-AVERAGE(OFFSET($H$3,0,0,'Données projet'!$E$11+1,1))</f>
        <v>246.73711856758143</v>
      </c>
      <c r="BJ196" s="62">
        <f t="shared" si="146"/>
        <v>145.54897745089966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6.3550942286383367E-14</v>
      </c>
      <c r="CA196" s="14">
        <f t="shared" si="170"/>
        <v>1.0064464192543978E-12</v>
      </c>
      <c r="CB196" s="22">
        <f t="shared" si="171"/>
        <v>1.8635787380168604E-12</v>
      </c>
      <c r="CC196" s="62">
        <f t="shared" ref="CC196:CC203" si="195">CB196+(BT196+BU196)*44/12</f>
        <v>293.33333333333519</v>
      </c>
      <c r="CD196" s="62">
        <f ca="1">AVERAGE(OFFSET($CC$3,0,0,'Données projet'!$E$12+1,1))-AVERAGE(OFFSET($H$3,0,0,'Données projet'!$E$12+1,1))</f>
        <v>321.13335003345236</v>
      </c>
      <c r="CE196" s="62">
        <f t="shared" si="148"/>
        <v>301.26825075712128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0.22466540896274878</v>
      </c>
      <c r="CM196" s="23">
        <f>EXP(-LN(2)/2)*CM195+(1-EXP(-LN(2)/2))/(LN(2)/2)*CG196*CJ196*VLOOKUP('Données projet'!$B$12,Paramètres!$A$1:$I$89,3,0)*0.475*44/12</f>
        <v>2.8839273325895769E-24</v>
      </c>
      <c r="CN196" s="24">
        <f t="shared" si="172"/>
        <v>0.22466540896274878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6.7984728957526396E-14</v>
      </c>
      <c r="CV196" s="14">
        <f t="shared" si="173"/>
        <v>1.0682447123141398E-12</v>
      </c>
      <c r="CW196" s="22">
        <f t="shared" si="174"/>
        <v>1.978932943548152E-12</v>
      </c>
      <c r="CX196" s="62">
        <f t="shared" ref="CX196:CX203" si="196">CW196+(CO196+CP196)*44/12</f>
        <v>293.3333333333353</v>
      </c>
      <c r="CY196" s="62">
        <f ca="1">AVERAGE(OFFSET($CX$3,0,0,'Données projet'!$E$13+1,1))-AVERAGE(OFFSET($H$3,0,0,'Données projet'!$E$13+1,1))</f>
        <v>260.02504691866199</v>
      </c>
      <c r="CZ196" s="62">
        <f t="shared" si="150"/>
        <v>270.11268336406368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0.39666219450525519</v>
      </c>
      <c r="DG196" s="23">
        <f>EXP(-LN(2)/25)*DG195+(1-EXP(-LN(2)/25))/(LN(2)/25)*Calculateur!DB196*Calculateur!DD196*VLOOKUP('Données projet'!$B$13,Paramètres!$A$1:$I$89,3,0)*0.475*44/12</f>
        <v>0.17909421191576452</v>
      </c>
      <c r="DH196" s="23">
        <f>EXP(-LN(2)/2)*DH195+(1-EXP(-LN(2)/2))/(LN(2)/2)*DB196*DE196*VLOOKUP('Données projet'!$B$13,Paramètres!$A$1:$I$89,3,0)*0.475*44/12</f>
        <v>1.8541374932126477E-24</v>
      </c>
      <c r="DI196" s="24">
        <f t="shared" si="175"/>
        <v>0.57575640642101966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-1.7053025658242404E-13</v>
      </c>
      <c r="DP196" s="18">
        <f>DO196*VLOOKUP('Données projet'!$B$14,Paramètres!$A$1:$I$89,3,0)*VLOOKUP('Données projet'!$B$14,Paramètres!$A$1:$I$89,5,0)</f>
        <v>-1.3567387213697657E-13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312.53381881960331</v>
      </c>
      <c r="DU196" s="62">
        <f t="shared" si="152"/>
        <v>342.06887933351783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5.4978954722173515E-14</v>
      </c>
      <c r="EL196" s="14">
        <f t="shared" si="179"/>
        <v>8.8550225887742724E-13</v>
      </c>
      <c r="EM196" s="22">
        <f t="shared" si="180"/>
        <v>1.6380047803526383E-12</v>
      </c>
      <c r="EN196" s="62">
        <f t="shared" ref="EN196:EN203" si="198">EM196+(EE196+EF196)*44/12</f>
        <v>293.33333333333496</v>
      </c>
      <c r="EO196" s="62">
        <f ca="1">AVERAGE(OFFSET($EN$3,0,0,'Données projet'!$E$15+1,1))-AVERAGE(OFFSET($H$3,0,0,'Données projet'!$E$15+1,1))</f>
        <v>255.59755832175625</v>
      </c>
      <c r="EP196" s="62">
        <f t="shared" si="154"/>
        <v>154.0840647586964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197.08445731383847</v>
      </c>
      <c r="FK196" s="62">
        <f t="shared" si="156"/>
        <v>157.12482557016511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428.8489304403459</v>
      </c>
      <c r="T197" s="62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475.47920969424894</v>
      </c>
      <c r="AO197" s="62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2.8421709430404007E-13</v>
      </c>
      <c r="BE197" s="14">
        <f>BD197*VLOOKUP('Données projet'!$B$11,Paramètres!$A$1:$I$89,3,0)*VLOOKUP('Données projet'!$B$11,Paramètres!$A$1:$I$89,5,0)</f>
        <v>1.3301360013429075E-13</v>
      </c>
      <c r="BF197" s="14">
        <f t="shared" si="167"/>
        <v>1.9329766731057041E-12</v>
      </c>
      <c r="BG197" s="22">
        <f t="shared" si="168"/>
        <v>3.5982663925596575E-12</v>
      </c>
      <c r="BH197" s="62">
        <f t="shared" si="194"/>
        <v>293.3333333333369</v>
      </c>
      <c r="BI197" s="62">
        <f ca="1">AVERAGE(OFFSET($BH$3,0,0,'Données projet'!$E$11+1,1))-AVERAGE(OFFSET($H$3,0,0,'Données projet'!$E$11+1,1))</f>
        <v>246.73711856758143</v>
      </c>
      <c r="BJ197" s="62">
        <f t="shared" ref="BJ197:BJ203" si="206">$BJ$3</f>
        <v>145.54897745089966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6.3550942286383367E-14</v>
      </c>
      <c r="CA197" s="14">
        <f t="shared" si="170"/>
        <v>1.0064464192543978E-12</v>
      </c>
      <c r="CB197" s="22">
        <f t="shared" si="171"/>
        <v>1.8635787380168604E-12</v>
      </c>
      <c r="CC197" s="62">
        <f t="shared" si="195"/>
        <v>293.33333333333519</v>
      </c>
      <c r="CD197" s="62">
        <f ca="1">AVERAGE(OFFSET($CC$3,0,0,'Données projet'!$E$12+1,1))-AVERAGE(OFFSET($H$3,0,0,'Données projet'!$E$12+1,1))</f>
        <v>321.13335003345236</v>
      </c>
      <c r="CE197" s="62">
        <f t="shared" ref="CE197:CE203" si="207">$CE$3</f>
        <v>301.26825075712128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0.21852192154002203</v>
      </c>
      <c r="CM197" s="23">
        <f>EXP(-LN(2)/2)*CM196+(1-EXP(-LN(2)/2))/(LN(2)/2)*CG197*CJ197*VLOOKUP('Données projet'!$B$12,Paramètres!$A$1:$I$89,3,0)*0.475*44/12</f>
        <v>2.0392445733233216E-24</v>
      </c>
      <c r="CN197" s="24">
        <f t="shared" si="172"/>
        <v>0.21852192154002203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6.7984728957526396E-14</v>
      </c>
      <c r="CV197" s="14">
        <f t="shared" si="173"/>
        <v>1.0682447123141398E-12</v>
      </c>
      <c r="CW197" s="22">
        <f t="shared" si="174"/>
        <v>1.978932943548152E-12</v>
      </c>
      <c r="CX197" s="62">
        <f t="shared" si="196"/>
        <v>293.3333333333353</v>
      </c>
      <c r="CY197" s="62">
        <f ca="1">AVERAGE(OFFSET($CX$3,0,0,'Données projet'!$E$13+1,1))-AVERAGE(OFFSET($H$3,0,0,'Données projet'!$E$13+1,1))</f>
        <v>260.02504691866199</v>
      </c>
      <c r="CZ197" s="62">
        <f t="shared" ref="CZ197:CZ203" si="208">$CZ$3</f>
        <v>270.11268336406368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0.38888389081105618</v>
      </c>
      <c r="DG197" s="23">
        <f>EXP(-LN(2)/25)*DG196+(1-EXP(-LN(2)/25))/(LN(2)/25)*Calculateur!DB197*Calculateur!DD197*VLOOKUP('Données projet'!$B$13,Paramètres!$A$1:$I$89,3,0)*0.475*44/12</f>
        <v>0.17419687127277267</v>
      </c>
      <c r="DH197" s="23">
        <f>EXP(-LN(2)/2)*DH196+(1-EXP(-LN(2)/2))/(LN(2)/2)*DB197*DE197*VLOOKUP('Données projet'!$B$13,Paramètres!$A$1:$I$89,3,0)*0.475*44/12</f>
        <v>1.3110731947028895E-24</v>
      </c>
      <c r="DI197" s="24">
        <f t="shared" si="175"/>
        <v>0.56308076208382885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-1.7053025658242404E-13</v>
      </c>
      <c r="DP197" s="18">
        <f>DO197*VLOOKUP('Données projet'!$B$14,Paramètres!$A$1:$I$89,3,0)*VLOOKUP('Données projet'!$B$14,Paramètres!$A$1:$I$89,5,0)</f>
        <v>-1.3567387213697657E-13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312.53381881960331</v>
      </c>
      <c r="DU197" s="62">
        <f t="shared" ref="DU197:DU203" si="209">$DU$3</f>
        <v>342.06887933351783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5.4978954722173515E-14</v>
      </c>
      <c r="EL197" s="14">
        <f t="shared" si="179"/>
        <v>8.8550225887742724E-13</v>
      </c>
      <c r="EM197" s="22">
        <f t="shared" si="180"/>
        <v>1.6380047803526383E-12</v>
      </c>
      <c r="EN197" s="62">
        <f t="shared" si="198"/>
        <v>293.33333333333496</v>
      </c>
      <c r="EO197" s="62">
        <f ca="1">AVERAGE(OFFSET($EN$3,0,0,'Données projet'!$E$15+1,1))-AVERAGE(OFFSET($H$3,0,0,'Données projet'!$E$15+1,1))</f>
        <v>255.59755832175625</v>
      </c>
      <c r="EP197" s="62">
        <f t="shared" ref="EP197:EP203" si="210">$EP$3</f>
        <v>154.0840647586964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197.08445731383847</v>
      </c>
      <c r="FK197" s="62">
        <f t="shared" ref="FK197:FK203" si="211">$FK$3</f>
        <v>157.12482557016511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428.8489304403459</v>
      </c>
      <c r="T198" s="62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475.47920969424894</v>
      </c>
      <c r="AO198" s="62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2.8421709430404007E-13</v>
      </c>
      <c r="BE198" s="14">
        <f>BD198*VLOOKUP('Données projet'!$B$11,Paramètres!$A$1:$I$89,3,0)*VLOOKUP('Données projet'!$B$11,Paramètres!$A$1:$I$89,5,0)</f>
        <v>1.3301360013429075E-13</v>
      </c>
      <c r="BF198" s="14">
        <f t="shared" si="167"/>
        <v>1.9329766731057041E-12</v>
      </c>
      <c r="BG198" s="22">
        <f t="shared" si="168"/>
        <v>3.5982663925596575E-12</v>
      </c>
      <c r="BH198" s="62">
        <f t="shared" si="194"/>
        <v>293.3333333333369</v>
      </c>
      <c r="BI198" s="62">
        <f ca="1">AVERAGE(OFFSET($BH$3,0,0,'Données projet'!$E$11+1,1))-AVERAGE(OFFSET($H$3,0,0,'Données projet'!$E$11+1,1))</f>
        <v>246.73711856758143</v>
      </c>
      <c r="BJ198" s="62">
        <f t="shared" si="206"/>
        <v>145.54897745089966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6.3550942286383367E-14</v>
      </c>
      <c r="CA198" s="14">
        <f t="shared" si="170"/>
        <v>1.0064464192543978E-12</v>
      </c>
      <c r="CB198" s="22">
        <f t="shared" si="171"/>
        <v>1.8635787380168604E-12</v>
      </c>
      <c r="CC198" s="62">
        <f t="shared" si="195"/>
        <v>293.33333333333519</v>
      </c>
      <c r="CD198" s="62">
        <f ca="1">AVERAGE(OFFSET($CC$3,0,0,'Données projet'!$E$12+1,1))-AVERAGE(OFFSET($H$3,0,0,'Données projet'!$E$12+1,1))</f>
        <v>321.13335003345236</v>
      </c>
      <c r="CE198" s="62">
        <f t="shared" si="207"/>
        <v>301.26825075712128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0.21254642810394173</v>
      </c>
      <c r="CM198" s="23">
        <f>EXP(-LN(2)/2)*CM197+(1-EXP(-LN(2)/2))/(LN(2)/2)*CG198*CJ198*VLOOKUP('Données projet'!$B$12,Paramètres!$A$1:$I$89,3,0)*0.475*44/12</f>
        <v>1.4419636662947885E-24</v>
      </c>
      <c r="CN198" s="24">
        <f t="shared" si="172"/>
        <v>0.21254642810394173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6.7984728957526396E-14</v>
      </c>
      <c r="CV198" s="14">
        <f t="shared" si="173"/>
        <v>1.0682447123141398E-12</v>
      </c>
      <c r="CW198" s="22">
        <f t="shared" si="174"/>
        <v>1.978932943548152E-12</v>
      </c>
      <c r="CX198" s="62">
        <f t="shared" si="196"/>
        <v>293.3333333333353</v>
      </c>
      <c r="CY198" s="62">
        <f ca="1">AVERAGE(OFFSET($CX$3,0,0,'Données projet'!$E$13+1,1))-AVERAGE(OFFSET($H$3,0,0,'Données projet'!$E$13+1,1))</f>
        <v>260.02504691866199</v>
      </c>
      <c r="CZ198" s="62">
        <f t="shared" si="208"/>
        <v>270.11268336406368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0.3812581149080036</v>
      </c>
      <c r="DG198" s="23">
        <f>EXP(-LN(2)/25)*DG197+(1-EXP(-LN(2)/25))/(LN(2)/25)*Calculateur!DB198*Calculateur!DD198*VLOOKUP('Données projet'!$B$13,Paramètres!$A$1:$I$89,3,0)*0.475*44/12</f>
        <v>0.16943344866720336</v>
      </c>
      <c r="DH198" s="23">
        <f>EXP(-LN(2)/2)*DH197+(1-EXP(-LN(2)/2))/(LN(2)/2)*DB198*DE198*VLOOKUP('Données projet'!$B$13,Paramètres!$A$1:$I$89,3,0)*0.475*44/12</f>
        <v>9.2706874660632387E-25</v>
      </c>
      <c r="DI198" s="24">
        <f t="shared" si="175"/>
        <v>0.55069156357520699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-1.7053025658242404E-13</v>
      </c>
      <c r="DP198" s="18">
        <f>DO198*VLOOKUP('Données projet'!$B$14,Paramètres!$A$1:$I$89,3,0)*VLOOKUP('Données projet'!$B$14,Paramètres!$A$1:$I$89,5,0)</f>
        <v>-1.3567387213697657E-13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312.53381881960331</v>
      </c>
      <c r="DU198" s="62">
        <f t="shared" si="209"/>
        <v>342.06887933351783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5.4978954722173515E-14</v>
      </c>
      <c r="EL198" s="14">
        <f t="shared" si="179"/>
        <v>8.8550225887742724E-13</v>
      </c>
      <c r="EM198" s="22">
        <f t="shared" si="180"/>
        <v>1.6380047803526383E-12</v>
      </c>
      <c r="EN198" s="62">
        <f t="shared" si="198"/>
        <v>293.33333333333496</v>
      </c>
      <c r="EO198" s="62">
        <f ca="1">AVERAGE(OFFSET($EN$3,0,0,'Données projet'!$E$15+1,1))-AVERAGE(OFFSET($H$3,0,0,'Données projet'!$E$15+1,1))</f>
        <v>255.59755832175625</v>
      </c>
      <c r="EP198" s="62">
        <f t="shared" si="210"/>
        <v>154.0840647586964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197.08445731383847</v>
      </c>
      <c r="FK198" s="62">
        <f t="shared" si="211"/>
        <v>157.12482557016511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428.8489304403459</v>
      </c>
      <c r="T199" s="62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475.47920969424894</v>
      </c>
      <c r="AO199" s="62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2.8421709430404007E-13</v>
      </c>
      <c r="BE199" s="14">
        <f>BD199*VLOOKUP('Données projet'!$B$11,Paramètres!$A$1:$I$89,3,0)*VLOOKUP('Données projet'!$B$11,Paramètres!$A$1:$I$89,5,0)</f>
        <v>1.3301360013429075E-13</v>
      </c>
      <c r="BF199" s="14">
        <f t="shared" si="167"/>
        <v>1.9329766731057041E-12</v>
      </c>
      <c r="BG199" s="22">
        <f t="shared" si="168"/>
        <v>3.5982663925596575E-12</v>
      </c>
      <c r="BH199" s="62">
        <f t="shared" si="194"/>
        <v>293.3333333333369</v>
      </c>
      <c r="BI199" s="62">
        <f ca="1">AVERAGE(OFFSET($BH$3,0,0,'Données projet'!$E$11+1,1))-AVERAGE(OFFSET($H$3,0,0,'Données projet'!$E$11+1,1))</f>
        <v>246.73711856758143</v>
      </c>
      <c r="BJ199" s="62">
        <f t="shared" si="206"/>
        <v>145.54897745089966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6.3550942286383367E-14</v>
      </c>
      <c r="CA199" s="14">
        <f t="shared" si="170"/>
        <v>1.0064464192543978E-12</v>
      </c>
      <c r="CB199" s="22">
        <f t="shared" si="171"/>
        <v>1.8635787380168604E-12</v>
      </c>
      <c r="CC199" s="62">
        <f t="shared" si="195"/>
        <v>293.33333333333519</v>
      </c>
      <c r="CD199" s="62">
        <f ca="1">AVERAGE(OFFSET($CC$3,0,0,'Données projet'!$E$12+1,1))-AVERAGE(OFFSET($H$3,0,0,'Données projet'!$E$12+1,1))</f>
        <v>321.13335003345236</v>
      </c>
      <c r="CE199" s="62">
        <f t="shared" si="207"/>
        <v>301.26825075712128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0.20673433485010856</v>
      </c>
      <c r="CM199" s="23">
        <f>EXP(-LN(2)/2)*CM198+(1-EXP(-LN(2)/2))/(LN(2)/2)*CG199*CJ199*VLOOKUP('Données projet'!$B$12,Paramètres!$A$1:$I$89,3,0)*0.475*44/12</f>
        <v>1.0196222866616608E-24</v>
      </c>
      <c r="CN199" s="24">
        <f t="shared" si="172"/>
        <v>0.20673433485010856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6.7984728957526396E-14</v>
      </c>
      <c r="CV199" s="14">
        <f t="shared" si="173"/>
        <v>1.0682447123141398E-12</v>
      </c>
      <c r="CW199" s="22">
        <f t="shared" si="174"/>
        <v>1.978932943548152E-12</v>
      </c>
      <c r="CX199" s="62">
        <f t="shared" si="196"/>
        <v>293.3333333333353</v>
      </c>
      <c r="CY199" s="62">
        <f ca="1">AVERAGE(OFFSET($CX$3,0,0,'Données projet'!$E$13+1,1))-AVERAGE(OFFSET($H$3,0,0,'Données projet'!$E$13+1,1))</f>
        <v>260.02504691866199</v>
      </c>
      <c r="CZ199" s="62">
        <f t="shared" si="208"/>
        <v>270.11268336406368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0.3737818758191459</v>
      </c>
      <c r="DG199" s="23">
        <f>EXP(-LN(2)/25)*DG198+(1-EXP(-LN(2)/25))/(LN(2)/25)*Calculateur!DB199*Calculateur!DD199*VLOOKUP('Données projet'!$B$13,Paramètres!$A$1:$I$89,3,0)*0.475*44/12</f>
        <v>0.16480028210328088</v>
      </c>
      <c r="DH199" s="23">
        <f>EXP(-LN(2)/2)*DH198+(1-EXP(-LN(2)/2))/(LN(2)/2)*DB199*DE199*VLOOKUP('Données projet'!$B$13,Paramètres!$A$1:$I$89,3,0)*0.475*44/12</f>
        <v>6.5553659735144473E-25</v>
      </c>
      <c r="DI199" s="24">
        <f t="shared" si="175"/>
        <v>0.53858215792242681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-1.7053025658242404E-13</v>
      </c>
      <c r="DP199" s="18">
        <f>DO199*VLOOKUP('Données projet'!$B$14,Paramètres!$A$1:$I$89,3,0)*VLOOKUP('Données projet'!$B$14,Paramètres!$A$1:$I$89,5,0)</f>
        <v>-1.3567387213697657E-13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312.53381881960331</v>
      </c>
      <c r="DU199" s="62">
        <f t="shared" si="209"/>
        <v>342.06887933351783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5.4978954722173515E-14</v>
      </c>
      <c r="EL199" s="14">
        <f t="shared" si="179"/>
        <v>8.8550225887742724E-13</v>
      </c>
      <c r="EM199" s="22">
        <f t="shared" si="180"/>
        <v>1.6380047803526383E-12</v>
      </c>
      <c r="EN199" s="62">
        <f t="shared" si="198"/>
        <v>293.33333333333496</v>
      </c>
      <c r="EO199" s="62">
        <f ca="1">AVERAGE(OFFSET($EN$3,0,0,'Données projet'!$E$15+1,1))-AVERAGE(OFFSET($H$3,0,0,'Données projet'!$E$15+1,1))</f>
        <v>255.59755832175625</v>
      </c>
      <c r="EP199" s="62">
        <f t="shared" si="210"/>
        <v>154.0840647586964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197.08445731383847</v>
      </c>
      <c r="FK199" s="62">
        <f t="shared" si="211"/>
        <v>157.12482557016511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428.8489304403459</v>
      </c>
      <c r="T200" s="62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475.47920969424894</v>
      </c>
      <c r="AO200" s="62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2.8421709430404007E-13</v>
      </c>
      <c r="BE200" s="14">
        <f>BD200*VLOOKUP('Données projet'!$B$11,Paramètres!$A$1:$I$89,3,0)*VLOOKUP('Données projet'!$B$11,Paramètres!$A$1:$I$89,5,0)</f>
        <v>1.3301360013429075E-13</v>
      </c>
      <c r="BF200" s="14">
        <f t="shared" si="167"/>
        <v>1.9329766731057041E-12</v>
      </c>
      <c r="BG200" s="22">
        <f t="shared" si="168"/>
        <v>3.5982663925596575E-12</v>
      </c>
      <c r="BH200" s="62">
        <f t="shared" si="194"/>
        <v>293.3333333333369</v>
      </c>
      <c r="BI200" s="62">
        <f ca="1">AVERAGE(OFFSET($BH$3,0,0,'Données projet'!$E$11+1,1))-AVERAGE(OFFSET($H$3,0,0,'Données projet'!$E$11+1,1))</f>
        <v>246.73711856758143</v>
      </c>
      <c r="BJ200" s="62">
        <f t="shared" si="206"/>
        <v>145.54897745089966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6.3550942286383367E-14</v>
      </c>
      <c r="CA200" s="14">
        <f t="shared" si="170"/>
        <v>1.0064464192543978E-12</v>
      </c>
      <c r="CB200" s="22">
        <f t="shared" si="171"/>
        <v>1.8635787380168604E-12</v>
      </c>
      <c r="CC200" s="62">
        <f t="shared" si="195"/>
        <v>293.33333333333519</v>
      </c>
      <c r="CD200" s="62">
        <f ca="1">AVERAGE(OFFSET($CC$3,0,0,'Données projet'!$E$12+1,1))-AVERAGE(OFFSET($H$3,0,0,'Données projet'!$E$12+1,1))</f>
        <v>321.13335003345236</v>
      </c>
      <c r="CE200" s="62">
        <f t="shared" si="207"/>
        <v>301.26825075712128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0.20108117359194616</v>
      </c>
      <c r="CM200" s="23">
        <f>EXP(-LN(2)/2)*CM199+(1-EXP(-LN(2)/2))/(LN(2)/2)*CG200*CJ200*VLOOKUP('Données projet'!$B$12,Paramètres!$A$1:$I$89,3,0)*0.475*44/12</f>
        <v>7.2098183314739423E-25</v>
      </c>
      <c r="CN200" s="24">
        <f t="shared" si="172"/>
        <v>0.20108117359194616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6.7984728957526396E-14</v>
      </c>
      <c r="CV200" s="14">
        <f t="shared" si="173"/>
        <v>1.0682447123141398E-12</v>
      </c>
      <c r="CW200" s="22">
        <f t="shared" si="174"/>
        <v>1.978932943548152E-12</v>
      </c>
      <c r="CX200" s="62">
        <f t="shared" si="196"/>
        <v>293.3333333333353</v>
      </c>
      <c r="CY200" s="62">
        <f ca="1">AVERAGE(OFFSET($CX$3,0,0,'Données projet'!$E$13+1,1))-AVERAGE(OFFSET($H$3,0,0,'Données projet'!$E$13+1,1))</f>
        <v>260.02504691866199</v>
      </c>
      <c r="CZ200" s="62">
        <f t="shared" si="208"/>
        <v>270.11268336406368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0.36645224121876513</v>
      </c>
      <c r="DG200" s="23">
        <f>EXP(-LN(2)/25)*DG199+(1-EXP(-LN(2)/25))/(LN(2)/25)*Calculateur!DB200*Calculateur!DD200*VLOOKUP('Données projet'!$B$13,Paramètres!$A$1:$I$89,3,0)*0.475*44/12</f>
        <v>0.16029380972269647</v>
      </c>
      <c r="DH200" s="23">
        <f>EXP(-LN(2)/2)*DH199+(1-EXP(-LN(2)/2))/(LN(2)/2)*DB200*DE200*VLOOKUP('Données projet'!$B$13,Paramètres!$A$1:$I$89,3,0)*0.475*44/12</f>
        <v>4.6353437330316194E-25</v>
      </c>
      <c r="DI200" s="24">
        <f t="shared" si="175"/>
        <v>0.52674605094146165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-1.7053025658242404E-13</v>
      </c>
      <c r="DP200" s="18">
        <f>DO200*VLOOKUP('Données projet'!$B$14,Paramètres!$A$1:$I$89,3,0)*VLOOKUP('Données projet'!$B$14,Paramètres!$A$1:$I$89,5,0)</f>
        <v>-1.3567387213697657E-13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312.53381881960331</v>
      </c>
      <c r="DU200" s="62">
        <f t="shared" si="209"/>
        <v>342.06887933351783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5.4978954722173515E-14</v>
      </c>
      <c r="EL200" s="14">
        <f t="shared" si="179"/>
        <v>8.8550225887742724E-13</v>
      </c>
      <c r="EM200" s="22">
        <f t="shared" si="180"/>
        <v>1.6380047803526383E-12</v>
      </c>
      <c r="EN200" s="62">
        <f t="shared" si="198"/>
        <v>293.33333333333496</v>
      </c>
      <c r="EO200" s="62">
        <f ca="1">AVERAGE(OFFSET($EN$3,0,0,'Données projet'!$E$15+1,1))-AVERAGE(OFFSET($H$3,0,0,'Données projet'!$E$15+1,1))</f>
        <v>255.59755832175625</v>
      </c>
      <c r="EP200" s="62">
        <f t="shared" si="210"/>
        <v>154.0840647586964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197.08445731383847</v>
      </c>
      <c r="FK200" s="62">
        <f t="shared" si="211"/>
        <v>157.12482557016511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428.8489304403459</v>
      </c>
      <c r="T201" s="62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475.47920969424894</v>
      </c>
      <c r="AO201" s="62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2.8421709430404007E-13</v>
      </c>
      <c r="BE201" s="14">
        <f>BD201*VLOOKUP('Données projet'!$B$11,Paramètres!$A$1:$I$89,3,0)*VLOOKUP('Données projet'!$B$11,Paramètres!$A$1:$I$89,5,0)</f>
        <v>1.3301360013429075E-13</v>
      </c>
      <c r="BF201" s="14">
        <f t="shared" si="167"/>
        <v>1.9329766731057041E-12</v>
      </c>
      <c r="BG201" s="22">
        <f t="shared" si="168"/>
        <v>3.5982663925596575E-12</v>
      </c>
      <c r="BH201" s="62">
        <f t="shared" si="194"/>
        <v>293.3333333333369</v>
      </c>
      <c r="BI201" s="62">
        <f ca="1">AVERAGE(OFFSET($BH$3,0,0,'Données projet'!$E$11+1,1))-AVERAGE(OFFSET($H$3,0,0,'Données projet'!$E$11+1,1))</f>
        <v>246.73711856758143</v>
      </c>
      <c r="BJ201" s="62">
        <f t="shared" si="206"/>
        <v>145.54897745089966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6.3550942286383367E-14</v>
      </c>
      <c r="CA201" s="14">
        <f t="shared" si="170"/>
        <v>1.0064464192543978E-12</v>
      </c>
      <c r="CB201" s="22">
        <f t="shared" si="171"/>
        <v>1.8635787380168604E-12</v>
      </c>
      <c r="CC201" s="62">
        <f t="shared" si="195"/>
        <v>293.33333333333519</v>
      </c>
      <c r="CD201" s="62">
        <f ca="1">AVERAGE(OFFSET($CC$3,0,0,'Données projet'!$E$12+1,1))-AVERAGE(OFFSET($H$3,0,0,'Données projet'!$E$12+1,1))</f>
        <v>321.13335003345236</v>
      </c>
      <c r="CE201" s="62">
        <f t="shared" si="207"/>
        <v>301.26825075712128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0.19558259832567504</v>
      </c>
      <c r="CM201" s="23">
        <f>EXP(-LN(2)/2)*CM200+(1-EXP(-LN(2)/2))/(LN(2)/2)*CG201*CJ201*VLOOKUP('Données projet'!$B$12,Paramètres!$A$1:$I$89,3,0)*0.475*44/12</f>
        <v>5.098111433308304E-25</v>
      </c>
      <c r="CN201" s="24">
        <f t="shared" si="172"/>
        <v>0.19558259832567504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6.7984728957526396E-14</v>
      </c>
      <c r="CV201" s="14">
        <f t="shared" si="173"/>
        <v>1.0682447123141398E-12</v>
      </c>
      <c r="CW201" s="22">
        <f t="shared" si="174"/>
        <v>1.978932943548152E-12</v>
      </c>
      <c r="CX201" s="62">
        <f t="shared" si="196"/>
        <v>293.3333333333353</v>
      </c>
      <c r="CY201" s="62">
        <f ca="1">AVERAGE(OFFSET($CX$3,0,0,'Données projet'!$E$13+1,1))-AVERAGE(OFFSET($H$3,0,0,'Données projet'!$E$13+1,1))</f>
        <v>260.02504691866199</v>
      </c>
      <c r="CZ201" s="62">
        <f t="shared" si="208"/>
        <v>270.11268336406368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0.35926633628226212</v>
      </c>
      <c r="DG201" s="23">
        <f>EXP(-LN(2)/25)*DG200+(1-EXP(-LN(2)/25))/(LN(2)/25)*Calculateur!DB201*Calculateur!DD201*VLOOKUP('Données projet'!$B$13,Paramètres!$A$1:$I$89,3,0)*0.475*44/12</f>
        <v>0.15591056706634424</v>
      </c>
      <c r="DH201" s="23">
        <f>EXP(-LN(2)/2)*DH200+(1-EXP(-LN(2)/2))/(LN(2)/2)*DB201*DE201*VLOOKUP('Données projet'!$B$13,Paramètres!$A$1:$I$89,3,0)*0.475*44/12</f>
        <v>3.2776829867572236E-25</v>
      </c>
      <c r="DI201" s="24">
        <f t="shared" si="175"/>
        <v>0.51517690334860633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-1.7053025658242404E-13</v>
      </c>
      <c r="DP201" s="18">
        <f>DO201*VLOOKUP('Données projet'!$B$14,Paramètres!$A$1:$I$89,3,0)*VLOOKUP('Données projet'!$B$14,Paramètres!$A$1:$I$89,5,0)</f>
        <v>-1.3567387213697657E-13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312.53381881960331</v>
      </c>
      <c r="DU201" s="62">
        <f t="shared" si="209"/>
        <v>342.06887933351783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5.4978954722173515E-14</v>
      </c>
      <c r="EL201" s="14">
        <f t="shared" si="179"/>
        <v>8.8550225887742724E-13</v>
      </c>
      <c r="EM201" s="22">
        <f t="shared" si="180"/>
        <v>1.6380047803526383E-12</v>
      </c>
      <c r="EN201" s="62">
        <f t="shared" si="198"/>
        <v>293.33333333333496</v>
      </c>
      <c r="EO201" s="62">
        <f ca="1">AVERAGE(OFFSET($EN$3,0,0,'Données projet'!$E$15+1,1))-AVERAGE(OFFSET($H$3,0,0,'Données projet'!$E$15+1,1))</f>
        <v>255.59755832175625</v>
      </c>
      <c r="EP201" s="62">
        <f t="shared" si="210"/>
        <v>154.0840647586964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197.08445731383847</v>
      </c>
      <c r="FK201" s="62">
        <f t="shared" si="211"/>
        <v>157.12482557016511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428.8489304403459</v>
      </c>
      <c r="T202" s="62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475.47920969424894</v>
      </c>
      <c r="AO202" s="62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2.8421709430404007E-13</v>
      </c>
      <c r="BE202" s="14">
        <f>BD202*VLOOKUP('Données projet'!$B$11,Paramètres!$A$1:$I$89,3,0)*VLOOKUP('Données projet'!$B$11,Paramètres!$A$1:$I$89,5,0)</f>
        <v>1.3301360013429075E-13</v>
      </c>
      <c r="BF202" s="14">
        <f t="shared" si="167"/>
        <v>1.9329766731057041E-12</v>
      </c>
      <c r="BG202" s="22">
        <f t="shared" si="168"/>
        <v>3.5982663925596575E-12</v>
      </c>
      <c r="BH202" s="62">
        <f t="shared" si="194"/>
        <v>293.3333333333369</v>
      </c>
      <c r="BI202" s="62">
        <f ca="1">AVERAGE(OFFSET($BH$3,0,0,'Données projet'!$E$11+1,1))-AVERAGE(OFFSET($H$3,0,0,'Données projet'!$E$11+1,1))</f>
        <v>246.73711856758143</v>
      </c>
      <c r="BJ202" s="62">
        <f t="shared" si="206"/>
        <v>145.54897745089966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6.3550942286383367E-14</v>
      </c>
      <c r="CA202" s="14">
        <f t="shared" si="170"/>
        <v>1.0064464192543978E-12</v>
      </c>
      <c r="CB202" s="22">
        <f t="shared" si="171"/>
        <v>1.8635787380168604E-12</v>
      </c>
      <c r="CC202" s="62">
        <f t="shared" si="195"/>
        <v>293.33333333333519</v>
      </c>
      <c r="CD202" s="62">
        <f ca="1">AVERAGE(OFFSET($CC$3,0,0,'Données projet'!$E$12+1,1))-AVERAGE(OFFSET($H$3,0,0,'Données projet'!$E$12+1,1))</f>
        <v>321.13335003345236</v>
      </c>
      <c r="CE202" s="62">
        <f t="shared" si="207"/>
        <v>301.26825075712128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0.19023438188921762</v>
      </c>
      <c r="CM202" s="23">
        <f>EXP(-LN(2)/2)*CM201+(1-EXP(-LN(2)/2))/(LN(2)/2)*CG202*CJ202*VLOOKUP('Données projet'!$B$12,Paramètres!$A$1:$I$89,3,0)*0.475*44/12</f>
        <v>3.6049091657369712E-25</v>
      </c>
      <c r="CN202" s="24">
        <f t="shared" si="172"/>
        <v>0.19023438188921762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6.7984728957526396E-14</v>
      </c>
      <c r="CV202" s="14">
        <f t="shared" si="173"/>
        <v>1.0682447123141398E-12</v>
      </c>
      <c r="CW202" s="22">
        <f t="shared" si="174"/>
        <v>1.978932943548152E-12</v>
      </c>
      <c r="CX202" s="62">
        <f t="shared" si="196"/>
        <v>293.3333333333353</v>
      </c>
      <c r="CY202" s="62">
        <f ca="1">AVERAGE(OFFSET($CX$3,0,0,'Données projet'!$E$13+1,1))-AVERAGE(OFFSET($H$3,0,0,'Données projet'!$E$13+1,1))</f>
        <v>260.02504691866199</v>
      </c>
      <c r="CZ202" s="62">
        <f t="shared" si="208"/>
        <v>270.11268336406368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0.35222134255859472</v>
      </c>
      <c r="DG202" s="23">
        <f>EXP(-LN(2)/25)*DG201+(1-EXP(-LN(2)/25))/(LN(2)/25)*Calculateur!DB202*Calculateur!DD202*VLOOKUP('Données projet'!$B$13,Paramètres!$A$1:$I$89,3,0)*0.475*44/12</f>
        <v>0.15164718441093467</v>
      </c>
      <c r="DH202" s="23">
        <f>EXP(-LN(2)/2)*DH201+(1-EXP(-LN(2)/2))/(LN(2)/2)*DB202*DE202*VLOOKUP('Données projet'!$B$13,Paramètres!$A$1:$I$89,3,0)*0.475*44/12</f>
        <v>2.3176718665158097E-25</v>
      </c>
      <c r="DI202" s="24">
        <f t="shared" si="175"/>
        <v>0.50386852696952933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-1.7053025658242404E-13</v>
      </c>
      <c r="DP202" s="18">
        <f>DO202*VLOOKUP('Données projet'!$B$14,Paramètres!$A$1:$I$89,3,0)*VLOOKUP('Données projet'!$B$14,Paramètres!$A$1:$I$89,5,0)</f>
        <v>-1.3567387213697657E-13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312.53381881960331</v>
      </c>
      <c r="DU202" s="62">
        <f t="shared" si="209"/>
        <v>342.06887933351783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5.4978954722173515E-14</v>
      </c>
      <c r="EL202" s="14">
        <f t="shared" si="179"/>
        <v>8.8550225887742724E-13</v>
      </c>
      <c r="EM202" s="22">
        <f t="shared" si="180"/>
        <v>1.6380047803526383E-12</v>
      </c>
      <c r="EN202" s="62">
        <f t="shared" si="198"/>
        <v>293.33333333333496</v>
      </c>
      <c r="EO202" s="62">
        <f ca="1">AVERAGE(OFFSET($EN$3,0,0,'Données projet'!$E$15+1,1))-AVERAGE(OFFSET($H$3,0,0,'Données projet'!$E$15+1,1))</f>
        <v>255.59755832175625</v>
      </c>
      <c r="EP202" s="62">
        <f t="shared" si="210"/>
        <v>154.0840647586964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197.08445731383847</v>
      </c>
      <c r="FK202" s="62">
        <f t="shared" si="211"/>
        <v>157.12482557016511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428.8489304403459</v>
      </c>
      <c r="T203" s="62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475.47920969424894</v>
      </c>
      <c r="AO203" s="62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2.8421709430404007E-13</v>
      </c>
      <c r="BE203" s="14">
        <f>BD203*VLOOKUP('Données projet'!$B$11,Paramètres!$A$1:$I$89,3,0)*VLOOKUP('Données projet'!$B$11,Paramètres!$A$1:$I$89,5,0)</f>
        <v>1.3301360013429075E-13</v>
      </c>
      <c r="BF203" s="14">
        <f t="shared" si="167"/>
        <v>1.9329766731057041E-12</v>
      </c>
      <c r="BG203" s="22">
        <f t="shared" si="168"/>
        <v>3.5982663925596575E-12</v>
      </c>
      <c r="BH203" s="62">
        <f t="shared" si="194"/>
        <v>293.3333333333369</v>
      </c>
      <c r="BI203" s="62">
        <f ca="1">AVERAGE(OFFSET($BH$3,0,0,'Données projet'!$E$11+1,1))-AVERAGE(OFFSET($H$3,0,0,'Données projet'!$E$11+1,1))</f>
        <v>246.73711856758143</v>
      </c>
      <c r="BJ203" s="62">
        <f t="shared" si="206"/>
        <v>145.54897745089966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6.3550942286383367E-14</v>
      </c>
      <c r="CA203" s="14">
        <f t="shared" si="170"/>
        <v>1.0064464192543978E-12</v>
      </c>
      <c r="CB203" s="22">
        <f t="shared" si="171"/>
        <v>1.8635787380168604E-12</v>
      </c>
      <c r="CC203" s="62">
        <f t="shared" si="195"/>
        <v>293.33333333333519</v>
      </c>
      <c r="CD203" s="62">
        <f ca="1">AVERAGE(OFFSET($CC$3,0,0,'Données projet'!$E$12+1,1))-AVERAGE(OFFSET($H$3,0,0,'Données projet'!$E$12+1,1))</f>
        <v>321.13335003345236</v>
      </c>
      <c r="CE203" s="62">
        <f t="shared" si="207"/>
        <v>301.26825075712128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0.18503241271246562</v>
      </c>
      <c r="CM203" s="23">
        <f>EXP(-LN(2)/2)*CM202+(1-EXP(-LN(2)/2))/(LN(2)/2)*CG203*CJ203*VLOOKUP('Données projet'!$B$12,Paramètres!$A$1:$I$89,3,0)*0.475*44/12</f>
        <v>2.549055716654152E-25</v>
      </c>
      <c r="CN203" s="24">
        <f t="shared" si="172"/>
        <v>0.18503241271246562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6.7984728957526396E-14</v>
      </c>
      <c r="CV203" s="14">
        <f t="shared" si="173"/>
        <v>1.0682447123141398E-12</v>
      </c>
      <c r="CW203" s="22">
        <f t="shared" si="174"/>
        <v>1.978932943548152E-12</v>
      </c>
      <c r="CX203" s="62">
        <f t="shared" si="196"/>
        <v>293.3333333333353</v>
      </c>
      <c r="CY203" s="62">
        <f ca="1">AVERAGE(OFFSET($CX$3,0,0,'Données projet'!$E$13+1,1))-AVERAGE(OFFSET($H$3,0,0,'Données projet'!$E$13+1,1))</f>
        <v>260.02504691866199</v>
      </c>
      <c r="CZ203" s="62">
        <f t="shared" si="208"/>
        <v>270.11268336406368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0.34531449686482657</v>
      </c>
      <c r="DG203" s="23">
        <f>EXP(-LN(2)/25)*DG202+(1-EXP(-LN(2)/25))/(LN(2)/25)*Calculateur!DB203*Calculateur!DD203*VLOOKUP('Données projet'!$B$13,Paramètres!$A$1:$I$89,3,0)*0.475*44/12</f>
        <v>0.14750038417843883</v>
      </c>
      <c r="DH203" s="23">
        <f>EXP(-LN(2)/2)*DH202+(1-EXP(-LN(2)/2))/(LN(2)/2)*DB203*DE203*VLOOKUP('Données projet'!$B$13,Paramètres!$A$1:$I$89,3,0)*0.475*44/12</f>
        <v>1.6388414933786118E-25</v>
      </c>
      <c r="DI203" s="24">
        <f t="shared" si="175"/>
        <v>0.49281488104326543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-1.7053025658242404E-13</v>
      </c>
      <c r="DP203" s="18">
        <f>DO203*VLOOKUP('Données projet'!$B$14,Paramètres!$A$1:$I$89,3,0)*VLOOKUP('Données projet'!$B$14,Paramètres!$A$1:$I$89,5,0)</f>
        <v>-1.3567387213697657E-13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312.53381881960331</v>
      </c>
      <c r="DU203" s="62">
        <f t="shared" si="209"/>
        <v>342.06887933351783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5.4978954722173515E-14</v>
      </c>
      <c r="EL203" s="14">
        <f t="shared" si="179"/>
        <v>8.8550225887742724E-13</v>
      </c>
      <c r="EM203" s="22">
        <f t="shared" si="180"/>
        <v>1.6380047803526383E-12</v>
      </c>
      <c r="EN203" s="62">
        <f t="shared" si="198"/>
        <v>293.33333333333496</v>
      </c>
      <c r="EO203" s="62">
        <f ca="1">AVERAGE(OFFSET($EN$3,0,0,'Données projet'!$E$15+1,1))-AVERAGE(OFFSET($H$3,0,0,'Données projet'!$E$15+1,1))</f>
        <v>255.59755832175625</v>
      </c>
      <c r="EP203" s="62">
        <f t="shared" si="210"/>
        <v>154.0840647586964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197.08445731383847</v>
      </c>
      <c r="FK203" s="62">
        <f t="shared" si="211"/>
        <v>157.12482557016511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1.1671681906248585</v>
      </c>
      <c r="BV205" s="88">
        <f>EXP(LN('Données projet'!B114)/'Données projet'!A114)</f>
        <v>1.2805631431945952</v>
      </c>
      <c r="CQ205" s="88">
        <f>EXP(LN('Données projet'!B140)/'Données projet'!A140)</f>
        <v>1.3292852468636394</v>
      </c>
      <c r="DL205" s="88">
        <f>EXP(LN('Données projet'!B166)/'Données projet'!A166)</f>
        <v>1.2721747796233518</v>
      </c>
      <c r="EG205" s="88">
        <f>EXP(LN('Données projet'!B192)/'Données projet'!A192)</f>
        <v>1.1644235083052243</v>
      </c>
      <c r="FB205" s="88">
        <f>EXP(LN('Données projet'!B218)/'Données projet'!A218)</f>
        <v>1.1616814187717481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9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10" zoomScale="90" zoomScaleNormal="90" workbookViewId="0">
      <selection activeCell="E29" sqref="E2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0.82500000000000007</v>
      </c>
      <c r="C6" s="156">
        <f ca="1">IF(OR('Données projet'!B9="",'Données projet'!C9="",'Données projet'!C9=0%),0,Calculateur!S3)</f>
        <v>428.8489304403459</v>
      </c>
      <c r="D6" s="156">
        <f>IF(OR('Données projet'!B9="",'Données projet'!C9="",'Données projet'!C9=0%),0,Calculateur!T3)</f>
        <v>247.01165577562966</v>
      </c>
      <c r="E6" s="156">
        <f ca="1">MIN(C6,D6)</f>
        <v>247.01165577562966</v>
      </c>
      <c r="F6" s="156">
        <f ca="1">E6*B6</f>
        <v>203.78461601489448</v>
      </c>
      <c r="G6" s="156">
        <f ca="1">F6*(100%-'Données projet'!$C$24)*(100%-'Données projet'!$C$25)*(100%-'Données projet'!$C$26)*(100%-'Données projet'!$C$27)</f>
        <v>183.40615441340503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5.9812500000000002</v>
      </c>
      <c r="K6" s="160">
        <f>J6*(100%-'Données projet'!$C$24)*(100%-'Données projet'!$C$25)*(100%-'Données projet'!$C$26)*(100%-'Données projet'!$C$27)</f>
        <v>5.3831250000000006</v>
      </c>
      <c r="L6" s="161">
        <f ca="1">G6+I6+K6</f>
        <v>188.78927941340504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0.75</v>
      </c>
      <c r="C7" s="156">
        <f ca="1">IF(OR('Données projet'!B10="",'Données projet'!C10="",'Données projet'!C10=0%),0,Calculateur!AN3)</f>
        <v>475.47920969424894</v>
      </c>
      <c r="D7" s="156">
        <f>IF(OR('Données projet'!B10="",'Données projet'!C10="",'Données projet'!C10=0%),0,Calculateur!AO3)</f>
        <v>271.73544012419364</v>
      </c>
      <c r="E7" s="156">
        <f t="shared" ref="E7:E15" ca="1" si="0">MIN(C7,D7)</f>
        <v>271.73544012419364</v>
      </c>
      <c r="F7" s="156">
        <f t="shared" ref="F7:F15" ca="1" si="1">E7*B7</f>
        <v>203.80158009314522</v>
      </c>
      <c r="G7" s="156">
        <f ca="1">F7*(100%-'Données projet'!$C$24)*(100%-'Données projet'!$C$25)*(100%-'Données projet'!$C$26)*(100%-'Données projet'!$C$27)</f>
        <v>183.42142208383069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5.4375</v>
      </c>
      <c r="K7" s="160">
        <f>J7*(100%-'Données projet'!$C$24)*(100%-'Données projet'!$C$25)*(100%-'Données projet'!$C$26)*(100%-'Données projet'!$C$27)</f>
        <v>4.8937499999999998</v>
      </c>
      <c r="L7" s="161">
        <f t="shared" ref="L7:L15" ca="1" si="2">G7+I7+K7</f>
        <v>188.3151720838307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0.60000000000000009</v>
      </c>
      <c r="C8" s="156">
        <f ca="1">IF(OR('Données projet'!B11="",'Données projet'!C11="",'Données projet'!C11=0%),0,Calculateur!BI3)</f>
        <v>246.73711856758143</v>
      </c>
      <c r="D8" s="156">
        <f>IF(OR('Données projet'!B11="",'Données projet'!C11="",'Données projet'!C11=0%),0,Calculateur!BJ3)</f>
        <v>145.54897745089966</v>
      </c>
      <c r="E8" s="156">
        <f t="shared" ca="1" si="0"/>
        <v>145.54897745089966</v>
      </c>
      <c r="F8" s="156">
        <f t="shared" ca="1" si="1"/>
        <v>87.329386470539802</v>
      </c>
      <c r="G8" s="156">
        <f ca="1">F8*(100%-'Données projet'!$C$24)*(100%-'Données projet'!$C$25)*(100%-'Données projet'!$C$26)*(100%-'Données projet'!$C$27)</f>
        <v>78.596447823485818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78.596447823485818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Douglas</v>
      </c>
      <c r="B9" s="163">
        <f>'Données projet'!D12</f>
        <v>0.30000000000000004</v>
      </c>
      <c r="C9" s="156">
        <f ca="1">IF(OR('Données projet'!B12="",'Données projet'!C12="",'Données projet'!C12=0%),0,Calculateur!CD3)</f>
        <v>321.13335003345236</v>
      </c>
      <c r="D9" s="156">
        <f>IF(OR('Données projet'!B12="",'Données projet'!C12="",'Données projet'!C12=0%),0,Calculateur!CE3)</f>
        <v>301.26825075712128</v>
      </c>
      <c r="E9" s="156">
        <f t="shared" ca="1" si="0"/>
        <v>301.26825075712128</v>
      </c>
      <c r="F9" s="156">
        <f t="shared" ca="1" si="1"/>
        <v>90.380475227136401</v>
      </c>
      <c r="G9" s="156">
        <f ca="1">F9*(100%-'Données projet'!$C$24)*(100%-'Données projet'!$C$25)*(100%-'Données projet'!$C$26)*(100%-'Données projet'!$C$27)</f>
        <v>81.342427704422761</v>
      </c>
      <c r="H9" s="164">
        <f>IF(OR('Données projet'!B12="",'Données projet'!C12="",'Données projet'!C12=0%),0,AVERAGE(Calculateur!$CN$3:$CN$33)*B9)</f>
        <v>2.3955893838076787</v>
      </c>
      <c r="I9" s="158">
        <f>H9*(100%-'Données projet'!$C$24)*(100%-'Données projet'!$C$25)*(100%-'Données projet'!$C$26)*(100%-'Données projet'!$C$27)</f>
        <v>2.1560304454269108</v>
      </c>
      <c r="J9" s="159">
        <f>IF(OR('Données projet'!B12="",'Données projet'!C12="",'Données projet'!C12=0%),0,SUM(Calculateur!$CG$3:$CG$33)*VLOOKUP('Données projet'!$B$12,Paramètres!$A$1:$I$89,9,0)*B9)</f>
        <v>15.232915384615385</v>
      </c>
      <c r="K9" s="160">
        <f>J9*(100%-'Données projet'!$C$24)*(100%-'Données projet'!$C$25)*(100%-'Données projet'!$C$26)*(100%-'Données projet'!$C$27)</f>
        <v>13.709623846153846</v>
      </c>
      <c r="L9" s="161">
        <f t="shared" ca="1" si="2"/>
        <v>97.208081996003514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Pin maritime</v>
      </c>
      <c r="B10" s="163">
        <f>'Données projet'!D13</f>
        <v>0.15000000000000002</v>
      </c>
      <c r="C10" s="156">
        <f ca="1">IF(OR('Données projet'!B13="",'Données projet'!C13="",'Données projet'!C13=0%),0,Calculateur!CY3)</f>
        <v>260.02504691866199</v>
      </c>
      <c r="D10" s="156">
        <f>IF(OR('Données projet'!B13="",'Données projet'!C13="",'Données projet'!C13=0%),0,Calculateur!CZ3)</f>
        <v>270.11268336406368</v>
      </c>
      <c r="E10" s="156">
        <f t="shared" ca="1" si="0"/>
        <v>260.02504691866199</v>
      </c>
      <c r="F10" s="156">
        <f t="shared" ca="1" si="1"/>
        <v>39.003757037799303</v>
      </c>
      <c r="G10" s="156">
        <f ca="1">F10*(100%-'Données projet'!$C$24)*(100%-'Données projet'!$C$25)*(100%-'Données projet'!$C$26)*(100%-'Données projet'!$C$27)</f>
        <v>35.103381334019375</v>
      </c>
      <c r="H10" s="164">
        <f>IF(OR('Données projet'!B13="",'Données projet'!C13="",'Données projet'!C13=0%),0,AVERAGE(Calculateur!$DI$3:$DI$33)*B10)</f>
        <v>1.4651589364394877</v>
      </c>
      <c r="I10" s="158">
        <f>H10*(100%-'Données projet'!$C$24)*(100%-'Données projet'!$C$25)*(100%-'Données projet'!$C$26)*(100%-'Données projet'!$C$27)</f>
        <v>1.3186430427955389</v>
      </c>
      <c r="J10" s="159">
        <f>IF(OR('Données projet'!B13="",'Données projet'!C13="",'Données projet'!C13=0%),0,SUM(Calculateur!$DB$3:$DB$33)*VLOOKUP('Données projet'!$B$13,Paramètres!$A$1:$I$89,9,0)*B10)</f>
        <v>12.730384615384617</v>
      </c>
      <c r="K10" s="160">
        <f>J10*(100%-'Données projet'!$C$24)*(100%-'Données projet'!$C$25)*(100%-'Données projet'!$C$26)*(100%-'Données projet'!$C$27)</f>
        <v>11.457346153846155</v>
      </c>
      <c r="L10" s="161">
        <f t="shared" ca="1" si="2"/>
        <v>47.879370530661063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Erable sycomore</v>
      </c>
      <c r="B11" s="163">
        <f>'Données projet'!D14</f>
        <v>0.15000000000000002</v>
      </c>
      <c r="C11" s="156">
        <f ca="1">IF(OR('Données projet'!B14="",'Données projet'!C14="",'Données projet'!C14=0%),0,Calculateur!DT3)</f>
        <v>312.53381881960331</v>
      </c>
      <c r="D11" s="156">
        <f>IF(OR('Données projet'!B14="",'Données projet'!C14="",'Données projet'!C14=0%),0,Calculateur!DU3)</f>
        <v>342.06887933351783</v>
      </c>
      <c r="E11" s="156">
        <f t="shared" ca="1" si="0"/>
        <v>312.53381881960331</v>
      </c>
      <c r="F11" s="156">
        <f t="shared" ca="1" si="1"/>
        <v>46.880072822940505</v>
      </c>
      <c r="G11" s="156">
        <f ca="1">F11*(100%-'Données projet'!$C$24)*(100%-'Données projet'!$C$25)*(100%-'Données projet'!$C$26)*(100%-'Données projet'!$C$27)</f>
        <v>42.192065540646453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3.7125000000000004</v>
      </c>
      <c r="K11" s="160">
        <f>J11*(100%-'Données projet'!$C$24)*(100%-'Données projet'!$C$25)*(100%-'Données projet'!$C$26)*(100%-'Données projet'!$C$27)</f>
        <v>3.3412500000000005</v>
      </c>
      <c r="L11" s="161">
        <f t="shared" ca="1" si="2"/>
        <v>45.533315540646456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Alisier torminal</v>
      </c>
      <c r="B12" s="163">
        <f>'Données projet'!D15</f>
        <v>7.5000000000000011E-2</v>
      </c>
      <c r="C12" s="156">
        <f ca="1">IF(OR('Données projet'!B15="",'Données projet'!C15="",'Données projet'!C15=0%),0,Calculateur!EO3)</f>
        <v>255.59755832175625</v>
      </c>
      <c r="D12" s="156">
        <f>IF(OR('Données projet'!B15="",'Données projet'!C15="",'Données projet'!C15=0%),0,Calculateur!EP3)</f>
        <v>154.0840647586964</v>
      </c>
      <c r="E12" s="156">
        <f t="shared" ca="1" si="0"/>
        <v>154.0840647586964</v>
      </c>
      <c r="F12" s="156">
        <f t="shared" ca="1" si="1"/>
        <v>11.556304856902232</v>
      </c>
      <c r="G12" s="156">
        <f ca="1">F12*(100%-'Données projet'!$C$24)*(100%-'Données projet'!$C$25)*(100%-'Données projet'!$C$26)*(100%-'Données projet'!$C$27)</f>
        <v>10.400674371212009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10.400674371212009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Pin de Salzmann</v>
      </c>
      <c r="B13" s="163">
        <f>'Données projet'!D16</f>
        <v>0.15000000000000002</v>
      </c>
      <c r="C13" s="156">
        <f ca="1">IF(OR('Données projet'!B16="",'Données projet'!C16="",'Données projet'!C16=0%),0,Calculateur!FJ3)</f>
        <v>197.08445731383847</v>
      </c>
      <c r="D13" s="156">
        <f>IF(OR('Données projet'!B16="",'Données projet'!C16="",'Données projet'!C16=0%),0,Calculateur!FK3)</f>
        <v>157.12482557016511</v>
      </c>
      <c r="E13" s="156">
        <f t="shared" ca="1" si="0"/>
        <v>157.12482557016511</v>
      </c>
      <c r="F13" s="156">
        <f t="shared" ca="1" si="1"/>
        <v>23.568723835524771</v>
      </c>
      <c r="G13" s="156">
        <f ca="1">F13*(100%-'Données projet'!$C$24)*(100%-'Données projet'!$C$25)*(100%-'Données projet'!$C$26)*(100%-'Données projet'!$C$27)</f>
        <v>21.211851451972294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21.211851451972294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706.30491635888279</v>
      </c>
      <c r="G16" s="175">
        <f t="shared" ca="1" si="3"/>
        <v>635.67442472299444</v>
      </c>
      <c r="H16" s="176">
        <f t="shared" si="3"/>
        <v>3.8607483202471666</v>
      </c>
      <c r="I16" s="176">
        <f t="shared" si="3"/>
        <v>3.4746734882224497</v>
      </c>
      <c r="J16" s="177">
        <f t="shared" si="3"/>
        <v>43.094549999999998</v>
      </c>
      <c r="K16" s="177">
        <f t="shared" si="3"/>
        <v>38.785095000000005</v>
      </c>
      <c r="L16" s="178">
        <f t="shared" ca="1" si="3"/>
        <v>677.93419321121689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Douglas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Pin maritime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Pin de Salzmann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76" zoomScaleNormal="100" workbookViewId="0">
      <selection activeCell="G96" sqref="G9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635.35296343597179</v>
      </c>
      <c r="U10" s="190">
        <f>'Données projet'!D9</f>
        <v>0.82500000000000007</v>
      </c>
      <c r="V10" s="189">
        <f>U10*T10</f>
        <v>524.16619483467673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635.35296343597179</v>
      </c>
      <c r="U11" s="190">
        <f>'Données projet'!D10</f>
        <v>0.75</v>
      </c>
      <c r="V11" s="189">
        <f t="shared" ref="V11" si="0">U11*T11</f>
        <v>476.51472257697884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930.55816768469083</v>
      </c>
      <c r="U12" s="190">
        <f>'Données projet'!D11</f>
        <v>0.60000000000000009</v>
      </c>
      <c r="V12" s="189">
        <f t="shared" ref="V12:V19" si="1">U12*T12</f>
        <v>558.33490061081454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Douglas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4571.4729491830803</v>
      </c>
      <c r="U13" s="190">
        <f>'Données projet'!D12</f>
        <v>0.30000000000000004</v>
      </c>
      <c r="V13" s="189">
        <f t="shared" si="1"/>
        <v>1371.4418847549243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maritime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3841.9781307982444</v>
      </c>
      <c r="U14" s="190">
        <f>'Données projet'!D13</f>
        <v>0.15000000000000002</v>
      </c>
      <c r="V14" s="189">
        <f t="shared" si="1"/>
        <v>576.29671961973679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sycomore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1354.4432004179198</v>
      </c>
      <c r="U15" s="190">
        <f>'Données projet'!D14</f>
        <v>0.15000000000000002</v>
      </c>
      <c r="V15" s="189">
        <f t="shared" si="1"/>
        <v>203.16648006268801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462.70850127901622</v>
      </c>
      <c r="U16" s="190">
        <f>'Données projet'!D15</f>
        <v>7.5000000000000011E-2</v>
      </c>
      <c r="V16" s="189">
        <f t="shared" si="1"/>
        <v>34.703137595926222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Pin de Salzmann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1124.2716852053227</v>
      </c>
      <c r="U17" s="190">
        <f>'Données projet'!D16</f>
        <v>0.15000000000000002</v>
      </c>
      <c r="V17" s="189">
        <f t="shared" si="1"/>
        <v>168.64075278079844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10628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-27970.735207163456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-27970.735207163456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42</v>
      </c>
      <c r="C27" s="206">
        <v>10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42</v>
      </c>
      <c r="C29" s="206">
        <v>10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42</v>
      </c>
      <c r="C31" s="206">
        <v>20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42</v>
      </c>
      <c r="C33" s="206">
        <v>30</v>
      </c>
      <c r="D33" s="194">
        <f t="shared" si="2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42</v>
      </c>
      <c r="C35" s="206">
        <v>40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42</v>
      </c>
      <c r="C37" s="206">
        <v>100</v>
      </c>
      <c r="D37" s="194">
        <f t="shared" si="2"/>
        <v>4200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39</v>
      </c>
      <c r="C38" s="206">
        <v>120</v>
      </c>
      <c r="D38" s="194">
        <f t="shared" si="2"/>
        <v>4680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35</v>
      </c>
      <c r="C39" s="206">
        <v>120</v>
      </c>
      <c r="D39" s="194">
        <f t="shared" si="2"/>
        <v>4200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31</v>
      </c>
      <c r="C40" s="206">
        <v>150</v>
      </c>
      <c r="D40" s="194">
        <f t="shared" si="2"/>
        <v>4650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27</v>
      </c>
      <c r="C41" s="206">
        <v>200</v>
      </c>
      <c r="D41" s="194">
        <f t="shared" si="2"/>
        <v>5400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6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0</v>
      </c>
      <c r="C55" s="206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29</v>
      </c>
      <c r="C56" s="206">
        <v>10</v>
      </c>
      <c r="D56" s="191">
        <f t="shared" si="4"/>
        <v>290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0</v>
      </c>
      <c r="C57" s="206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42</v>
      </c>
      <c r="C58" s="206">
        <v>10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0</v>
      </c>
      <c r="C59" s="206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42</v>
      </c>
      <c r="C60" s="206">
        <v>10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0</v>
      </c>
      <c r="C61" s="206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42</v>
      </c>
      <c r="C62" s="206">
        <v>20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0</v>
      </c>
      <c r="C63" s="206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42</v>
      </c>
      <c r="C64" s="206">
        <v>30</v>
      </c>
      <c r="D64" s="191">
        <f t="shared" si="4"/>
        <v>1260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0</v>
      </c>
      <c r="C65" s="206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42</v>
      </c>
      <c r="C66" s="206">
        <v>40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42</v>
      </c>
      <c r="C67" s="206">
        <v>70</v>
      </c>
      <c r="D67" s="191">
        <f t="shared" si="4"/>
        <v>2940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100</v>
      </c>
      <c r="B68" s="193">
        <f>'Données projet'!D76</f>
        <v>42</v>
      </c>
      <c r="C68" s="206">
        <v>100</v>
      </c>
      <c r="D68" s="191">
        <f t="shared" si="4"/>
        <v>4200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110</v>
      </c>
      <c r="B69" s="193">
        <f>'Données projet'!D77</f>
        <v>39</v>
      </c>
      <c r="C69" s="206">
        <v>120</v>
      </c>
      <c r="D69" s="191">
        <f t="shared" si="4"/>
        <v>4680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120</v>
      </c>
      <c r="B70" s="193">
        <f>'Données projet'!D78</f>
        <v>35</v>
      </c>
      <c r="C70" s="206">
        <v>120</v>
      </c>
      <c r="D70" s="191">
        <f t="shared" si="4"/>
        <v>4200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130</v>
      </c>
      <c r="B71" s="193">
        <f>'Données projet'!D79</f>
        <v>31</v>
      </c>
      <c r="C71" s="206">
        <v>150</v>
      </c>
      <c r="D71" s="191">
        <f t="shared" si="4"/>
        <v>4650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140</v>
      </c>
      <c r="B72" s="193">
        <f>'Données projet'!D80</f>
        <v>27</v>
      </c>
      <c r="C72" s="206">
        <v>200</v>
      </c>
      <c r="D72" s="191">
        <f t="shared" si="4"/>
        <v>5400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293</v>
      </c>
      <c r="C73" s="206">
        <v>200</v>
      </c>
      <c r="D73" s="191">
        <f t="shared" si="4"/>
        <v>58600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51</v>
      </c>
      <c r="B86" s="193">
        <f>'Données projet'!D89</f>
        <v>100</v>
      </c>
      <c r="C86" s="204">
        <v>20</v>
      </c>
      <c r="D86" s="191">
        <f t="shared" ref="D86:D104" si="6">B86*C86</f>
        <v>2000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63</v>
      </c>
      <c r="B87" s="193">
        <f>'Données projet'!D90</f>
        <v>108.08461538461538</v>
      </c>
      <c r="C87" s="204">
        <v>30</v>
      </c>
      <c r="D87" s="191">
        <f t="shared" si="6"/>
        <v>3242.5384615384614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75</v>
      </c>
      <c r="B88" s="193">
        <f>'Données projet'!D91</f>
        <v>85.361538461538458</v>
      </c>
      <c r="C88" s="204">
        <v>40</v>
      </c>
      <c r="D88" s="191">
        <f t="shared" si="6"/>
        <v>3414.4615384615381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87</v>
      </c>
      <c r="B89" s="193">
        <f>'Données projet'!D92</f>
        <v>82.938461538461524</v>
      </c>
      <c r="C89" s="204">
        <v>50</v>
      </c>
      <c r="D89" s="191">
        <f t="shared" si="6"/>
        <v>4146.9230769230762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99</v>
      </c>
      <c r="B90" s="193">
        <f>'Données projet'!D93</f>
        <v>198.32307692307691</v>
      </c>
      <c r="C90" s="204">
        <v>60</v>
      </c>
      <c r="D90" s="191">
        <f t="shared" si="6"/>
        <v>11899.384615384615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109</v>
      </c>
      <c r="B91" s="193">
        <f>'Données projet'!D94</f>
        <v>256.09230769230771</v>
      </c>
      <c r="C91" s="204">
        <v>70</v>
      </c>
      <c r="D91" s="191">
        <f t="shared" si="6"/>
        <v>17926.461538461539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>
        <v>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>
        <v>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>
        <v>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>
        <v>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>
        <v>0</v>
      </c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Douglas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21</v>
      </c>
      <c r="B116" s="193">
        <f>'Données projet'!D114</f>
        <v>61.169230769230765</v>
      </c>
      <c r="C116" s="204">
        <v>15</v>
      </c>
      <c r="D116" s="191">
        <f t="shared" ref="D116:D123" si="8">B116*C116</f>
        <v>917.53846153846143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28</v>
      </c>
      <c r="B117" s="193">
        <f>'Données projet'!D115</f>
        <v>56.91538461538461</v>
      </c>
      <c r="C117" s="204">
        <v>20</v>
      </c>
      <c r="D117" s="191">
        <f t="shared" si="8"/>
        <v>1138.3076923076922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35</v>
      </c>
      <c r="B118" s="193">
        <f>'Données projet'!D116</f>
        <v>70.5</v>
      </c>
      <c r="C118" s="204">
        <v>30</v>
      </c>
      <c r="D118" s="191">
        <f t="shared" si="8"/>
        <v>2115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42</v>
      </c>
      <c r="B119" s="193">
        <f>'Données projet'!D117</f>
        <v>80.669230769230765</v>
      </c>
      <c r="C119" s="204">
        <v>35</v>
      </c>
      <c r="D119" s="191">
        <f t="shared" si="8"/>
        <v>2823.4230769230767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49</v>
      </c>
      <c r="B120" s="193">
        <f>'Données projet'!D118</f>
        <v>90.453846153846158</v>
      </c>
      <c r="C120" s="204">
        <v>40</v>
      </c>
      <c r="D120" s="191">
        <f t="shared" si="8"/>
        <v>3618.1538461538462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56</v>
      </c>
      <c r="B121" s="193">
        <f>'Données projet'!D119</f>
        <v>75.869230769230768</v>
      </c>
      <c r="C121" s="204">
        <v>50</v>
      </c>
      <c r="D121" s="191">
        <f t="shared" si="8"/>
        <v>3793.4615384615386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63</v>
      </c>
      <c r="B122" s="193">
        <f>'Données projet'!D120</f>
        <v>79.723076923076917</v>
      </c>
      <c r="C122" s="204">
        <v>60</v>
      </c>
      <c r="D122" s="191">
        <f t="shared" si="8"/>
        <v>4783.3846153846152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70</v>
      </c>
      <c r="B123" s="193">
        <f>'Données projet'!D121</f>
        <v>469.06923076923073</v>
      </c>
      <c r="C123" s="204">
        <v>90</v>
      </c>
      <c r="D123" s="191">
        <f t="shared" si="8"/>
        <v>42216.230769230766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>
        <v>0</v>
      </c>
      <c r="D124" s="191">
        <f t="shared" ref="D124:D135" si="9">B124*C124</f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>
        <v>0</v>
      </c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>
        <v>0</v>
      </c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>
        <v>0</v>
      </c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>
        <v>0</v>
      </c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>
        <v>0</v>
      </c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>
        <v>0</v>
      </c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>
        <v>0</v>
      </c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>
        <v>0</v>
      </c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>
        <v>0</v>
      </c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>
        <v>0</v>
      </c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>
        <v>0</v>
      </c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Pin maritime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17</v>
      </c>
      <c r="B147" s="187">
        <f>'Données projet'!D140</f>
        <v>42.084615384615375</v>
      </c>
      <c r="C147" s="204">
        <v>10</v>
      </c>
      <c r="D147" s="194">
        <f>B147*C147</f>
        <v>420.84615384615375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23</v>
      </c>
      <c r="B148" s="187">
        <f>'Données projet'!D141</f>
        <v>54.099999999999987</v>
      </c>
      <c r="C148" s="204">
        <v>20</v>
      </c>
      <c r="D148" s="194">
        <f t="shared" ref="D148:D166" si="11">B148*C148</f>
        <v>1081.9999999999998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29</v>
      </c>
      <c r="B149" s="187">
        <f>'Données projet'!D142</f>
        <v>47.661538461538463</v>
      </c>
      <c r="C149" s="204">
        <v>30</v>
      </c>
      <c r="D149" s="194">
        <f t="shared" si="11"/>
        <v>1429.8461538461538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36</v>
      </c>
      <c r="B150" s="187">
        <f>'Données projet'!D143</f>
        <v>64.553846153846166</v>
      </c>
      <c r="C150" s="204">
        <v>40</v>
      </c>
      <c r="D150" s="194">
        <f t="shared" si="11"/>
        <v>2582.1538461538466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44</v>
      </c>
      <c r="B151" s="187">
        <f>'Données projet'!D144</f>
        <v>64.476923076923114</v>
      </c>
      <c r="C151" s="204">
        <v>50</v>
      </c>
      <c r="D151" s="194">
        <f t="shared" si="11"/>
        <v>3223.8461538461556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52</v>
      </c>
      <c r="B152" s="187">
        <f>'Données projet'!D145</f>
        <v>61.784615384615378</v>
      </c>
      <c r="C152" s="204">
        <v>55</v>
      </c>
      <c r="D152" s="194">
        <f t="shared" si="11"/>
        <v>3398.1538461538457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60</v>
      </c>
      <c r="B153" s="187">
        <f>'Données projet'!D146</f>
        <v>353.5</v>
      </c>
      <c r="C153" s="204">
        <v>60</v>
      </c>
      <c r="D153" s="194">
        <f t="shared" si="11"/>
        <v>21210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>
        <v>0</v>
      </c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>
        <v>0</v>
      </c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>
        <v>0</v>
      </c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>
        <v>0</v>
      </c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>
        <v>0</v>
      </c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>
        <v>0</v>
      </c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>
        <v>0</v>
      </c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>
        <v>0</v>
      </c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>
        <v>0</v>
      </c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>
        <v>0</v>
      </c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>
        <v>0</v>
      </c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>
        <v>0</v>
      </c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>
        <v>0</v>
      </c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15</v>
      </c>
      <c r="B178" s="193">
        <f>'Données projet'!D166</f>
        <v>0</v>
      </c>
      <c r="C178" s="204"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20</v>
      </c>
      <c r="B179" s="193">
        <f>'Données projet'!D167</f>
        <v>43</v>
      </c>
      <c r="C179" s="204">
        <v>10</v>
      </c>
      <c r="D179" s="191">
        <f t="shared" ref="D179:D197" si="12">B179*C179</f>
        <v>430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25</v>
      </c>
      <c r="B180" s="193">
        <f>'Données projet'!D168</f>
        <v>0</v>
      </c>
      <c r="C180" s="204">
        <v>0</v>
      </c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30</v>
      </c>
      <c r="B181" s="193">
        <f>'Données projet'!D169</f>
        <v>56</v>
      </c>
      <c r="C181" s="206">
        <v>15</v>
      </c>
      <c r="D181" s="191">
        <f t="shared" si="12"/>
        <v>840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35</v>
      </c>
      <c r="B182" s="193">
        <f>'Données projet'!D170</f>
        <v>0</v>
      </c>
      <c r="C182" s="206">
        <v>0</v>
      </c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40</v>
      </c>
      <c r="B183" s="193">
        <f>'Données projet'!D171</f>
        <v>56</v>
      </c>
      <c r="C183" s="206">
        <v>20</v>
      </c>
      <c r="D183" s="191">
        <f t="shared" si="12"/>
        <v>1120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45</v>
      </c>
      <c r="B184" s="193">
        <f>'Données projet'!D172</f>
        <v>0</v>
      </c>
      <c r="C184" s="206">
        <v>0</v>
      </c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50</v>
      </c>
      <c r="B185" s="193">
        <f>'Données projet'!D173</f>
        <v>39</v>
      </c>
      <c r="C185" s="206">
        <v>30</v>
      </c>
      <c r="D185" s="191">
        <f t="shared" si="12"/>
        <v>1170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55</v>
      </c>
      <c r="B186" s="193">
        <f>'Données projet'!D174</f>
        <v>0</v>
      </c>
      <c r="C186" s="206">
        <v>0</v>
      </c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60</v>
      </c>
      <c r="B187" s="193">
        <f>'Données projet'!D175</f>
        <v>25</v>
      </c>
      <c r="C187" s="206">
        <v>40</v>
      </c>
      <c r="D187" s="191">
        <f t="shared" si="12"/>
        <v>1000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65</v>
      </c>
      <c r="B188" s="193">
        <f>'Données projet'!D176</f>
        <v>0</v>
      </c>
      <c r="C188" s="206">
        <v>0</v>
      </c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70</v>
      </c>
      <c r="B189" s="193">
        <f>'Données projet'!D177</f>
        <v>21</v>
      </c>
      <c r="C189" s="206">
        <v>55</v>
      </c>
      <c r="D189" s="191">
        <f t="shared" si="12"/>
        <v>1155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75</v>
      </c>
      <c r="B190" s="193">
        <f>'Données projet'!D178</f>
        <v>0</v>
      </c>
      <c r="C190" s="206">
        <v>0</v>
      </c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80</v>
      </c>
      <c r="B191" s="193">
        <f>'Données projet'!D179</f>
        <v>285</v>
      </c>
      <c r="C191" s="206">
        <v>60</v>
      </c>
      <c r="D191" s="191">
        <f t="shared" si="12"/>
        <v>17100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>
        <v>0</v>
      </c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4">
        <v>0</v>
      </c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4">
        <v>0</v>
      </c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4">
        <v>0</v>
      </c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4">
        <v>0</v>
      </c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4">
        <v>0</v>
      </c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0</v>
      </c>
      <c r="C209" s="206"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0</v>
      </c>
      <c r="C210" s="206">
        <v>0</v>
      </c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0</v>
      </c>
      <c r="C211" s="206">
        <v>0</v>
      </c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17</v>
      </c>
      <c r="C212" s="206">
        <v>10</v>
      </c>
      <c r="D212" s="191">
        <f t="shared" si="13"/>
        <v>170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0</v>
      </c>
      <c r="C213" s="206">
        <v>0</v>
      </c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45</v>
      </c>
      <c r="B214" s="193">
        <f>'Données projet'!D197</f>
        <v>18</v>
      </c>
      <c r="C214" s="206">
        <v>10</v>
      </c>
      <c r="D214" s="191">
        <f t="shared" si="13"/>
        <v>180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50</v>
      </c>
      <c r="B215" s="193">
        <f>'Données projet'!D198</f>
        <v>0</v>
      </c>
      <c r="C215" s="206">
        <v>0</v>
      </c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55</v>
      </c>
      <c r="B216" s="193">
        <f>'Données projet'!D199</f>
        <v>19</v>
      </c>
      <c r="C216" s="206">
        <v>20</v>
      </c>
      <c r="D216" s="191">
        <f t="shared" si="13"/>
        <v>380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60</v>
      </c>
      <c r="B217" s="193">
        <f>'Données projet'!D200</f>
        <v>0</v>
      </c>
      <c r="C217" s="206">
        <v>0</v>
      </c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65</v>
      </c>
      <c r="B218" s="193">
        <f>'Données projet'!D201</f>
        <v>20</v>
      </c>
      <c r="C218" s="206">
        <v>30</v>
      </c>
      <c r="D218" s="191">
        <f t="shared" si="13"/>
        <v>600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70</v>
      </c>
      <c r="B219" s="193">
        <f>'Données projet'!D202</f>
        <v>0</v>
      </c>
      <c r="C219" s="206">
        <v>0</v>
      </c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75</v>
      </c>
      <c r="B220" s="193">
        <f>'Données projet'!D203</f>
        <v>20</v>
      </c>
      <c r="C220" s="206">
        <v>40</v>
      </c>
      <c r="D220" s="191">
        <f t="shared" si="13"/>
        <v>800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80</v>
      </c>
      <c r="B221" s="193">
        <f>'Données projet'!D204</f>
        <v>0</v>
      </c>
      <c r="C221" s="206">
        <v>0</v>
      </c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85</v>
      </c>
      <c r="B222" s="193">
        <f>'Données projet'!D205</f>
        <v>18</v>
      </c>
      <c r="C222" s="206">
        <v>70</v>
      </c>
      <c r="D222" s="191">
        <f t="shared" si="13"/>
        <v>1260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90</v>
      </c>
      <c r="B223" s="193">
        <f>'Données projet'!D206</f>
        <v>0</v>
      </c>
      <c r="C223" s="206">
        <v>0</v>
      </c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95</v>
      </c>
      <c r="B224" s="193">
        <f>'Données projet'!D207</f>
        <v>18</v>
      </c>
      <c r="C224" s="206">
        <v>120</v>
      </c>
      <c r="D224" s="191">
        <f t="shared" si="13"/>
        <v>2160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100</v>
      </c>
      <c r="B225" s="193">
        <f>'Données projet'!D208</f>
        <v>0</v>
      </c>
      <c r="C225" s="206">
        <v>0</v>
      </c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105</v>
      </c>
      <c r="B226" s="193">
        <f>'Données projet'!D209</f>
        <v>18</v>
      </c>
      <c r="C226" s="206">
        <v>150</v>
      </c>
      <c r="D226" s="191">
        <f t="shared" si="13"/>
        <v>2700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110</v>
      </c>
      <c r="B227" s="193">
        <f>'Données projet'!D210</f>
        <v>0</v>
      </c>
      <c r="C227" s="206">
        <v>0</v>
      </c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120</v>
      </c>
      <c r="B228" s="193">
        <f>'Données projet'!D211</f>
        <v>211</v>
      </c>
      <c r="C228" s="206">
        <v>200</v>
      </c>
      <c r="D228" s="191">
        <f t="shared" si="13"/>
        <v>42200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Pin de Salzmann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32</v>
      </c>
      <c r="B240" s="193">
        <f>'Données projet'!D218</f>
        <v>46</v>
      </c>
      <c r="C240" s="204">
        <v>15</v>
      </c>
      <c r="D240" s="191">
        <f>B240*C240</f>
        <v>690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40</v>
      </c>
      <c r="B241" s="193">
        <f>'Données projet'!D219</f>
        <v>56</v>
      </c>
      <c r="C241" s="204">
        <v>20</v>
      </c>
      <c r="D241" s="191">
        <f t="shared" ref="D241:D259" si="14">B241*C241</f>
        <v>1120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49</v>
      </c>
      <c r="B242" s="193">
        <f>'Données projet'!D220</f>
        <v>64</v>
      </c>
      <c r="C242" s="204">
        <v>25</v>
      </c>
      <c r="D242" s="191">
        <f t="shared" si="14"/>
        <v>1600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60</v>
      </c>
      <c r="B243" s="193">
        <f>'Données projet'!D221</f>
        <v>71</v>
      </c>
      <c r="C243" s="204">
        <v>35</v>
      </c>
      <c r="D243" s="191">
        <f t="shared" si="14"/>
        <v>2485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73</v>
      </c>
      <c r="B244" s="193">
        <f>'Données projet'!D222</f>
        <v>67</v>
      </c>
      <c r="C244" s="204">
        <v>45</v>
      </c>
      <c r="D244" s="191">
        <f t="shared" si="14"/>
        <v>3015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89</v>
      </c>
      <c r="B245" s="193">
        <f>'Données projet'!D223</f>
        <v>281</v>
      </c>
      <c r="C245" s="206">
        <v>50</v>
      </c>
      <c r="D245" s="191">
        <f t="shared" si="14"/>
        <v>14050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>
        <v>0</v>
      </c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>
        <v>0</v>
      </c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>
        <v>0</v>
      </c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>
        <v>0</v>
      </c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>
        <v>0</v>
      </c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>
        <v>0</v>
      </c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>
        <v>0</v>
      </c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>
        <v>0</v>
      </c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>
        <v>0</v>
      </c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>
        <v>0</v>
      </c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>
        <v>0</v>
      </c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>
        <v>0</v>
      </c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>
        <v>0</v>
      </c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>
        <v>0</v>
      </c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2025-01-07T14:56:34Z</dcterms:modified>
</cp:coreProperties>
</file>